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sicana-my.sharepoint.com/personal/cbaxter_cisd_org/Documents/My Documents/"/>
    </mc:Choice>
  </mc:AlternateContent>
  <bookViews>
    <workbookView xWindow="0" yWindow="0" windowWidth="24000" windowHeight="11865"/>
  </bookViews>
  <sheets>
    <sheet name="view" sheetId="1" r:id="rId1"/>
  </sheets>
  <calcPr calcId="0"/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  <c r="B8768" i="1"/>
  <c r="C8768" i="1"/>
  <c r="B8769" i="1"/>
  <c r="C8769" i="1"/>
  <c r="B8770" i="1"/>
  <c r="C8770" i="1"/>
  <c r="B8771" i="1"/>
  <c r="C8771" i="1"/>
  <c r="B8772" i="1"/>
  <c r="C8772" i="1"/>
  <c r="B8773" i="1"/>
  <c r="C8773" i="1"/>
  <c r="B8774" i="1"/>
  <c r="C8774" i="1"/>
  <c r="B8775" i="1"/>
  <c r="C8775" i="1"/>
  <c r="B8776" i="1"/>
  <c r="C8776" i="1"/>
  <c r="B8777" i="1"/>
  <c r="C8777" i="1"/>
  <c r="B8778" i="1"/>
  <c r="C8778" i="1"/>
  <c r="B8779" i="1"/>
  <c r="C8779" i="1"/>
  <c r="B8780" i="1"/>
  <c r="C8780" i="1"/>
  <c r="B8781" i="1"/>
  <c r="C8781" i="1"/>
  <c r="B8782" i="1"/>
  <c r="C8782" i="1"/>
  <c r="B8783" i="1"/>
  <c r="C8783" i="1"/>
  <c r="B8784" i="1"/>
  <c r="C8784" i="1"/>
  <c r="B8785" i="1"/>
  <c r="C8785" i="1"/>
  <c r="B8786" i="1"/>
  <c r="C8786" i="1"/>
  <c r="B8787" i="1"/>
  <c r="C8787" i="1"/>
  <c r="B8788" i="1"/>
  <c r="C8788" i="1"/>
  <c r="B8789" i="1"/>
  <c r="C8789" i="1"/>
  <c r="B8790" i="1"/>
  <c r="C8790" i="1"/>
  <c r="B8791" i="1"/>
  <c r="C8791" i="1"/>
  <c r="B8792" i="1"/>
  <c r="C8792" i="1"/>
  <c r="B8793" i="1"/>
  <c r="C8793" i="1"/>
  <c r="B8794" i="1"/>
  <c r="C8794" i="1"/>
  <c r="B8795" i="1"/>
  <c r="C8795" i="1"/>
  <c r="B8796" i="1"/>
  <c r="C8796" i="1"/>
  <c r="B8797" i="1"/>
  <c r="C8797" i="1"/>
  <c r="B8798" i="1"/>
  <c r="C8798" i="1"/>
  <c r="B8799" i="1"/>
  <c r="C8799" i="1"/>
  <c r="B8800" i="1"/>
  <c r="C8800" i="1"/>
  <c r="B8801" i="1"/>
  <c r="C8801" i="1"/>
  <c r="B8802" i="1"/>
  <c r="C8802" i="1"/>
  <c r="B8803" i="1"/>
  <c r="C8803" i="1"/>
  <c r="B8804" i="1"/>
  <c r="C8804" i="1"/>
  <c r="B8805" i="1"/>
  <c r="C8805" i="1"/>
  <c r="B8806" i="1"/>
  <c r="C8806" i="1"/>
  <c r="B8807" i="1"/>
  <c r="C8807" i="1"/>
  <c r="B8808" i="1"/>
  <c r="C8808" i="1"/>
  <c r="B8809" i="1"/>
  <c r="C8809" i="1"/>
  <c r="B8810" i="1"/>
  <c r="C8810" i="1"/>
  <c r="B8811" i="1"/>
  <c r="C8811" i="1"/>
  <c r="B8812" i="1"/>
  <c r="C8812" i="1"/>
  <c r="B8813" i="1"/>
  <c r="C8813" i="1"/>
  <c r="B8814" i="1"/>
  <c r="C8814" i="1"/>
  <c r="B8815" i="1"/>
  <c r="C8815" i="1"/>
  <c r="B8816" i="1"/>
  <c r="C8816" i="1"/>
  <c r="B8817" i="1"/>
  <c r="C8817" i="1"/>
  <c r="B8818" i="1"/>
  <c r="C8818" i="1"/>
  <c r="B8819" i="1"/>
  <c r="C8819" i="1"/>
  <c r="B8820" i="1"/>
  <c r="C8820" i="1"/>
  <c r="B8821" i="1"/>
  <c r="C8821" i="1"/>
  <c r="B8822" i="1"/>
  <c r="C8822" i="1"/>
  <c r="B8823" i="1"/>
  <c r="C8823" i="1"/>
  <c r="B8824" i="1"/>
  <c r="C8824" i="1"/>
  <c r="B8825" i="1"/>
  <c r="C8825" i="1"/>
  <c r="B8826" i="1"/>
  <c r="C8826" i="1"/>
  <c r="B8827" i="1"/>
  <c r="C8827" i="1"/>
  <c r="B8828" i="1"/>
  <c r="C8828" i="1"/>
  <c r="B8829" i="1"/>
  <c r="C8829" i="1"/>
  <c r="B8830" i="1"/>
  <c r="C8830" i="1"/>
  <c r="B8831" i="1"/>
  <c r="C8831" i="1"/>
  <c r="B8832" i="1"/>
  <c r="C8832" i="1"/>
  <c r="B8833" i="1"/>
  <c r="C8833" i="1"/>
  <c r="B8834" i="1"/>
  <c r="C8834" i="1"/>
  <c r="B8835" i="1"/>
  <c r="C8835" i="1"/>
  <c r="B8836" i="1"/>
  <c r="C8836" i="1"/>
  <c r="B8837" i="1"/>
  <c r="C8837" i="1"/>
  <c r="B8838" i="1"/>
  <c r="C8838" i="1"/>
  <c r="B8839" i="1"/>
  <c r="C8839" i="1"/>
  <c r="B8840" i="1"/>
  <c r="C8840" i="1"/>
  <c r="B8841" i="1"/>
  <c r="C8841" i="1"/>
  <c r="B8842" i="1"/>
  <c r="C8842" i="1"/>
  <c r="B8843" i="1"/>
  <c r="C8843" i="1"/>
  <c r="B8844" i="1"/>
  <c r="C8844" i="1"/>
  <c r="B8845" i="1"/>
  <c r="C8845" i="1"/>
  <c r="B8846" i="1"/>
  <c r="C8846" i="1"/>
  <c r="B8847" i="1"/>
  <c r="C8847" i="1"/>
  <c r="B8848" i="1"/>
  <c r="C8848" i="1"/>
  <c r="B8849" i="1"/>
  <c r="C8849" i="1"/>
  <c r="B8850" i="1"/>
  <c r="C8850" i="1"/>
  <c r="B8851" i="1"/>
  <c r="C8851" i="1"/>
  <c r="B8852" i="1"/>
  <c r="C8852" i="1"/>
  <c r="B8853" i="1"/>
  <c r="C8853" i="1"/>
  <c r="B8854" i="1"/>
  <c r="C8854" i="1"/>
  <c r="B8855" i="1"/>
  <c r="C8855" i="1"/>
  <c r="B8856" i="1"/>
  <c r="C8856" i="1"/>
  <c r="B8857" i="1"/>
  <c r="C8857" i="1"/>
  <c r="B8858" i="1"/>
  <c r="C8858" i="1"/>
  <c r="B8859" i="1"/>
  <c r="C8859" i="1"/>
  <c r="B8860" i="1"/>
  <c r="C8860" i="1"/>
  <c r="B8861" i="1"/>
  <c r="C8861" i="1"/>
  <c r="B8862" i="1"/>
  <c r="C8862" i="1"/>
  <c r="B8863" i="1"/>
  <c r="C8863" i="1"/>
  <c r="B8864" i="1"/>
  <c r="C8864" i="1"/>
  <c r="B8865" i="1"/>
  <c r="C8865" i="1"/>
  <c r="B8866" i="1"/>
  <c r="C8866" i="1"/>
  <c r="B8867" i="1"/>
  <c r="C8867" i="1"/>
  <c r="B8868" i="1"/>
  <c r="C8868" i="1"/>
  <c r="B8869" i="1"/>
  <c r="C8869" i="1"/>
  <c r="B8870" i="1"/>
  <c r="C8870" i="1"/>
  <c r="B8871" i="1"/>
  <c r="C8871" i="1"/>
  <c r="B8872" i="1"/>
  <c r="C8872" i="1"/>
  <c r="B8873" i="1"/>
  <c r="C8873" i="1"/>
  <c r="B8874" i="1"/>
  <c r="C8874" i="1"/>
  <c r="B8875" i="1"/>
  <c r="C8875" i="1"/>
  <c r="B8876" i="1"/>
  <c r="C8876" i="1"/>
  <c r="B8877" i="1"/>
  <c r="C8877" i="1"/>
  <c r="B8878" i="1"/>
  <c r="C8878" i="1"/>
  <c r="B8879" i="1"/>
  <c r="C8879" i="1"/>
  <c r="B8880" i="1"/>
  <c r="C8880" i="1"/>
  <c r="B8881" i="1"/>
  <c r="C8881" i="1"/>
  <c r="B8882" i="1"/>
  <c r="C8882" i="1"/>
  <c r="B8883" i="1"/>
  <c r="C8883" i="1"/>
  <c r="B8884" i="1"/>
  <c r="C8884" i="1"/>
  <c r="B8885" i="1"/>
  <c r="C8885" i="1"/>
  <c r="B8886" i="1"/>
  <c r="C8886" i="1"/>
  <c r="B8887" i="1"/>
  <c r="C8887" i="1"/>
  <c r="B8888" i="1"/>
  <c r="C8888" i="1"/>
  <c r="B8889" i="1"/>
  <c r="C8889" i="1"/>
  <c r="B8890" i="1"/>
  <c r="C8890" i="1"/>
  <c r="B8891" i="1"/>
  <c r="C8891" i="1"/>
  <c r="B8892" i="1"/>
  <c r="C8892" i="1"/>
  <c r="B8893" i="1"/>
  <c r="C8893" i="1"/>
  <c r="B8894" i="1"/>
  <c r="C8894" i="1"/>
  <c r="B8895" i="1"/>
  <c r="C8895" i="1"/>
  <c r="B8896" i="1"/>
  <c r="C8896" i="1"/>
  <c r="B8897" i="1"/>
  <c r="C8897" i="1"/>
  <c r="B8898" i="1"/>
  <c r="C8898" i="1"/>
  <c r="B8899" i="1"/>
  <c r="C8899" i="1"/>
  <c r="B8900" i="1"/>
  <c r="C8900" i="1"/>
  <c r="B8901" i="1"/>
  <c r="C8901" i="1"/>
  <c r="B8902" i="1"/>
  <c r="C8902" i="1"/>
  <c r="B8903" i="1"/>
  <c r="C8903" i="1"/>
  <c r="B8904" i="1"/>
  <c r="C8904" i="1"/>
  <c r="B8905" i="1"/>
  <c r="C8905" i="1"/>
  <c r="B8906" i="1"/>
  <c r="C8906" i="1"/>
  <c r="B8907" i="1"/>
  <c r="C8907" i="1"/>
  <c r="B8908" i="1"/>
  <c r="C8908" i="1"/>
  <c r="B8909" i="1"/>
  <c r="C8909" i="1"/>
  <c r="B8910" i="1"/>
  <c r="C8910" i="1"/>
  <c r="B8911" i="1"/>
  <c r="C8911" i="1"/>
  <c r="B8912" i="1"/>
  <c r="C8912" i="1"/>
  <c r="B8913" i="1"/>
  <c r="C8913" i="1"/>
  <c r="B8914" i="1"/>
  <c r="C8914" i="1"/>
  <c r="B8915" i="1"/>
  <c r="C8915" i="1"/>
  <c r="B8916" i="1"/>
  <c r="C8916" i="1"/>
  <c r="B8917" i="1"/>
  <c r="C8917" i="1"/>
  <c r="B8918" i="1"/>
  <c r="C8918" i="1"/>
  <c r="B8919" i="1"/>
  <c r="C8919" i="1"/>
  <c r="B8920" i="1"/>
  <c r="C8920" i="1"/>
  <c r="B8921" i="1"/>
  <c r="C8921" i="1"/>
  <c r="B8922" i="1"/>
  <c r="C8922" i="1"/>
  <c r="B8923" i="1"/>
  <c r="C8923" i="1"/>
  <c r="B8924" i="1"/>
  <c r="C8924" i="1"/>
  <c r="B8925" i="1"/>
  <c r="C8925" i="1"/>
  <c r="B8926" i="1"/>
  <c r="C8926" i="1"/>
  <c r="B8927" i="1"/>
  <c r="C8927" i="1"/>
  <c r="B8928" i="1"/>
  <c r="C8928" i="1"/>
  <c r="B8929" i="1"/>
  <c r="C8929" i="1"/>
  <c r="B8930" i="1"/>
  <c r="C8930" i="1"/>
  <c r="B8931" i="1"/>
  <c r="C8931" i="1"/>
  <c r="B8932" i="1"/>
  <c r="C8932" i="1"/>
  <c r="B8933" i="1"/>
  <c r="C8933" i="1"/>
  <c r="B8934" i="1"/>
  <c r="C8934" i="1"/>
  <c r="B8935" i="1"/>
  <c r="C8935" i="1"/>
  <c r="B8936" i="1"/>
  <c r="C8936" i="1"/>
  <c r="B8937" i="1"/>
  <c r="C8937" i="1"/>
  <c r="B8938" i="1"/>
  <c r="C8938" i="1"/>
  <c r="B8939" i="1"/>
  <c r="C8939" i="1"/>
  <c r="B8940" i="1"/>
  <c r="C8940" i="1"/>
  <c r="B8941" i="1"/>
  <c r="C8941" i="1"/>
  <c r="B8942" i="1"/>
  <c r="C8942" i="1"/>
  <c r="B8943" i="1"/>
  <c r="C8943" i="1"/>
  <c r="B8944" i="1"/>
  <c r="C8944" i="1"/>
  <c r="B8945" i="1"/>
  <c r="C8945" i="1"/>
  <c r="B8946" i="1"/>
  <c r="C8946" i="1"/>
  <c r="B8947" i="1"/>
  <c r="C8947" i="1"/>
  <c r="B8948" i="1"/>
  <c r="C8948" i="1"/>
  <c r="B8949" i="1"/>
  <c r="C8949" i="1"/>
  <c r="B8950" i="1"/>
  <c r="C8950" i="1"/>
  <c r="B8951" i="1"/>
  <c r="C8951" i="1"/>
  <c r="B8952" i="1"/>
  <c r="C8952" i="1"/>
  <c r="B8953" i="1"/>
  <c r="C8953" i="1"/>
  <c r="B8954" i="1"/>
  <c r="C8954" i="1"/>
  <c r="B8955" i="1"/>
  <c r="C8955" i="1"/>
  <c r="B8956" i="1"/>
  <c r="C8956" i="1"/>
  <c r="B8957" i="1"/>
  <c r="C8957" i="1"/>
  <c r="B8958" i="1"/>
  <c r="C8958" i="1"/>
  <c r="B8959" i="1"/>
  <c r="C8959" i="1"/>
  <c r="B8960" i="1"/>
  <c r="C8960" i="1"/>
  <c r="B8961" i="1"/>
  <c r="C8961" i="1"/>
  <c r="B8962" i="1"/>
  <c r="C8962" i="1"/>
  <c r="B8963" i="1"/>
  <c r="C8963" i="1"/>
  <c r="B8964" i="1"/>
  <c r="C8964" i="1"/>
  <c r="B8965" i="1"/>
  <c r="C8965" i="1"/>
  <c r="B8966" i="1"/>
  <c r="C8966" i="1"/>
  <c r="B8967" i="1"/>
  <c r="C8967" i="1"/>
  <c r="B8968" i="1"/>
  <c r="C8968" i="1"/>
  <c r="B8969" i="1"/>
  <c r="C8969" i="1"/>
  <c r="B8970" i="1"/>
  <c r="C8970" i="1"/>
  <c r="B8971" i="1"/>
  <c r="C8971" i="1"/>
  <c r="B8972" i="1"/>
  <c r="C8972" i="1"/>
  <c r="B8973" i="1"/>
  <c r="C8973" i="1"/>
  <c r="B8974" i="1"/>
  <c r="C8974" i="1"/>
  <c r="B8975" i="1"/>
  <c r="C8975" i="1"/>
  <c r="B8976" i="1"/>
  <c r="C8976" i="1"/>
  <c r="B8977" i="1"/>
  <c r="C8977" i="1"/>
  <c r="B8978" i="1"/>
  <c r="C8978" i="1"/>
  <c r="B8979" i="1"/>
  <c r="C8979" i="1"/>
  <c r="B8980" i="1"/>
  <c r="C8980" i="1"/>
  <c r="B8981" i="1"/>
  <c r="C8981" i="1"/>
  <c r="B8982" i="1"/>
  <c r="C8982" i="1"/>
  <c r="B8983" i="1"/>
  <c r="C8983" i="1"/>
  <c r="B8984" i="1"/>
  <c r="C8984" i="1"/>
  <c r="B8985" i="1"/>
  <c r="C8985" i="1"/>
  <c r="B8986" i="1"/>
  <c r="C8986" i="1"/>
  <c r="B8987" i="1"/>
  <c r="C8987" i="1"/>
  <c r="B8988" i="1"/>
  <c r="C8988" i="1"/>
  <c r="B8989" i="1"/>
  <c r="C8989" i="1"/>
  <c r="B8990" i="1"/>
  <c r="C8990" i="1"/>
  <c r="B8991" i="1"/>
  <c r="C8991" i="1"/>
  <c r="B8992" i="1"/>
  <c r="C8992" i="1"/>
  <c r="B8993" i="1"/>
  <c r="C8993" i="1"/>
  <c r="B8994" i="1"/>
  <c r="C8994" i="1"/>
  <c r="B8995" i="1"/>
  <c r="C8995" i="1"/>
  <c r="B8996" i="1"/>
  <c r="C8996" i="1"/>
  <c r="B8997" i="1"/>
  <c r="C8997" i="1"/>
  <c r="B8998" i="1"/>
  <c r="C8998" i="1"/>
  <c r="B8999" i="1"/>
  <c r="C8999" i="1"/>
  <c r="B9000" i="1"/>
  <c r="C9000" i="1"/>
  <c r="B9001" i="1"/>
  <c r="C9001" i="1"/>
  <c r="B9002" i="1"/>
  <c r="C9002" i="1"/>
  <c r="B9003" i="1"/>
  <c r="C9003" i="1"/>
  <c r="B9004" i="1"/>
  <c r="C9004" i="1"/>
  <c r="B9005" i="1"/>
  <c r="C9005" i="1"/>
  <c r="B9006" i="1"/>
  <c r="C9006" i="1"/>
  <c r="B9007" i="1"/>
  <c r="C9007" i="1"/>
  <c r="B9008" i="1"/>
  <c r="C9008" i="1"/>
  <c r="B9009" i="1"/>
  <c r="C9009" i="1"/>
  <c r="B9010" i="1"/>
  <c r="C9010" i="1"/>
  <c r="B9011" i="1"/>
  <c r="C9011" i="1"/>
  <c r="B9012" i="1"/>
  <c r="C9012" i="1"/>
  <c r="B9013" i="1"/>
  <c r="C9013" i="1"/>
  <c r="B9014" i="1"/>
  <c r="C9014" i="1"/>
  <c r="B9015" i="1"/>
  <c r="C9015" i="1"/>
  <c r="B9016" i="1"/>
  <c r="C9016" i="1"/>
  <c r="B9017" i="1"/>
  <c r="C9017" i="1"/>
  <c r="B9018" i="1"/>
  <c r="C9018" i="1"/>
  <c r="B9019" i="1"/>
  <c r="C9019" i="1"/>
  <c r="B9020" i="1"/>
  <c r="C9020" i="1"/>
  <c r="B9021" i="1"/>
  <c r="C9021" i="1"/>
  <c r="B9022" i="1"/>
  <c r="C9022" i="1"/>
  <c r="B9023" i="1"/>
  <c r="C9023" i="1"/>
  <c r="B9024" i="1"/>
  <c r="C9024" i="1"/>
  <c r="B9025" i="1"/>
  <c r="C9025" i="1"/>
  <c r="B9026" i="1"/>
  <c r="C9026" i="1"/>
  <c r="B9027" i="1"/>
  <c r="C9027" i="1"/>
  <c r="B9028" i="1"/>
  <c r="C9028" i="1"/>
  <c r="B9029" i="1"/>
  <c r="C9029" i="1"/>
  <c r="B9030" i="1"/>
  <c r="C9030" i="1"/>
  <c r="B9031" i="1"/>
  <c r="C9031" i="1"/>
  <c r="B9032" i="1"/>
  <c r="C9032" i="1"/>
  <c r="B9033" i="1"/>
  <c r="C9033" i="1"/>
  <c r="B9034" i="1"/>
  <c r="C9034" i="1"/>
  <c r="B9035" i="1"/>
  <c r="C9035" i="1"/>
  <c r="B9036" i="1"/>
  <c r="C9036" i="1"/>
  <c r="B9037" i="1"/>
  <c r="C9037" i="1"/>
  <c r="B9038" i="1"/>
  <c r="C9038" i="1"/>
  <c r="B9039" i="1"/>
  <c r="C9039" i="1"/>
  <c r="B9040" i="1"/>
  <c r="C9040" i="1"/>
  <c r="B9041" i="1"/>
  <c r="C9041" i="1"/>
  <c r="B9042" i="1"/>
  <c r="C9042" i="1"/>
  <c r="B9043" i="1"/>
  <c r="C9043" i="1"/>
  <c r="B9044" i="1"/>
  <c r="C9044" i="1"/>
  <c r="B9045" i="1"/>
  <c r="C9045" i="1"/>
  <c r="B9046" i="1"/>
  <c r="C9046" i="1"/>
  <c r="B9047" i="1"/>
  <c r="C9047" i="1"/>
  <c r="B9048" i="1"/>
  <c r="C9048" i="1"/>
  <c r="B9049" i="1"/>
  <c r="C9049" i="1"/>
  <c r="B9050" i="1"/>
  <c r="C9050" i="1"/>
  <c r="B9051" i="1"/>
  <c r="C9051" i="1"/>
  <c r="B9052" i="1"/>
  <c r="C9052" i="1"/>
  <c r="B9053" i="1"/>
  <c r="C9053" i="1"/>
  <c r="B9054" i="1"/>
  <c r="C9054" i="1"/>
  <c r="B9055" i="1"/>
  <c r="C9055" i="1"/>
  <c r="B9056" i="1"/>
  <c r="C9056" i="1"/>
  <c r="B9057" i="1"/>
  <c r="C9057" i="1"/>
  <c r="B9058" i="1"/>
  <c r="C9058" i="1"/>
  <c r="B9059" i="1"/>
  <c r="C9059" i="1"/>
  <c r="B9060" i="1"/>
  <c r="C9060" i="1"/>
  <c r="B9061" i="1"/>
  <c r="C9061" i="1"/>
  <c r="B9062" i="1"/>
  <c r="C9062" i="1"/>
  <c r="B9063" i="1"/>
  <c r="C9063" i="1"/>
  <c r="B9064" i="1"/>
  <c r="C9064" i="1"/>
  <c r="B9065" i="1"/>
  <c r="C9065" i="1"/>
  <c r="B9066" i="1"/>
  <c r="C9066" i="1"/>
  <c r="B9067" i="1"/>
  <c r="C9067" i="1"/>
  <c r="B9068" i="1"/>
  <c r="C9068" i="1"/>
  <c r="B9069" i="1"/>
  <c r="C9069" i="1"/>
  <c r="B9070" i="1"/>
  <c r="C9070" i="1"/>
  <c r="B9071" i="1"/>
  <c r="C9071" i="1"/>
  <c r="B9072" i="1"/>
  <c r="C9072" i="1"/>
  <c r="B9073" i="1"/>
  <c r="C9073" i="1"/>
  <c r="B9074" i="1"/>
  <c r="C9074" i="1"/>
  <c r="B9075" i="1"/>
  <c r="C9075" i="1"/>
  <c r="B9076" i="1"/>
  <c r="C9076" i="1"/>
  <c r="B9077" i="1"/>
  <c r="C9077" i="1"/>
  <c r="B9078" i="1"/>
  <c r="C9078" i="1"/>
  <c r="B9079" i="1"/>
  <c r="C9079" i="1"/>
  <c r="B9080" i="1"/>
  <c r="C9080" i="1"/>
  <c r="B9081" i="1"/>
  <c r="C9081" i="1"/>
  <c r="B9082" i="1"/>
  <c r="C9082" i="1"/>
  <c r="B9083" i="1"/>
  <c r="C9083" i="1"/>
  <c r="B9084" i="1"/>
  <c r="C9084" i="1"/>
  <c r="B9085" i="1"/>
  <c r="C9085" i="1"/>
  <c r="B9086" i="1"/>
  <c r="C9086" i="1"/>
  <c r="B9087" i="1"/>
  <c r="C9087" i="1"/>
  <c r="B9088" i="1"/>
  <c r="C9088" i="1"/>
  <c r="B9089" i="1"/>
  <c r="C9089" i="1"/>
  <c r="B9090" i="1"/>
  <c r="C9090" i="1"/>
  <c r="B9091" i="1"/>
  <c r="C9091" i="1"/>
  <c r="B9092" i="1"/>
  <c r="C9092" i="1"/>
  <c r="B9093" i="1"/>
  <c r="C9093" i="1"/>
  <c r="B9094" i="1"/>
  <c r="C9094" i="1"/>
  <c r="B9095" i="1"/>
  <c r="C9095" i="1"/>
  <c r="B9096" i="1"/>
  <c r="C9096" i="1"/>
  <c r="B9097" i="1"/>
  <c r="C9097" i="1"/>
  <c r="B9098" i="1"/>
  <c r="C9098" i="1"/>
  <c r="B9099" i="1"/>
  <c r="C9099" i="1"/>
  <c r="B9100" i="1"/>
  <c r="C9100" i="1"/>
  <c r="B9101" i="1"/>
  <c r="C9101" i="1"/>
  <c r="B9102" i="1"/>
  <c r="C9102" i="1"/>
  <c r="B9103" i="1"/>
  <c r="C9103" i="1"/>
  <c r="B9104" i="1"/>
  <c r="C9104" i="1"/>
  <c r="B9105" i="1"/>
  <c r="C9105" i="1"/>
  <c r="B9106" i="1"/>
  <c r="C9106" i="1"/>
  <c r="B9107" i="1"/>
  <c r="C9107" i="1"/>
  <c r="B9108" i="1"/>
  <c r="C9108" i="1"/>
  <c r="B9109" i="1"/>
  <c r="C9109" i="1"/>
  <c r="B9110" i="1"/>
  <c r="C9110" i="1"/>
  <c r="B9111" i="1"/>
  <c r="C9111" i="1"/>
  <c r="B9112" i="1"/>
  <c r="C9112" i="1"/>
  <c r="B9113" i="1"/>
  <c r="C9113" i="1"/>
  <c r="B9114" i="1"/>
  <c r="C9114" i="1"/>
  <c r="B9115" i="1"/>
  <c r="C9115" i="1"/>
  <c r="B9116" i="1"/>
  <c r="C9116" i="1"/>
  <c r="B9117" i="1"/>
  <c r="C9117" i="1"/>
  <c r="B9118" i="1"/>
  <c r="C9118" i="1"/>
  <c r="B9119" i="1"/>
  <c r="C9119" i="1"/>
  <c r="B9120" i="1"/>
  <c r="C9120" i="1"/>
  <c r="B9121" i="1"/>
  <c r="C9121" i="1"/>
  <c r="B9122" i="1"/>
  <c r="C9122" i="1"/>
  <c r="B9123" i="1"/>
  <c r="C9123" i="1"/>
  <c r="B9124" i="1"/>
  <c r="C9124" i="1"/>
  <c r="B9125" i="1"/>
  <c r="C9125" i="1"/>
  <c r="B9126" i="1"/>
  <c r="C9126" i="1"/>
  <c r="B9127" i="1"/>
  <c r="C9127" i="1"/>
  <c r="B9128" i="1"/>
  <c r="C9128" i="1"/>
  <c r="B9129" i="1"/>
  <c r="C9129" i="1"/>
  <c r="B9130" i="1"/>
  <c r="C9130" i="1"/>
  <c r="B9131" i="1"/>
  <c r="C9131" i="1"/>
  <c r="B9132" i="1"/>
  <c r="C9132" i="1"/>
  <c r="B9133" i="1"/>
  <c r="C9133" i="1"/>
  <c r="B9134" i="1"/>
  <c r="C9134" i="1"/>
  <c r="B9135" i="1"/>
  <c r="C9135" i="1"/>
  <c r="B9136" i="1"/>
  <c r="C9136" i="1"/>
  <c r="B9137" i="1"/>
  <c r="C9137" i="1"/>
  <c r="B9138" i="1"/>
  <c r="C9138" i="1"/>
  <c r="B9139" i="1"/>
  <c r="C9139" i="1"/>
  <c r="B9140" i="1"/>
  <c r="C9140" i="1"/>
  <c r="B9141" i="1"/>
  <c r="C9141" i="1"/>
  <c r="B9142" i="1"/>
  <c r="C9142" i="1"/>
  <c r="B9143" i="1"/>
  <c r="C9143" i="1"/>
  <c r="B9144" i="1"/>
  <c r="C9144" i="1"/>
  <c r="B9145" i="1"/>
  <c r="C9145" i="1"/>
  <c r="B9146" i="1"/>
  <c r="C9146" i="1"/>
  <c r="B9147" i="1"/>
  <c r="C9147" i="1"/>
  <c r="B9148" i="1"/>
  <c r="C9148" i="1"/>
  <c r="B9149" i="1"/>
  <c r="C9149" i="1"/>
  <c r="B9150" i="1"/>
  <c r="C9150" i="1"/>
  <c r="B9151" i="1"/>
  <c r="C9151" i="1"/>
  <c r="B9152" i="1"/>
  <c r="C9152" i="1"/>
  <c r="B9153" i="1"/>
  <c r="C9153" i="1"/>
  <c r="B9154" i="1"/>
  <c r="C9154" i="1"/>
  <c r="B9155" i="1"/>
  <c r="C9155" i="1"/>
  <c r="B9156" i="1"/>
  <c r="C9156" i="1"/>
  <c r="B9157" i="1"/>
  <c r="C9157" i="1"/>
  <c r="B9158" i="1"/>
  <c r="C9158" i="1"/>
  <c r="B9159" i="1"/>
  <c r="C9159" i="1"/>
  <c r="B9160" i="1"/>
  <c r="C9160" i="1"/>
  <c r="B9161" i="1"/>
  <c r="C9161" i="1"/>
  <c r="B9162" i="1"/>
  <c r="C9162" i="1"/>
  <c r="B9163" i="1"/>
  <c r="C9163" i="1"/>
  <c r="B9164" i="1"/>
  <c r="C9164" i="1"/>
  <c r="B9165" i="1"/>
  <c r="C9165" i="1"/>
  <c r="B9166" i="1"/>
  <c r="C9166" i="1"/>
  <c r="B9167" i="1"/>
  <c r="C9167" i="1"/>
  <c r="B9168" i="1"/>
  <c r="C9168" i="1"/>
  <c r="B9169" i="1"/>
  <c r="C9169" i="1"/>
  <c r="B9170" i="1"/>
  <c r="C9170" i="1"/>
  <c r="B9171" i="1"/>
  <c r="C9171" i="1"/>
  <c r="B9172" i="1"/>
  <c r="C9172" i="1"/>
  <c r="B9173" i="1"/>
  <c r="C9173" i="1"/>
  <c r="B9174" i="1"/>
  <c r="C9174" i="1"/>
  <c r="B9175" i="1"/>
  <c r="C9175" i="1"/>
  <c r="B9176" i="1"/>
  <c r="C9176" i="1"/>
  <c r="B9177" i="1"/>
  <c r="C9177" i="1"/>
  <c r="B9178" i="1"/>
  <c r="C9178" i="1"/>
  <c r="B9179" i="1"/>
  <c r="C9179" i="1"/>
  <c r="B9180" i="1"/>
  <c r="C9180" i="1"/>
  <c r="B9181" i="1"/>
  <c r="C9181" i="1"/>
  <c r="B9182" i="1"/>
  <c r="C9182" i="1"/>
  <c r="B9183" i="1"/>
  <c r="C9183" i="1"/>
  <c r="B9184" i="1"/>
  <c r="C9184" i="1"/>
  <c r="B9185" i="1"/>
  <c r="C9185" i="1"/>
  <c r="B9186" i="1"/>
  <c r="C9186" i="1"/>
  <c r="B9187" i="1"/>
  <c r="C9187" i="1"/>
  <c r="B9188" i="1"/>
  <c r="C9188" i="1"/>
  <c r="B9189" i="1"/>
  <c r="C9189" i="1"/>
  <c r="B9190" i="1"/>
  <c r="C9190" i="1"/>
  <c r="B9191" i="1"/>
  <c r="C9191" i="1"/>
  <c r="B9192" i="1"/>
  <c r="C9192" i="1"/>
  <c r="B9193" i="1"/>
  <c r="C9193" i="1"/>
  <c r="B9194" i="1"/>
  <c r="C9194" i="1"/>
  <c r="B9195" i="1"/>
  <c r="C9195" i="1"/>
  <c r="B9196" i="1"/>
  <c r="C9196" i="1"/>
  <c r="B9197" i="1"/>
  <c r="C9197" i="1"/>
  <c r="B9198" i="1"/>
  <c r="C9198" i="1"/>
  <c r="B9199" i="1"/>
  <c r="C9199" i="1"/>
  <c r="B9200" i="1"/>
  <c r="C9200" i="1"/>
  <c r="B9201" i="1"/>
  <c r="C9201" i="1"/>
  <c r="B9202" i="1"/>
  <c r="C9202" i="1"/>
  <c r="B9203" i="1"/>
  <c r="C9203" i="1"/>
  <c r="B9204" i="1"/>
  <c r="C9204" i="1"/>
  <c r="B9205" i="1"/>
  <c r="C9205" i="1"/>
  <c r="B9206" i="1"/>
  <c r="C9206" i="1"/>
  <c r="B9207" i="1"/>
  <c r="C9207" i="1"/>
  <c r="B9208" i="1"/>
  <c r="C9208" i="1"/>
  <c r="B9209" i="1"/>
  <c r="C9209" i="1"/>
  <c r="B9210" i="1"/>
  <c r="C9210" i="1"/>
  <c r="B9211" i="1"/>
  <c r="C9211" i="1"/>
  <c r="B9212" i="1"/>
  <c r="C9212" i="1"/>
  <c r="B9213" i="1"/>
  <c r="C9213" i="1"/>
  <c r="B9214" i="1"/>
  <c r="C9214" i="1"/>
  <c r="B9215" i="1"/>
  <c r="C9215" i="1"/>
  <c r="B9216" i="1"/>
  <c r="C9216" i="1"/>
  <c r="B9217" i="1"/>
  <c r="C9217" i="1"/>
  <c r="B9218" i="1"/>
  <c r="C9218" i="1"/>
  <c r="B9219" i="1"/>
  <c r="C9219" i="1"/>
  <c r="B9220" i="1"/>
  <c r="C9220" i="1"/>
  <c r="B9221" i="1"/>
  <c r="C9221" i="1"/>
  <c r="B9222" i="1"/>
  <c r="C9222" i="1"/>
  <c r="B9223" i="1"/>
  <c r="C9223" i="1"/>
  <c r="B9224" i="1"/>
  <c r="C9224" i="1"/>
  <c r="B9225" i="1"/>
  <c r="C9225" i="1"/>
  <c r="B9226" i="1"/>
  <c r="C9226" i="1"/>
  <c r="B9227" i="1"/>
  <c r="C9227" i="1"/>
  <c r="B9228" i="1"/>
  <c r="C9228" i="1"/>
  <c r="B9229" i="1"/>
  <c r="C9229" i="1"/>
  <c r="B9230" i="1"/>
  <c r="C9230" i="1"/>
  <c r="B9231" i="1"/>
  <c r="C9231" i="1"/>
  <c r="B9232" i="1"/>
  <c r="C9232" i="1"/>
  <c r="B9233" i="1"/>
  <c r="C9233" i="1"/>
  <c r="B9234" i="1"/>
  <c r="C9234" i="1"/>
  <c r="B9235" i="1"/>
  <c r="C9235" i="1"/>
  <c r="B9236" i="1"/>
  <c r="C9236" i="1"/>
  <c r="B9237" i="1"/>
  <c r="C9237" i="1"/>
  <c r="B9238" i="1"/>
  <c r="C9238" i="1"/>
  <c r="B9239" i="1"/>
  <c r="C9239" i="1"/>
  <c r="B9240" i="1"/>
  <c r="C9240" i="1"/>
  <c r="B9241" i="1"/>
  <c r="C9241" i="1"/>
  <c r="B9242" i="1"/>
  <c r="C9242" i="1"/>
  <c r="B9243" i="1"/>
  <c r="C9243" i="1"/>
  <c r="B9244" i="1"/>
  <c r="C9244" i="1"/>
  <c r="B9245" i="1"/>
  <c r="C9245" i="1"/>
  <c r="B9246" i="1"/>
  <c r="C9246" i="1"/>
  <c r="B9247" i="1"/>
  <c r="C9247" i="1"/>
  <c r="B9248" i="1"/>
  <c r="C9248" i="1"/>
  <c r="B9249" i="1"/>
  <c r="C9249" i="1"/>
  <c r="B9250" i="1"/>
  <c r="C9250" i="1"/>
  <c r="B9251" i="1"/>
  <c r="C9251" i="1"/>
  <c r="B9252" i="1"/>
  <c r="C9252" i="1"/>
  <c r="B9253" i="1"/>
  <c r="C9253" i="1"/>
  <c r="B9254" i="1"/>
  <c r="C9254" i="1"/>
  <c r="B9255" i="1"/>
  <c r="C9255" i="1"/>
  <c r="B9256" i="1"/>
  <c r="C9256" i="1"/>
  <c r="B9257" i="1"/>
  <c r="C9257" i="1"/>
  <c r="B9258" i="1"/>
  <c r="C9258" i="1"/>
  <c r="B9259" i="1"/>
  <c r="C9259" i="1"/>
  <c r="B9260" i="1"/>
  <c r="C9260" i="1"/>
  <c r="B9261" i="1"/>
  <c r="C9261" i="1"/>
  <c r="B9262" i="1"/>
  <c r="C9262" i="1"/>
  <c r="B9263" i="1"/>
  <c r="C9263" i="1"/>
  <c r="B9264" i="1"/>
  <c r="C9264" i="1"/>
  <c r="B9265" i="1"/>
  <c r="C9265" i="1"/>
  <c r="B9266" i="1"/>
  <c r="C9266" i="1"/>
  <c r="B9267" i="1"/>
  <c r="C9267" i="1"/>
  <c r="B9268" i="1"/>
  <c r="C9268" i="1"/>
  <c r="B9269" i="1"/>
  <c r="C9269" i="1"/>
  <c r="B9270" i="1"/>
  <c r="C9270" i="1"/>
  <c r="B9271" i="1"/>
  <c r="C9271" i="1"/>
  <c r="B9272" i="1"/>
  <c r="C9272" i="1"/>
  <c r="B9273" i="1"/>
  <c r="C9273" i="1"/>
  <c r="B9274" i="1"/>
  <c r="C9274" i="1"/>
  <c r="B9275" i="1"/>
  <c r="C9275" i="1"/>
  <c r="B9276" i="1"/>
  <c r="C9276" i="1"/>
  <c r="B9277" i="1"/>
  <c r="C9277" i="1"/>
  <c r="B9278" i="1"/>
  <c r="C9278" i="1"/>
  <c r="B9279" i="1"/>
  <c r="C9279" i="1"/>
  <c r="B9280" i="1"/>
  <c r="C9280" i="1"/>
  <c r="B9281" i="1"/>
  <c r="C9281" i="1"/>
  <c r="B9282" i="1"/>
  <c r="C9282" i="1"/>
  <c r="B9283" i="1"/>
  <c r="C9283" i="1"/>
  <c r="B9284" i="1"/>
  <c r="C9284" i="1"/>
  <c r="B9285" i="1"/>
  <c r="C9285" i="1"/>
  <c r="B9286" i="1"/>
  <c r="C9286" i="1"/>
  <c r="B9287" i="1"/>
  <c r="C9287" i="1"/>
  <c r="B9288" i="1"/>
  <c r="C9288" i="1"/>
  <c r="B9289" i="1"/>
  <c r="C9289" i="1"/>
  <c r="B9290" i="1"/>
  <c r="C9290" i="1"/>
  <c r="B9291" i="1"/>
  <c r="C9291" i="1"/>
  <c r="B9292" i="1"/>
  <c r="C9292" i="1"/>
  <c r="B9293" i="1"/>
  <c r="C9293" i="1"/>
  <c r="B9294" i="1"/>
  <c r="C9294" i="1"/>
  <c r="B9295" i="1"/>
  <c r="C9295" i="1"/>
  <c r="B9296" i="1"/>
  <c r="C9296" i="1"/>
  <c r="B9297" i="1"/>
  <c r="C9297" i="1"/>
  <c r="B9298" i="1"/>
  <c r="C9298" i="1"/>
  <c r="B9299" i="1"/>
  <c r="C9299" i="1"/>
  <c r="B9300" i="1"/>
  <c r="C9300" i="1"/>
  <c r="B9301" i="1"/>
  <c r="C9301" i="1"/>
  <c r="B9302" i="1"/>
  <c r="C9302" i="1"/>
  <c r="B9303" i="1"/>
  <c r="C9303" i="1"/>
  <c r="B9304" i="1"/>
  <c r="C9304" i="1"/>
  <c r="B9305" i="1"/>
  <c r="C9305" i="1"/>
  <c r="B9306" i="1"/>
  <c r="C9306" i="1"/>
  <c r="B9307" i="1"/>
  <c r="C9307" i="1"/>
  <c r="B9308" i="1"/>
  <c r="C9308" i="1"/>
  <c r="B9309" i="1"/>
  <c r="C9309" i="1"/>
  <c r="B9310" i="1"/>
  <c r="C9310" i="1"/>
  <c r="B9311" i="1"/>
  <c r="C9311" i="1"/>
  <c r="B9312" i="1"/>
  <c r="C9312" i="1"/>
  <c r="B9313" i="1"/>
  <c r="C9313" i="1"/>
  <c r="B9314" i="1"/>
  <c r="C9314" i="1"/>
  <c r="B9315" i="1"/>
  <c r="C9315" i="1"/>
  <c r="B9316" i="1"/>
  <c r="C9316" i="1"/>
  <c r="B9317" i="1"/>
  <c r="C9317" i="1"/>
  <c r="B9318" i="1"/>
  <c r="C9318" i="1"/>
  <c r="B9319" i="1"/>
  <c r="C9319" i="1"/>
  <c r="B9320" i="1"/>
  <c r="C9320" i="1"/>
  <c r="B9321" i="1"/>
  <c r="C9321" i="1"/>
  <c r="B9322" i="1"/>
  <c r="C9322" i="1"/>
  <c r="B9323" i="1"/>
  <c r="C9323" i="1"/>
  <c r="B9324" i="1"/>
  <c r="C9324" i="1"/>
  <c r="B9325" i="1"/>
  <c r="C9325" i="1"/>
  <c r="B9326" i="1"/>
  <c r="C9326" i="1"/>
  <c r="B9327" i="1"/>
  <c r="C9327" i="1"/>
  <c r="B9328" i="1"/>
  <c r="C9328" i="1"/>
  <c r="B9329" i="1"/>
  <c r="C9329" i="1"/>
  <c r="B9330" i="1"/>
  <c r="C9330" i="1"/>
  <c r="B9331" i="1"/>
  <c r="C9331" i="1"/>
  <c r="B9332" i="1"/>
  <c r="C9332" i="1"/>
  <c r="B9333" i="1"/>
  <c r="C9333" i="1"/>
  <c r="B9334" i="1"/>
  <c r="C9334" i="1"/>
  <c r="B9335" i="1"/>
  <c r="C9335" i="1"/>
  <c r="B9336" i="1"/>
  <c r="C9336" i="1"/>
  <c r="B9337" i="1"/>
  <c r="C9337" i="1"/>
  <c r="B9338" i="1"/>
  <c r="C9338" i="1"/>
  <c r="B9339" i="1"/>
  <c r="C9339" i="1"/>
  <c r="B9340" i="1"/>
  <c r="C9340" i="1"/>
  <c r="B9341" i="1"/>
  <c r="C9341" i="1"/>
  <c r="B9342" i="1"/>
  <c r="C9342" i="1"/>
  <c r="B9343" i="1"/>
  <c r="C9343" i="1"/>
  <c r="B9344" i="1"/>
  <c r="C9344" i="1"/>
  <c r="B9345" i="1"/>
  <c r="C9345" i="1"/>
  <c r="B9346" i="1"/>
  <c r="C9346" i="1"/>
  <c r="B9347" i="1"/>
  <c r="C9347" i="1"/>
  <c r="B9348" i="1"/>
  <c r="C9348" i="1"/>
  <c r="B9349" i="1"/>
  <c r="C9349" i="1"/>
  <c r="B9350" i="1"/>
  <c r="C9350" i="1"/>
  <c r="B9351" i="1"/>
  <c r="C9351" i="1"/>
  <c r="B9352" i="1"/>
  <c r="C9352" i="1"/>
  <c r="B9353" i="1"/>
  <c r="C9353" i="1"/>
  <c r="B9354" i="1"/>
  <c r="C9354" i="1"/>
  <c r="B9355" i="1"/>
  <c r="C9355" i="1"/>
  <c r="B9356" i="1"/>
  <c r="C9356" i="1"/>
  <c r="B9357" i="1"/>
  <c r="C9357" i="1"/>
  <c r="B9358" i="1"/>
  <c r="C9358" i="1"/>
  <c r="B9359" i="1"/>
  <c r="C9359" i="1"/>
  <c r="B9360" i="1"/>
  <c r="C9360" i="1"/>
  <c r="B9361" i="1"/>
  <c r="C9361" i="1"/>
  <c r="B9362" i="1"/>
  <c r="C9362" i="1"/>
  <c r="B9363" i="1"/>
  <c r="C9363" i="1"/>
  <c r="B9364" i="1"/>
  <c r="C9364" i="1"/>
  <c r="B9365" i="1"/>
  <c r="C9365" i="1"/>
  <c r="B9366" i="1"/>
  <c r="C9366" i="1"/>
  <c r="B9367" i="1"/>
  <c r="C9367" i="1"/>
  <c r="B9368" i="1"/>
  <c r="C9368" i="1"/>
  <c r="B9369" i="1"/>
  <c r="C9369" i="1"/>
  <c r="B9370" i="1"/>
  <c r="C9370" i="1"/>
  <c r="B9371" i="1"/>
  <c r="C9371" i="1"/>
  <c r="B9372" i="1"/>
  <c r="C9372" i="1"/>
  <c r="B9373" i="1"/>
  <c r="C9373" i="1"/>
  <c r="B9374" i="1"/>
  <c r="C9374" i="1"/>
  <c r="B9375" i="1"/>
  <c r="C9375" i="1"/>
  <c r="B9376" i="1"/>
  <c r="C9376" i="1"/>
  <c r="B9377" i="1"/>
  <c r="C9377" i="1"/>
  <c r="B9378" i="1"/>
  <c r="C9378" i="1"/>
  <c r="B9379" i="1"/>
  <c r="C9379" i="1"/>
  <c r="B9380" i="1"/>
  <c r="C9380" i="1"/>
  <c r="B9381" i="1"/>
  <c r="C9381" i="1"/>
  <c r="B9382" i="1"/>
  <c r="C9382" i="1"/>
  <c r="B9383" i="1"/>
  <c r="C9383" i="1"/>
  <c r="B9384" i="1"/>
  <c r="C9384" i="1"/>
  <c r="B9385" i="1"/>
  <c r="C9385" i="1"/>
  <c r="B9386" i="1"/>
  <c r="C9386" i="1"/>
  <c r="B9387" i="1"/>
  <c r="C9387" i="1"/>
  <c r="B9388" i="1"/>
  <c r="C9388" i="1"/>
  <c r="B9389" i="1"/>
  <c r="C9389" i="1"/>
  <c r="B9390" i="1"/>
  <c r="C9390" i="1"/>
  <c r="B9391" i="1"/>
  <c r="C9391" i="1"/>
  <c r="B9392" i="1"/>
  <c r="C9392" i="1"/>
  <c r="B9393" i="1"/>
  <c r="C9393" i="1"/>
  <c r="B9394" i="1"/>
  <c r="C9394" i="1"/>
  <c r="B9395" i="1"/>
  <c r="C9395" i="1"/>
  <c r="B9396" i="1"/>
  <c r="C9396" i="1"/>
  <c r="B9397" i="1"/>
  <c r="C9397" i="1"/>
  <c r="B9398" i="1"/>
  <c r="C9398" i="1"/>
  <c r="B9399" i="1"/>
  <c r="C9399" i="1"/>
  <c r="B9400" i="1"/>
  <c r="C9400" i="1"/>
  <c r="B9401" i="1"/>
  <c r="C9401" i="1"/>
  <c r="B9402" i="1"/>
  <c r="C9402" i="1"/>
  <c r="B9403" i="1"/>
  <c r="C9403" i="1"/>
  <c r="B9404" i="1"/>
  <c r="C9404" i="1"/>
  <c r="B9405" i="1"/>
  <c r="C9405" i="1"/>
  <c r="B9406" i="1"/>
  <c r="C9406" i="1"/>
  <c r="B9407" i="1"/>
  <c r="C9407" i="1"/>
  <c r="B9408" i="1"/>
  <c r="C9408" i="1"/>
  <c r="B9409" i="1"/>
  <c r="C9409" i="1"/>
  <c r="B9410" i="1"/>
  <c r="C9410" i="1"/>
  <c r="B9411" i="1"/>
  <c r="C9411" i="1"/>
  <c r="B9412" i="1"/>
  <c r="C9412" i="1"/>
  <c r="B9413" i="1"/>
  <c r="C9413" i="1"/>
  <c r="B9414" i="1"/>
  <c r="C9414" i="1"/>
  <c r="B9415" i="1"/>
  <c r="C9415" i="1"/>
  <c r="B9416" i="1"/>
  <c r="C9416" i="1"/>
  <c r="B9417" i="1"/>
  <c r="C9417" i="1"/>
  <c r="B9418" i="1"/>
  <c r="C9418" i="1"/>
  <c r="B9419" i="1"/>
  <c r="C9419" i="1"/>
  <c r="B9420" i="1"/>
  <c r="C9420" i="1"/>
  <c r="B9421" i="1"/>
  <c r="C9421" i="1"/>
  <c r="B9422" i="1"/>
  <c r="C9422" i="1"/>
  <c r="B9423" i="1"/>
  <c r="C9423" i="1"/>
  <c r="B9424" i="1"/>
  <c r="C9424" i="1"/>
  <c r="B9425" i="1"/>
  <c r="C9425" i="1"/>
  <c r="B9426" i="1"/>
  <c r="C9426" i="1"/>
  <c r="B9427" i="1"/>
  <c r="C9427" i="1"/>
  <c r="B9428" i="1"/>
  <c r="C9428" i="1"/>
  <c r="B9429" i="1"/>
  <c r="C9429" i="1"/>
  <c r="B9430" i="1"/>
  <c r="C9430" i="1"/>
  <c r="B9431" i="1"/>
  <c r="C9431" i="1"/>
  <c r="B9432" i="1"/>
  <c r="C9432" i="1"/>
  <c r="B9433" i="1"/>
  <c r="C9433" i="1"/>
  <c r="B9434" i="1"/>
  <c r="C9434" i="1"/>
  <c r="B9435" i="1"/>
  <c r="C9435" i="1"/>
  <c r="B9436" i="1"/>
  <c r="C9436" i="1"/>
  <c r="B9437" i="1"/>
  <c r="C9437" i="1"/>
  <c r="B9438" i="1"/>
  <c r="C9438" i="1"/>
  <c r="B9439" i="1"/>
  <c r="C9439" i="1"/>
  <c r="B9440" i="1"/>
  <c r="C9440" i="1"/>
  <c r="B9441" i="1"/>
  <c r="C9441" i="1"/>
  <c r="B9442" i="1"/>
  <c r="C9442" i="1"/>
  <c r="B9443" i="1"/>
  <c r="C9443" i="1"/>
  <c r="B9444" i="1"/>
  <c r="C9444" i="1"/>
  <c r="B9445" i="1"/>
  <c r="C9445" i="1"/>
  <c r="B9446" i="1"/>
  <c r="C9446" i="1"/>
  <c r="B9447" i="1"/>
  <c r="C9447" i="1"/>
  <c r="B9448" i="1"/>
  <c r="C9448" i="1"/>
  <c r="B9449" i="1"/>
  <c r="C9449" i="1"/>
  <c r="B9450" i="1"/>
  <c r="C9450" i="1"/>
  <c r="B9451" i="1"/>
  <c r="C9451" i="1"/>
  <c r="B9452" i="1"/>
  <c r="C9452" i="1"/>
  <c r="B9453" i="1"/>
  <c r="C9453" i="1"/>
  <c r="B9454" i="1"/>
  <c r="C9454" i="1"/>
  <c r="B9455" i="1"/>
  <c r="C9455" i="1"/>
  <c r="B9456" i="1"/>
  <c r="C9456" i="1"/>
  <c r="B9457" i="1"/>
  <c r="C9457" i="1"/>
  <c r="B9458" i="1"/>
  <c r="C9458" i="1"/>
  <c r="B9459" i="1"/>
  <c r="C9459" i="1"/>
  <c r="B9460" i="1"/>
  <c r="C9460" i="1"/>
  <c r="B9461" i="1"/>
  <c r="C9461" i="1"/>
  <c r="B9462" i="1"/>
  <c r="C9462" i="1"/>
  <c r="B9463" i="1"/>
  <c r="C9463" i="1"/>
  <c r="B9464" i="1"/>
  <c r="C9464" i="1"/>
  <c r="B9465" i="1"/>
  <c r="C9465" i="1"/>
  <c r="B9466" i="1"/>
  <c r="C9466" i="1"/>
  <c r="B9467" i="1"/>
  <c r="C9467" i="1"/>
  <c r="B9468" i="1"/>
  <c r="C9468" i="1"/>
  <c r="B9469" i="1"/>
  <c r="C9469" i="1"/>
  <c r="B9470" i="1"/>
  <c r="C9470" i="1"/>
  <c r="B9471" i="1"/>
  <c r="C9471" i="1"/>
  <c r="B9472" i="1"/>
  <c r="C9472" i="1"/>
  <c r="B9473" i="1"/>
  <c r="C9473" i="1"/>
  <c r="B9474" i="1"/>
  <c r="C9474" i="1"/>
  <c r="B9475" i="1"/>
  <c r="C9475" i="1"/>
  <c r="B9476" i="1"/>
  <c r="C9476" i="1"/>
  <c r="B9477" i="1"/>
  <c r="C9477" i="1"/>
  <c r="B9478" i="1"/>
  <c r="C9478" i="1"/>
  <c r="B9479" i="1"/>
  <c r="C9479" i="1"/>
  <c r="B9480" i="1"/>
  <c r="C9480" i="1"/>
  <c r="B9481" i="1"/>
  <c r="C9481" i="1"/>
  <c r="B9482" i="1"/>
  <c r="C9482" i="1"/>
  <c r="B9483" i="1"/>
  <c r="C9483" i="1"/>
  <c r="B9484" i="1"/>
  <c r="C9484" i="1"/>
  <c r="B9485" i="1"/>
  <c r="C9485" i="1"/>
  <c r="B9486" i="1"/>
  <c r="C9486" i="1"/>
  <c r="B9487" i="1"/>
  <c r="C9487" i="1"/>
  <c r="B9488" i="1"/>
  <c r="C9488" i="1"/>
  <c r="B9489" i="1"/>
  <c r="C9489" i="1"/>
  <c r="B9490" i="1"/>
  <c r="C9490" i="1"/>
  <c r="B9491" i="1"/>
  <c r="C9491" i="1"/>
  <c r="B9492" i="1"/>
  <c r="C9492" i="1"/>
  <c r="B9493" i="1"/>
  <c r="C9493" i="1"/>
  <c r="B9494" i="1"/>
  <c r="C9494" i="1"/>
  <c r="B9495" i="1"/>
  <c r="C9495" i="1"/>
  <c r="B9496" i="1"/>
  <c r="C9496" i="1"/>
  <c r="B9497" i="1"/>
  <c r="C9497" i="1"/>
  <c r="B9498" i="1"/>
  <c r="C9498" i="1"/>
  <c r="B9499" i="1"/>
  <c r="C9499" i="1"/>
  <c r="B9500" i="1"/>
  <c r="C9500" i="1"/>
  <c r="B9501" i="1"/>
  <c r="C9501" i="1"/>
  <c r="B9502" i="1"/>
  <c r="C9502" i="1"/>
  <c r="B9503" i="1"/>
  <c r="C9503" i="1"/>
  <c r="B9504" i="1"/>
  <c r="C9504" i="1"/>
  <c r="B9505" i="1"/>
  <c r="C9505" i="1"/>
  <c r="B9506" i="1"/>
  <c r="C9506" i="1"/>
  <c r="B9507" i="1"/>
  <c r="C9507" i="1"/>
  <c r="B9508" i="1"/>
  <c r="C9508" i="1"/>
  <c r="B9509" i="1"/>
  <c r="C9509" i="1"/>
  <c r="B9510" i="1"/>
  <c r="C9510" i="1"/>
  <c r="B9511" i="1"/>
  <c r="C9511" i="1"/>
  <c r="B9512" i="1"/>
  <c r="C9512" i="1"/>
  <c r="B9513" i="1"/>
  <c r="C9513" i="1"/>
  <c r="B9514" i="1"/>
  <c r="C9514" i="1"/>
  <c r="B9515" i="1"/>
  <c r="C9515" i="1"/>
  <c r="B9516" i="1"/>
  <c r="C9516" i="1"/>
  <c r="B9517" i="1"/>
  <c r="C9517" i="1"/>
  <c r="B9518" i="1"/>
  <c r="C9518" i="1"/>
  <c r="B9519" i="1"/>
  <c r="C9519" i="1"/>
  <c r="B9520" i="1"/>
  <c r="C9520" i="1"/>
  <c r="B9521" i="1"/>
  <c r="C9521" i="1"/>
  <c r="B9522" i="1"/>
  <c r="C9522" i="1"/>
  <c r="B9523" i="1"/>
  <c r="C9523" i="1"/>
  <c r="B9524" i="1"/>
  <c r="C9524" i="1"/>
  <c r="B9525" i="1"/>
  <c r="C9525" i="1"/>
  <c r="B9526" i="1"/>
  <c r="C9526" i="1"/>
  <c r="B9527" i="1"/>
  <c r="C9527" i="1"/>
  <c r="B9528" i="1"/>
  <c r="C9528" i="1"/>
  <c r="B9529" i="1"/>
  <c r="C9529" i="1"/>
  <c r="B9530" i="1"/>
  <c r="C9530" i="1"/>
  <c r="B9531" i="1"/>
  <c r="C9531" i="1"/>
  <c r="B9532" i="1"/>
  <c r="C9532" i="1"/>
  <c r="B9533" i="1"/>
  <c r="C9533" i="1"/>
  <c r="B9534" i="1"/>
  <c r="C9534" i="1"/>
  <c r="B9535" i="1"/>
  <c r="C9535" i="1"/>
  <c r="B9536" i="1"/>
  <c r="C9536" i="1"/>
  <c r="B9537" i="1"/>
  <c r="C9537" i="1"/>
  <c r="B9538" i="1"/>
  <c r="C9538" i="1"/>
  <c r="B9539" i="1"/>
  <c r="C9539" i="1"/>
  <c r="B9540" i="1"/>
  <c r="C9540" i="1"/>
  <c r="B9541" i="1"/>
  <c r="C9541" i="1"/>
  <c r="B9542" i="1"/>
  <c r="C9542" i="1"/>
  <c r="B9543" i="1"/>
  <c r="C9543" i="1"/>
  <c r="B9544" i="1"/>
  <c r="C9544" i="1"/>
  <c r="B9545" i="1"/>
  <c r="C9545" i="1"/>
  <c r="B9546" i="1"/>
  <c r="C9546" i="1"/>
  <c r="B9547" i="1"/>
  <c r="C9547" i="1"/>
  <c r="B9548" i="1"/>
  <c r="C9548" i="1"/>
  <c r="B9549" i="1"/>
  <c r="C9549" i="1"/>
  <c r="B9550" i="1"/>
  <c r="C9550" i="1"/>
  <c r="B9551" i="1"/>
  <c r="C9551" i="1"/>
  <c r="B9552" i="1"/>
  <c r="C9552" i="1"/>
  <c r="B9553" i="1"/>
  <c r="C9553" i="1"/>
  <c r="B9554" i="1"/>
  <c r="C9554" i="1"/>
  <c r="B9555" i="1"/>
  <c r="C9555" i="1"/>
  <c r="B9556" i="1"/>
  <c r="C9556" i="1"/>
  <c r="B9557" i="1"/>
  <c r="C9557" i="1"/>
  <c r="B9558" i="1"/>
  <c r="C9558" i="1"/>
  <c r="B9559" i="1"/>
  <c r="C9559" i="1"/>
  <c r="B9560" i="1"/>
  <c r="C9560" i="1"/>
  <c r="B9561" i="1"/>
  <c r="C9561" i="1"/>
  <c r="B9562" i="1"/>
  <c r="C9562" i="1"/>
  <c r="B9563" i="1"/>
  <c r="C9563" i="1"/>
  <c r="B9564" i="1"/>
  <c r="C9564" i="1"/>
  <c r="B9565" i="1"/>
  <c r="C9565" i="1"/>
  <c r="B9566" i="1"/>
  <c r="C9566" i="1"/>
  <c r="B9567" i="1"/>
  <c r="C9567" i="1"/>
  <c r="B9568" i="1"/>
  <c r="C9568" i="1"/>
  <c r="B9569" i="1"/>
  <c r="C9569" i="1"/>
  <c r="B9570" i="1"/>
  <c r="C9570" i="1"/>
  <c r="B9571" i="1"/>
  <c r="C9571" i="1"/>
  <c r="B9572" i="1"/>
  <c r="C9572" i="1"/>
  <c r="B9573" i="1"/>
  <c r="C9573" i="1"/>
  <c r="B9574" i="1"/>
  <c r="C9574" i="1"/>
  <c r="B9575" i="1"/>
  <c r="C9575" i="1"/>
  <c r="B9576" i="1"/>
  <c r="C9576" i="1"/>
  <c r="B9577" i="1"/>
  <c r="C9577" i="1"/>
  <c r="B9578" i="1"/>
  <c r="C9578" i="1"/>
  <c r="B9579" i="1"/>
  <c r="C9579" i="1"/>
  <c r="B9580" i="1"/>
  <c r="C9580" i="1"/>
  <c r="B9581" i="1"/>
  <c r="C9581" i="1"/>
  <c r="B9582" i="1"/>
  <c r="C9582" i="1"/>
  <c r="B9583" i="1"/>
  <c r="C9583" i="1"/>
  <c r="B9584" i="1"/>
  <c r="C9584" i="1"/>
  <c r="B9585" i="1"/>
  <c r="C9585" i="1"/>
  <c r="B9586" i="1"/>
  <c r="C9586" i="1"/>
  <c r="B9587" i="1"/>
  <c r="C9587" i="1"/>
  <c r="B9588" i="1"/>
  <c r="C9588" i="1"/>
  <c r="B9589" i="1"/>
  <c r="C9589" i="1"/>
  <c r="B9590" i="1"/>
  <c r="C9590" i="1"/>
  <c r="B9591" i="1"/>
  <c r="C9591" i="1"/>
  <c r="B9592" i="1"/>
  <c r="C9592" i="1"/>
  <c r="B9593" i="1"/>
  <c r="C9593" i="1"/>
  <c r="B9594" i="1"/>
  <c r="C9594" i="1"/>
  <c r="B9595" i="1"/>
  <c r="C9595" i="1"/>
  <c r="B9596" i="1"/>
  <c r="C9596" i="1"/>
  <c r="B9597" i="1"/>
  <c r="C9597" i="1"/>
  <c r="B9598" i="1"/>
  <c r="C9598" i="1"/>
  <c r="B9599" i="1"/>
  <c r="C9599" i="1"/>
  <c r="B9600" i="1"/>
  <c r="C9600" i="1"/>
  <c r="B9601" i="1"/>
  <c r="C9601" i="1"/>
  <c r="B9602" i="1"/>
  <c r="C9602" i="1"/>
  <c r="B9603" i="1"/>
  <c r="C9603" i="1"/>
  <c r="B9604" i="1"/>
  <c r="C9604" i="1"/>
  <c r="B9605" i="1"/>
  <c r="C9605" i="1"/>
  <c r="B9606" i="1"/>
  <c r="C9606" i="1"/>
  <c r="B9607" i="1"/>
  <c r="C9607" i="1"/>
  <c r="B9608" i="1"/>
  <c r="C9608" i="1"/>
  <c r="B9609" i="1"/>
  <c r="C9609" i="1"/>
  <c r="B9610" i="1"/>
  <c r="C9610" i="1"/>
  <c r="B9611" i="1"/>
  <c r="C9611" i="1"/>
  <c r="B9612" i="1"/>
  <c r="C9612" i="1"/>
  <c r="B9613" i="1"/>
  <c r="C9613" i="1"/>
  <c r="B9614" i="1"/>
  <c r="C9614" i="1"/>
  <c r="B9615" i="1"/>
  <c r="C9615" i="1"/>
  <c r="B9616" i="1"/>
  <c r="C9616" i="1"/>
  <c r="B9617" i="1"/>
  <c r="C9617" i="1"/>
  <c r="B9618" i="1"/>
  <c r="C9618" i="1"/>
  <c r="B9619" i="1"/>
  <c r="C9619" i="1"/>
  <c r="B9620" i="1"/>
  <c r="C9620" i="1"/>
  <c r="B9621" i="1"/>
  <c r="C9621" i="1"/>
  <c r="B9622" i="1"/>
  <c r="C9622" i="1"/>
  <c r="B9623" i="1"/>
  <c r="C9623" i="1"/>
  <c r="B9624" i="1"/>
  <c r="C9624" i="1"/>
  <c r="B9625" i="1"/>
  <c r="C9625" i="1"/>
  <c r="B9626" i="1"/>
  <c r="C9626" i="1"/>
  <c r="B9627" i="1"/>
  <c r="C9627" i="1"/>
  <c r="B9628" i="1"/>
  <c r="C9628" i="1"/>
  <c r="B9629" i="1"/>
  <c r="C9629" i="1"/>
  <c r="B9630" i="1"/>
  <c r="C9630" i="1"/>
  <c r="B9631" i="1"/>
  <c r="C9631" i="1"/>
  <c r="B9632" i="1"/>
  <c r="C9632" i="1"/>
  <c r="B9633" i="1"/>
  <c r="C9633" i="1"/>
  <c r="B9634" i="1"/>
  <c r="C9634" i="1"/>
  <c r="B9635" i="1"/>
  <c r="C9635" i="1"/>
  <c r="B9636" i="1"/>
  <c r="C9636" i="1"/>
  <c r="B9637" i="1"/>
  <c r="C9637" i="1"/>
  <c r="B9638" i="1"/>
  <c r="C9638" i="1"/>
  <c r="B9639" i="1"/>
  <c r="C9639" i="1"/>
  <c r="B9640" i="1"/>
  <c r="C9640" i="1"/>
  <c r="B9641" i="1"/>
  <c r="C9641" i="1"/>
  <c r="B9642" i="1"/>
  <c r="C9642" i="1"/>
  <c r="B9643" i="1"/>
  <c r="C9643" i="1"/>
  <c r="B9644" i="1"/>
  <c r="C9644" i="1"/>
  <c r="B9645" i="1"/>
  <c r="C9645" i="1"/>
  <c r="B9646" i="1"/>
  <c r="C9646" i="1"/>
  <c r="B9647" i="1"/>
  <c r="C9647" i="1"/>
  <c r="B9648" i="1"/>
  <c r="C9648" i="1"/>
  <c r="B9649" i="1"/>
  <c r="C9649" i="1"/>
  <c r="B9650" i="1"/>
  <c r="C9650" i="1"/>
  <c r="B9651" i="1"/>
  <c r="C9651" i="1"/>
  <c r="B9652" i="1"/>
  <c r="C9652" i="1"/>
  <c r="B9653" i="1"/>
  <c r="C9653" i="1"/>
  <c r="B9654" i="1"/>
  <c r="C9654" i="1"/>
  <c r="B9655" i="1"/>
  <c r="C9655" i="1"/>
  <c r="B9656" i="1"/>
  <c r="C9656" i="1"/>
  <c r="B9657" i="1"/>
  <c r="C9657" i="1"/>
  <c r="B9658" i="1"/>
  <c r="C9658" i="1"/>
  <c r="B9659" i="1"/>
  <c r="C9659" i="1"/>
  <c r="B9660" i="1"/>
  <c r="C9660" i="1"/>
  <c r="B9661" i="1"/>
  <c r="C9661" i="1"/>
  <c r="B9662" i="1"/>
  <c r="C9662" i="1"/>
  <c r="B9663" i="1"/>
  <c r="C9663" i="1"/>
  <c r="B9664" i="1"/>
  <c r="C9664" i="1"/>
  <c r="B9665" i="1"/>
  <c r="C9665" i="1"/>
  <c r="B9666" i="1"/>
  <c r="C9666" i="1"/>
  <c r="B9667" i="1"/>
  <c r="C9667" i="1"/>
  <c r="B9668" i="1"/>
  <c r="C9668" i="1"/>
  <c r="B9669" i="1"/>
  <c r="C9669" i="1"/>
  <c r="B9670" i="1"/>
  <c r="C9670" i="1"/>
  <c r="B9671" i="1"/>
  <c r="C9671" i="1"/>
  <c r="B9672" i="1"/>
  <c r="C9672" i="1"/>
  <c r="B9673" i="1"/>
  <c r="C9673" i="1"/>
  <c r="B9674" i="1"/>
  <c r="C9674" i="1"/>
  <c r="B9675" i="1"/>
  <c r="C9675" i="1"/>
  <c r="B9676" i="1"/>
  <c r="C9676" i="1"/>
  <c r="B9677" i="1"/>
  <c r="C9677" i="1"/>
  <c r="B9678" i="1"/>
  <c r="C9678" i="1"/>
  <c r="B9679" i="1"/>
  <c r="C9679" i="1"/>
  <c r="B9680" i="1"/>
  <c r="C9680" i="1"/>
  <c r="B9681" i="1"/>
  <c r="C9681" i="1"/>
  <c r="B9682" i="1"/>
  <c r="C9682" i="1"/>
  <c r="B9683" i="1"/>
  <c r="C9683" i="1"/>
  <c r="B9684" i="1"/>
  <c r="C9684" i="1"/>
  <c r="B9685" i="1"/>
  <c r="C9685" i="1"/>
  <c r="B9686" i="1"/>
  <c r="C9686" i="1"/>
  <c r="B9687" i="1"/>
  <c r="C9687" i="1"/>
  <c r="B9688" i="1"/>
  <c r="C9688" i="1"/>
  <c r="B9689" i="1"/>
  <c r="C9689" i="1"/>
  <c r="B9690" i="1"/>
  <c r="C9690" i="1"/>
  <c r="B9691" i="1"/>
  <c r="C9691" i="1"/>
  <c r="B9692" i="1"/>
  <c r="C9692" i="1"/>
  <c r="B9693" i="1"/>
  <c r="C9693" i="1"/>
  <c r="B9694" i="1"/>
  <c r="C9694" i="1"/>
  <c r="B9695" i="1"/>
  <c r="C9695" i="1"/>
  <c r="B9696" i="1"/>
  <c r="C9696" i="1"/>
  <c r="B9697" i="1"/>
  <c r="C9697" i="1"/>
  <c r="B9698" i="1"/>
  <c r="C9698" i="1"/>
  <c r="B9699" i="1"/>
  <c r="C9699" i="1"/>
  <c r="B9700" i="1"/>
  <c r="C9700" i="1"/>
  <c r="B9701" i="1"/>
  <c r="C9701" i="1"/>
  <c r="B9702" i="1"/>
  <c r="C9702" i="1"/>
  <c r="B9703" i="1"/>
  <c r="C9703" i="1"/>
  <c r="B9704" i="1"/>
  <c r="C9704" i="1"/>
  <c r="B9705" i="1"/>
  <c r="C9705" i="1"/>
  <c r="B9706" i="1"/>
  <c r="C9706" i="1"/>
  <c r="B9707" i="1"/>
  <c r="C9707" i="1"/>
  <c r="B9708" i="1"/>
  <c r="C9708" i="1"/>
  <c r="B9709" i="1"/>
  <c r="C9709" i="1"/>
  <c r="B9710" i="1"/>
  <c r="C9710" i="1"/>
  <c r="B9711" i="1"/>
  <c r="C9711" i="1"/>
  <c r="B9712" i="1"/>
  <c r="C9712" i="1"/>
  <c r="B9713" i="1"/>
  <c r="C9713" i="1"/>
  <c r="B9714" i="1"/>
  <c r="C9714" i="1"/>
  <c r="B9715" i="1"/>
  <c r="C9715" i="1"/>
  <c r="B9716" i="1"/>
  <c r="C9716" i="1"/>
  <c r="B9717" i="1"/>
  <c r="C9717" i="1"/>
  <c r="B9718" i="1"/>
  <c r="C9718" i="1"/>
  <c r="B9719" i="1"/>
  <c r="C9719" i="1"/>
  <c r="B9720" i="1"/>
  <c r="C9720" i="1"/>
  <c r="B9721" i="1"/>
  <c r="C9721" i="1"/>
  <c r="B9722" i="1"/>
  <c r="C9722" i="1"/>
  <c r="B9723" i="1"/>
  <c r="C9723" i="1"/>
  <c r="B9724" i="1"/>
  <c r="C9724" i="1"/>
  <c r="B9725" i="1"/>
  <c r="C9725" i="1"/>
  <c r="B9726" i="1"/>
  <c r="C9726" i="1"/>
  <c r="B9727" i="1"/>
  <c r="C9727" i="1"/>
  <c r="B9728" i="1"/>
  <c r="C9728" i="1"/>
  <c r="B9729" i="1"/>
  <c r="C9729" i="1"/>
  <c r="B9730" i="1"/>
  <c r="C9730" i="1"/>
  <c r="B9731" i="1"/>
  <c r="C9731" i="1"/>
  <c r="B9732" i="1"/>
  <c r="C9732" i="1"/>
  <c r="B9733" i="1"/>
  <c r="C9733" i="1"/>
  <c r="B9734" i="1"/>
  <c r="C9734" i="1"/>
  <c r="B9735" i="1"/>
  <c r="C9735" i="1"/>
  <c r="B9736" i="1"/>
  <c r="C9736" i="1"/>
  <c r="B9737" i="1"/>
  <c r="C9737" i="1"/>
  <c r="B9738" i="1"/>
  <c r="C9738" i="1"/>
  <c r="B9739" i="1"/>
  <c r="C9739" i="1"/>
  <c r="B9740" i="1"/>
  <c r="C9740" i="1"/>
  <c r="B9741" i="1"/>
  <c r="C9741" i="1"/>
  <c r="B9742" i="1"/>
  <c r="C9742" i="1"/>
  <c r="B9743" i="1"/>
  <c r="C9743" i="1"/>
  <c r="B9744" i="1"/>
  <c r="C9744" i="1"/>
  <c r="B9745" i="1"/>
  <c r="C9745" i="1"/>
  <c r="B9746" i="1"/>
  <c r="C9746" i="1"/>
  <c r="B9747" i="1"/>
  <c r="C9747" i="1"/>
  <c r="B9748" i="1"/>
  <c r="C9748" i="1"/>
  <c r="B9749" i="1"/>
  <c r="C9749" i="1"/>
  <c r="B9750" i="1"/>
  <c r="C9750" i="1"/>
  <c r="B9751" i="1"/>
  <c r="C9751" i="1"/>
  <c r="B9752" i="1"/>
  <c r="C9752" i="1"/>
  <c r="B9753" i="1"/>
  <c r="C9753" i="1"/>
  <c r="B9754" i="1"/>
  <c r="C9754" i="1"/>
  <c r="B9755" i="1"/>
  <c r="C9755" i="1"/>
  <c r="B9756" i="1"/>
  <c r="C9756" i="1"/>
  <c r="B9757" i="1"/>
  <c r="C9757" i="1"/>
  <c r="B9758" i="1"/>
  <c r="C9758" i="1"/>
  <c r="B9759" i="1"/>
  <c r="C9759" i="1"/>
  <c r="B9760" i="1"/>
  <c r="C9760" i="1"/>
  <c r="B9761" i="1"/>
  <c r="C9761" i="1"/>
  <c r="B9762" i="1"/>
  <c r="C9762" i="1"/>
  <c r="B9763" i="1"/>
  <c r="C9763" i="1"/>
  <c r="B9764" i="1"/>
  <c r="C9764" i="1"/>
  <c r="B9765" i="1"/>
  <c r="C9765" i="1"/>
  <c r="B9766" i="1"/>
  <c r="C9766" i="1"/>
  <c r="B9767" i="1"/>
  <c r="C9767" i="1"/>
  <c r="B9768" i="1"/>
  <c r="C9768" i="1"/>
  <c r="B9769" i="1"/>
  <c r="C9769" i="1"/>
  <c r="B9770" i="1"/>
  <c r="C9770" i="1"/>
  <c r="B9771" i="1"/>
  <c r="C9771" i="1"/>
  <c r="B9772" i="1"/>
  <c r="C9772" i="1"/>
  <c r="B9773" i="1"/>
  <c r="C9773" i="1"/>
  <c r="B9774" i="1"/>
  <c r="C9774" i="1"/>
  <c r="B9775" i="1"/>
  <c r="C9775" i="1"/>
  <c r="B9776" i="1"/>
  <c r="C9776" i="1"/>
  <c r="B9777" i="1"/>
  <c r="C9777" i="1"/>
  <c r="B9778" i="1"/>
  <c r="C9778" i="1"/>
  <c r="B9779" i="1"/>
  <c r="C9779" i="1"/>
  <c r="B9780" i="1"/>
  <c r="C9780" i="1"/>
  <c r="B9781" i="1"/>
  <c r="C9781" i="1"/>
  <c r="B9782" i="1"/>
  <c r="C9782" i="1"/>
  <c r="B9783" i="1"/>
  <c r="C9783" i="1"/>
  <c r="B9784" i="1"/>
  <c r="C9784" i="1"/>
  <c r="B9785" i="1"/>
  <c r="C9785" i="1"/>
  <c r="B9786" i="1"/>
  <c r="C9786" i="1"/>
  <c r="B9787" i="1"/>
  <c r="C9787" i="1"/>
  <c r="B9788" i="1"/>
  <c r="C9788" i="1"/>
  <c r="B9789" i="1"/>
  <c r="C9789" i="1"/>
  <c r="B9790" i="1"/>
  <c r="C9790" i="1"/>
  <c r="B9791" i="1"/>
  <c r="C9791" i="1"/>
  <c r="B9792" i="1"/>
  <c r="C9792" i="1"/>
  <c r="B9793" i="1"/>
  <c r="C9793" i="1"/>
  <c r="B9794" i="1"/>
  <c r="C9794" i="1"/>
  <c r="B9795" i="1"/>
  <c r="C9795" i="1"/>
  <c r="B9796" i="1"/>
  <c r="C9796" i="1"/>
  <c r="B9797" i="1"/>
  <c r="C9797" i="1"/>
  <c r="B9798" i="1"/>
  <c r="C9798" i="1"/>
  <c r="B9799" i="1"/>
  <c r="C9799" i="1"/>
  <c r="B9800" i="1"/>
  <c r="C9800" i="1"/>
  <c r="B9801" i="1"/>
  <c r="C9801" i="1"/>
  <c r="B9802" i="1"/>
  <c r="C9802" i="1"/>
  <c r="B9803" i="1"/>
  <c r="C9803" i="1"/>
  <c r="B9804" i="1"/>
  <c r="C9804" i="1"/>
  <c r="B9805" i="1"/>
  <c r="C9805" i="1"/>
  <c r="B9806" i="1"/>
  <c r="C9806" i="1"/>
  <c r="B9807" i="1"/>
  <c r="C9807" i="1"/>
  <c r="B9808" i="1"/>
  <c r="C9808" i="1"/>
  <c r="B9809" i="1"/>
  <c r="C9809" i="1"/>
  <c r="B9810" i="1"/>
  <c r="C9810" i="1"/>
  <c r="B9811" i="1"/>
  <c r="C9811" i="1"/>
  <c r="B9812" i="1"/>
  <c r="C9812" i="1"/>
  <c r="B9813" i="1"/>
  <c r="C9813" i="1"/>
  <c r="B9814" i="1"/>
  <c r="C9814" i="1"/>
  <c r="B9815" i="1"/>
  <c r="C9815" i="1"/>
  <c r="B9816" i="1"/>
  <c r="C9816" i="1"/>
  <c r="B9817" i="1"/>
  <c r="C9817" i="1"/>
  <c r="B9818" i="1"/>
  <c r="C9818" i="1"/>
  <c r="B9819" i="1"/>
  <c r="C9819" i="1"/>
  <c r="B9820" i="1"/>
  <c r="C9820" i="1"/>
  <c r="B9821" i="1"/>
  <c r="C9821" i="1"/>
  <c r="B9822" i="1"/>
  <c r="C9822" i="1"/>
  <c r="B9823" i="1"/>
  <c r="C9823" i="1"/>
  <c r="B9824" i="1"/>
  <c r="C9824" i="1"/>
  <c r="B9825" i="1"/>
  <c r="C9825" i="1"/>
  <c r="B9826" i="1"/>
  <c r="C9826" i="1"/>
  <c r="B9827" i="1"/>
  <c r="C9827" i="1"/>
  <c r="B9828" i="1"/>
  <c r="C9828" i="1"/>
  <c r="B9829" i="1"/>
  <c r="C9829" i="1"/>
  <c r="B9830" i="1"/>
  <c r="C9830" i="1"/>
  <c r="B9831" i="1"/>
  <c r="C9831" i="1"/>
  <c r="B9832" i="1"/>
  <c r="C9832" i="1"/>
  <c r="B9833" i="1"/>
  <c r="C9833" i="1"/>
  <c r="B9834" i="1"/>
  <c r="C9834" i="1"/>
  <c r="B9835" i="1"/>
  <c r="C9835" i="1"/>
  <c r="B9836" i="1"/>
  <c r="C9836" i="1"/>
  <c r="B9837" i="1"/>
  <c r="C9837" i="1"/>
  <c r="B9838" i="1"/>
  <c r="C9838" i="1"/>
  <c r="B9839" i="1"/>
  <c r="C9839" i="1"/>
  <c r="B9840" i="1"/>
  <c r="C9840" i="1"/>
  <c r="B9841" i="1"/>
  <c r="C9841" i="1"/>
  <c r="B9842" i="1"/>
  <c r="C9842" i="1"/>
  <c r="B9843" i="1"/>
  <c r="C9843" i="1"/>
  <c r="B9844" i="1"/>
  <c r="C9844" i="1"/>
  <c r="B9845" i="1"/>
  <c r="C9845" i="1"/>
  <c r="B9846" i="1"/>
  <c r="C9846" i="1"/>
  <c r="B9847" i="1"/>
  <c r="C9847" i="1"/>
  <c r="B9848" i="1"/>
  <c r="C9848" i="1"/>
  <c r="B9849" i="1"/>
  <c r="C9849" i="1"/>
  <c r="B9850" i="1"/>
  <c r="C9850" i="1"/>
  <c r="B9851" i="1"/>
  <c r="C9851" i="1"/>
  <c r="B9852" i="1"/>
  <c r="C9852" i="1"/>
  <c r="B9853" i="1"/>
  <c r="C9853" i="1"/>
  <c r="B9854" i="1"/>
  <c r="C9854" i="1"/>
  <c r="B9855" i="1"/>
  <c r="C9855" i="1"/>
  <c r="B9856" i="1"/>
  <c r="C9856" i="1"/>
  <c r="B9857" i="1"/>
  <c r="C9857" i="1"/>
  <c r="B9858" i="1"/>
  <c r="C9858" i="1"/>
  <c r="B9859" i="1"/>
  <c r="C9859" i="1"/>
  <c r="B9860" i="1"/>
  <c r="C9860" i="1"/>
  <c r="B9861" i="1"/>
  <c r="C9861" i="1"/>
  <c r="B9862" i="1"/>
  <c r="C9862" i="1"/>
  <c r="B9863" i="1"/>
  <c r="C9863" i="1"/>
  <c r="B9864" i="1"/>
  <c r="C9864" i="1"/>
  <c r="B9865" i="1"/>
  <c r="C9865" i="1"/>
  <c r="B9866" i="1"/>
  <c r="C9866" i="1"/>
  <c r="B9867" i="1"/>
  <c r="C9867" i="1"/>
  <c r="B9868" i="1"/>
  <c r="C9868" i="1"/>
  <c r="B9869" i="1"/>
  <c r="C9869" i="1"/>
  <c r="B9870" i="1"/>
  <c r="C9870" i="1"/>
  <c r="B9871" i="1"/>
  <c r="C9871" i="1"/>
  <c r="B9872" i="1"/>
  <c r="C9872" i="1"/>
  <c r="B9873" i="1"/>
  <c r="C9873" i="1"/>
  <c r="B9874" i="1"/>
  <c r="C9874" i="1"/>
  <c r="B9875" i="1"/>
  <c r="C9875" i="1"/>
  <c r="B9876" i="1"/>
  <c r="C9876" i="1"/>
  <c r="B9877" i="1"/>
  <c r="C9877" i="1"/>
  <c r="B9878" i="1"/>
  <c r="C9878" i="1"/>
  <c r="B9879" i="1"/>
  <c r="C9879" i="1"/>
  <c r="B9880" i="1"/>
  <c r="C9880" i="1"/>
  <c r="B9881" i="1"/>
  <c r="C9881" i="1"/>
  <c r="B9882" i="1"/>
  <c r="C9882" i="1"/>
  <c r="B9883" i="1"/>
  <c r="C9883" i="1"/>
  <c r="B9884" i="1"/>
  <c r="C9884" i="1"/>
  <c r="B9885" i="1"/>
  <c r="C9885" i="1"/>
  <c r="B9886" i="1"/>
  <c r="C9886" i="1"/>
  <c r="B9887" i="1"/>
  <c r="C9887" i="1"/>
  <c r="B9888" i="1"/>
  <c r="C9888" i="1"/>
  <c r="B9889" i="1"/>
  <c r="C9889" i="1"/>
  <c r="B9890" i="1"/>
  <c r="C9890" i="1"/>
  <c r="B9891" i="1"/>
  <c r="C9891" i="1"/>
  <c r="B9892" i="1"/>
  <c r="C9892" i="1"/>
  <c r="B9893" i="1"/>
  <c r="C9893" i="1"/>
  <c r="B9894" i="1"/>
  <c r="C9894" i="1"/>
  <c r="B9895" i="1"/>
  <c r="C9895" i="1"/>
  <c r="B9896" i="1"/>
  <c r="C9896" i="1"/>
  <c r="B9897" i="1"/>
  <c r="C9897" i="1"/>
  <c r="B9898" i="1"/>
  <c r="C9898" i="1"/>
  <c r="B9899" i="1"/>
  <c r="C9899" i="1"/>
  <c r="B9900" i="1"/>
  <c r="C9900" i="1"/>
  <c r="B9901" i="1"/>
  <c r="C9901" i="1"/>
  <c r="B9902" i="1"/>
  <c r="C9902" i="1"/>
  <c r="B9903" i="1"/>
  <c r="C9903" i="1"/>
  <c r="B9904" i="1"/>
  <c r="C9904" i="1"/>
  <c r="B9905" i="1"/>
  <c r="C9905" i="1"/>
  <c r="B9906" i="1"/>
  <c r="C9906" i="1"/>
  <c r="B9907" i="1"/>
  <c r="C9907" i="1"/>
  <c r="B9908" i="1"/>
  <c r="C9908" i="1"/>
  <c r="B9909" i="1"/>
  <c r="C9909" i="1"/>
  <c r="B9910" i="1"/>
  <c r="C9910" i="1"/>
  <c r="B9911" i="1"/>
  <c r="C9911" i="1"/>
  <c r="B9912" i="1"/>
  <c r="C9912" i="1"/>
  <c r="B9913" i="1"/>
  <c r="C9913" i="1"/>
  <c r="B9914" i="1"/>
  <c r="C9914" i="1"/>
  <c r="B9915" i="1"/>
  <c r="C9915" i="1"/>
  <c r="B9916" i="1"/>
  <c r="C9916" i="1"/>
  <c r="B9917" i="1"/>
  <c r="C9917" i="1"/>
  <c r="B9918" i="1"/>
  <c r="C9918" i="1"/>
  <c r="B9919" i="1"/>
  <c r="C9919" i="1"/>
  <c r="B9920" i="1"/>
  <c r="C9920" i="1"/>
  <c r="B9921" i="1"/>
  <c r="C9921" i="1"/>
  <c r="B9922" i="1"/>
  <c r="C9922" i="1"/>
  <c r="B9923" i="1"/>
  <c r="C9923" i="1"/>
  <c r="B9924" i="1"/>
  <c r="C9924" i="1"/>
  <c r="B9925" i="1"/>
  <c r="C9925" i="1"/>
  <c r="B9926" i="1"/>
  <c r="C9926" i="1"/>
  <c r="B9927" i="1"/>
  <c r="C9927" i="1"/>
  <c r="B9928" i="1"/>
  <c r="C9928" i="1"/>
  <c r="B9929" i="1"/>
  <c r="C9929" i="1"/>
  <c r="B9930" i="1"/>
  <c r="C9930" i="1"/>
  <c r="B9931" i="1"/>
  <c r="C9931" i="1"/>
  <c r="B9932" i="1"/>
  <c r="C9932" i="1"/>
  <c r="B9933" i="1"/>
  <c r="C9933" i="1"/>
  <c r="B9934" i="1"/>
  <c r="C9934" i="1"/>
  <c r="B9935" i="1"/>
  <c r="C9935" i="1"/>
  <c r="B9936" i="1"/>
  <c r="C9936" i="1"/>
  <c r="B9937" i="1"/>
  <c r="C9937" i="1"/>
  <c r="B9938" i="1"/>
  <c r="C9938" i="1"/>
  <c r="B9939" i="1"/>
  <c r="C9939" i="1"/>
  <c r="B9940" i="1"/>
  <c r="C9940" i="1"/>
  <c r="B9941" i="1"/>
  <c r="C9941" i="1"/>
  <c r="B9942" i="1"/>
  <c r="C9942" i="1"/>
  <c r="B9943" i="1"/>
  <c r="C9943" i="1"/>
  <c r="B9944" i="1"/>
  <c r="C9944" i="1"/>
  <c r="B9945" i="1"/>
  <c r="C9945" i="1"/>
  <c r="B9946" i="1"/>
  <c r="C9946" i="1"/>
  <c r="B9947" i="1"/>
  <c r="C9947" i="1"/>
  <c r="B9948" i="1"/>
  <c r="C9948" i="1"/>
  <c r="B9949" i="1"/>
  <c r="C9949" i="1"/>
  <c r="B9950" i="1"/>
  <c r="C9950" i="1"/>
  <c r="B9951" i="1"/>
  <c r="C9951" i="1"/>
  <c r="B9952" i="1"/>
  <c r="C9952" i="1"/>
  <c r="B9953" i="1"/>
  <c r="C9953" i="1"/>
  <c r="B9954" i="1"/>
  <c r="C9954" i="1"/>
  <c r="B9955" i="1"/>
  <c r="C9955" i="1"/>
  <c r="B9956" i="1"/>
  <c r="C9956" i="1"/>
  <c r="B9957" i="1"/>
  <c r="C9957" i="1"/>
  <c r="B9958" i="1"/>
  <c r="C9958" i="1"/>
  <c r="B9959" i="1"/>
  <c r="C9959" i="1"/>
  <c r="B9960" i="1"/>
  <c r="C9960" i="1"/>
  <c r="B9961" i="1"/>
  <c r="C9961" i="1"/>
  <c r="B9962" i="1"/>
  <c r="C9962" i="1"/>
  <c r="B9963" i="1"/>
  <c r="C9963" i="1"/>
  <c r="B9964" i="1"/>
  <c r="C9964" i="1"/>
  <c r="B9965" i="1"/>
  <c r="C9965" i="1"/>
  <c r="B9966" i="1"/>
  <c r="C9966" i="1"/>
  <c r="B9967" i="1"/>
  <c r="C9967" i="1"/>
  <c r="B9968" i="1"/>
  <c r="C9968" i="1"/>
  <c r="B9969" i="1"/>
  <c r="C9969" i="1"/>
  <c r="B9970" i="1"/>
  <c r="C9970" i="1"/>
  <c r="B9971" i="1"/>
  <c r="C9971" i="1"/>
  <c r="B9972" i="1"/>
  <c r="C9972" i="1"/>
  <c r="B9973" i="1"/>
  <c r="C9973" i="1"/>
  <c r="B9974" i="1"/>
  <c r="C9974" i="1"/>
  <c r="B9975" i="1"/>
  <c r="C9975" i="1"/>
  <c r="B9976" i="1"/>
  <c r="C9976" i="1"/>
  <c r="B9977" i="1"/>
  <c r="C9977" i="1"/>
  <c r="B9978" i="1"/>
  <c r="C9978" i="1"/>
  <c r="B9979" i="1"/>
  <c r="C9979" i="1"/>
  <c r="B9980" i="1"/>
  <c r="C9980" i="1"/>
  <c r="B9981" i="1"/>
  <c r="C9981" i="1"/>
  <c r="B9982" i="1"/>
  <c r="C9982" i="1"/>
  <c r="B9983" i="1"/>
  <c r="C9983" i="1"/>
  <c r="B9984" i="1"/>
  <c r="C9984" i="1"/>
  <c r="B9985" i="1"/>
  <c r="C9985" i="1"/>
  <c r="B9986" i="1"/>
  <c r="C9986" i="1"/>
  <c r="B9987" i="1"/>
  <c r="C9987" i="1"/>
  <c r="B9988" i="1"/>
  <c r="C9988" i="1"/>
  <c r="B9989" i="1"/>
  <c r="C9989" i="1"/>
  <c r="B9990" i="1"/>
  <c r="C9990" i="1"/>
  <c r="B9991" i="1"/>
  <c r="C9991" i="1"/>
  <c r="B9992" i="1"/>
  <c r="C9992" i="1"/>
  <c r="B9993" i="1"/>
  <c r="C9993" i="1"/>
  <c r="B9994" i="1"/>
  <c r="C9994" i="1"/>
  <c r="B9995" i="1"/>
  <c r="C9995" i="1"/>
  <c r="B9996" i="1"/>
  <c r="C9996" i="1"/>
  <c r="B9997" i="1"/>
  <c r="C9997" i="1"/>
  <c r="B9998" i="1"/>
  <c r="C9998" i="1"/>
  <c r="B9999" i="1"/>
  <c r="C9999" i="1"/>
  <c r="B10000" i="1"/>
  <c r="C10000" i="1"/>
  <c r="B10001" i="1"/>
  <c r="C10001" i="1"/>
  <c r="B10002" i="1"/>
  <c r="C10002" i="1"/>
  <c r="B10003" i="1"/>
  <c r="C10003" i="1"/>
  <c r="B10004" i="1"/>
  <c r="C10004" i="1"/>
  <c r="B10005" i="1"/>
  <c r="C10005" i="1"/>
  <c r="B10006" i="1"/>
  <c r="C10006" i="1"/>
  <c r="B10007" i="1"/>
  <c r="C10007" i="1"/>
  <c r="B10008" i="1"/>
  <c r="C10008" i="1"/>
  <c r="B10009" i="1"/>
  <c r="C10009" i="1"/>
  <c r="B10010" i="1"/>
  <c r="C10010" i="1"/>
  <c r="B10011" i="1"/>
  <c r="C10011" i="1"/>
  <c r="B10012" i="1"/>
  <c r="C10012" i="1"/>
  <c r="B10013" i="1"/>
  <c r="C10013" i="1"/>
  <c r="B10014" i="1"/>
  <c r="C10014" i="1"/>
  <c r="B10015" i="1"/>
  <c r="C10015" i="1"/>
  <c r="B10016" i="1"/>
  <c r="C10016" i="1"/>
  <c r="B10017" i="1"/>
  <c r="C10017" i="1"/>
  <c r="B10018" i="1"/>
  <c r="C10018" i="1"/>
  <c r="B10019" i="1"/>
  <c r="C10019" i="1"/>
  <c r="B10020" i="1"/>
  <c r="C10020" i="1"/>
  <c r="B10021" i="1"/>
  <c r="C10021" i="1"/>
  <c r="B10022" i="1"/>
  <c r="C10022" i="1"/>
  <c r="B10023" i="1"/>
  <c r="C10023" i="1"/>
  <c r="B10024" i="1"/>
  <c r="C10024" i="1"/>
  <c r="B10025" i="1"/>
  <c r="C10025" i="1"/>
  <c r="B10026" i="1"/>
  <c r="C10026" i="1"/>
  <c r="B10027" i="1"/>
  <c r="C10027" i="1"/>
  <c r="B10028" i="1"/>
  <c r="C10028" i="1"/>
  <c r="B10029" i="1"/>
  <c r="C10029" i="1"/>
  <c r="B10030" i="1"/>
  <c r="C10030" i="1"/>
  <c r="B10031" i="1"/>
  <c r="C10031" i="1"/>
  <c r="B10032" i="1"/>
  <c r="C10032" i="1"/>
  <c r="B10033" i="1"/>
  <c r="C10033" i="1"/>
  <c r="B10034" i="1"/>
  <c r="C10034" i="1"/>
  <c r="B10035" i="1"/>
  <c r="C10035" i="1"/>
  <c r="B10036" i="1"/>
  <c r="C10036" i="1"/>
  <c r="B10037" i="1"/>
  <c r="C10037" i="1"/>
  <c r="B10038" i="1"/>
  <c r="C10038" i="1"/>
  <c r="B10039" i="1"/>
  <c r="C10039" i="1"/>
  <c r="B10040" i="1"/>
  <c r="C10040" i="1"/>
  <c r="B10041" i="1"/>
  <c r="C10041" i="1"/>
  <c r="B10042" i="1"/>
  <c r="C10042" i="1"/>
  <c r="B10043" i="1"/>
  <c r="C10043" i="1"/>
  <c r="B10044" i="1"/>
  <c r="C10044" i="1"/>
  <c r="B10045" i="1"/>
  <c r="C10045" i="1"/>
  <c r="B10046" i="1"/>
  <c r="C10046" i="1"/>
  <c r="B10047" i="1"/>
  <c r="C10047" i="1"/>
  <c r="B10048" i="1"/>
  <c r="C10048" i="1"/>
  <c r="B10049" i="1"/>
  <c r="C10049" i="1"/>
  <c r="B10050" i="1"/>
  <c r="C10050" i="1"/>
  <c r="B10051" i="1"/>
  <c r="C10051" i="1"/>
  <c r="B10052" i="1"/>
  <c r="C10052" i="1"/>
  <c r="B10053" i="1"/>
  <c r="C10053" i="1"/>
  <c r="B10054" i="1"/>
  <c r="C10054" i="1"/>
  <c r="B10055" i="1"/>
  <c r="C10055" i="1"/>
  <c r="B10056" i="1"/>
  <c r="C10056" i="1"/>
  <c r="B10057" i="1"/>
  <c r="C10057" i="1"/>
  <c r="B10058" i="1"/>
  <c r="C10058" i="1"/>
  <c r="B10059" i="1"/>
  <c r="C10059" i="1"/>
  <c r="B10060" i="1"/>
  <c r="C10060" i="1"/>
  <c r="B10061" i="1"/>
  <c r="C10061" i="1"/>
  <c r="B10062" i="1"/>
  <c r="C10062" i="1"/>
  <c r="B10063" i="1"/>
  <c r="C10063" i="1"/>
  <c r="B10064" i="1"/>
  <c r="C10064" i="1"/>
  <c r="B10065" i="1"/>
  <c r="C10065" i="1"/>
  <c r="B10066" i="1"/>
  <c r="C10066" i="1"/>
  <c r="B10067" i="1"/>
  <c r="C10067" i="1"/>
  <c r="B10068" i="1"/>
  <c r="C10068" i="1"/>
  <c r="B10069" i="1"/>
  <c r="C10069" i="1"/>
  <c r="B10070" i="1"/>
  <c r="C10070" i="1"/>
  <c r="B10071" i="1"/>
  <c r="C10071" i="1"/>
  <c r="B10072" i="1"/>
  <c r="C10072" i="1"/>
  <c r="B10073" i="1"/>
  <c r="C10073" i="1"/>
  <c r="B10074" i="1"/>
  <c r="C10074" i="1"/>
  <c r="B10075" i="1"/>
  <c r="C10075" i="1"/>
  <c r="B10076" i="1"/>
  <c r="C10076" i="1"/>
  <c r="B10077" i="1"/>
  <c r="C10077" i="1"/>
  <c r="B10078" i="1"/>
  <c r="C10078" i="1"/>
  <c r="B10079" i="1"/>
  <c r="C10079" i="1"/>
  <c r="B10080" i="1"/>
  <c r="C10080" i="1"/>
  <c r="B10081" i="1"/>
  <c r="C10081" i="1"/>
  <c r="B10082" i="1"/>
  <c r="C10082" i="1"/>
  <c r="B10083" i="1"/>
  <c r="C10083" i="1"/>
  <c r="B10084" i="1"/>
  <c r="C10084" i="1"/>
  <c r="B10085" i="1"/>
  <c r="C10085" i="1"/>
  <c r="B10086" i="1"/>
  <c r="C10086" i="1"/>
  <c r="B10087" i="1"/>
  <c r="C10087" i="1"/>
  <c r="B10088" i="1"/>
  <c r="C10088" i="1"/>
  <c r="B10089" i="1"/>
  <c r="C10089" i="1"/>
  <c r="B10090" i="1"/>
  <c r="C10090" i="1"/>
  <c r="B10091" i="1"/>
  <c r="C10091" i="1"/>
  <c r="B10092" i="1"/>
  <c r="C10092" i="1"/>
  <c r="B10093" i="1"/>
  <c r="C10093" i="1"/>
  <c r="B10094" i="1"/>
  <c r="C10094" i="1"/>
  <c r="B10095" i="1"/>
  <c r="C10095" i="1"/>
  <c r="B10096" i="1"/>
  <c r="C10096" i="1"/>
  <c r="B10097" i="1"/>
  <c r="C10097" i="1"/>
  <c r="B10098" i="1"/>
  <c r="C10098" i="1"/>
  <c r="B10099" i="1"/>
  <c r="C10099" i="1"/>
  <c r="B10100" i="1"/>
  <c r="C10100" i="1"/>
  <c r="B10101" i="1"/>
  <c r="C10101" i="1"/>
  <c r="B10102" i="1"/>
  <c r="C10102" i="1"/>
  <c r="B10103" i="1"/>
  <c r="C10103" i="1"/>
  <c r="B10104" i="1"/>
  <c r="C10104" i="1"/>
  <c r="B10105" i="1"/>
  <c r="C10105" i="1"/>
  <c r="B10106" i="1"/>
  <c r="C10106" i="1"/>
  <c r="B10107" i="1"/>
  <c r="C10107" i="1"/>
  <c r="B10108" i="1"/>
  <c r="C10108" i="1"/>
  <c r="B10109" i="1"/>
  <c r="C10109" i="1"/>
  <c r="B10110" i="1"/>
  <c r="C10110" i="1"/>
  <c r="B10111" i="1"/>
  <c r="C10111" i="1"/>
  <c r="B10112" i="1"/>
  <c r="C10112" i="1"/>
  <c r="B10113" i="1"/>
  <c r="C10113" i="1"/>
  <c r="B10114" i="1"/>
  <c r="C10114" i="1"/>
  <c r="B10115" i="1"/>
  <c r="C10115" i="1"/>
  <c r="B10116" i="1"/>
  <c r="C10116" i="1"/>
  <c r="B10117" i="1"/>
  <c r="C10117" i="1"/>
  <c r="B10118" i="1"/>
  <c r="C10118" i="1"/>
  <c r="B10119" i="1"/>
  <c r="C10119" i="1"/>
  <c r="B10120" i="1"/>
  <c r="C10120" i="1"/>
  <c r="B10121" i="1"/>
  <c r="C10121" i="1"/>
  <c r="B10122" i="1"/>
  <c r="C10122" i="1"/>
  <c r="B10123" i="1"/>
  <c r="C10123" i="1"/>
  <c r="B10124" i="1"/>
  <c r="C10124" i="1"/>
  <c r="B10125" i="1"/>
  <c r="C10125" i="1"/>
  <c r="B10126" i="1"/>
  <c r="C10126" i="1"/>
  <c r="B10127" i="1"/>
  <c r="C10127" i="1"/>
  <c r="B10128" i="1"/>
  <c r="C10128" i="1"/>
  <c r="B10129" i="1"/>
  <c r="C10129" i="1"/>
  <c r="B10130" i="1"/>
  <c r="C10130" i="1"/>
  <c r="B10131" i="1"/>
  <c r="C10131" i="1"/>
  <c r="B10132" i="1"/>
  <c r="C10132" i="1"/>
  <c r="B10133" i="1"/>
  <c r="C10133" i="1"/>
  <c r="B10134" i="1"/>
  <c r="C10134" i="1"/>
  <c r="B10135" i="1"/>
  <c r="C10135" i="1"/>
  <c r="B10136" i="1"/>
  <c r="C10136" i="1"/>
  <c r="B10137" i="1"/>
  <c r="C10137" i="1"/>
  <c r="B10138" i="1"/>
  <c r="C10138" i="1"/>
  <c r="B10139" i="1"/>
  <c r="C10139" i="1"/>
  <c r="B10140" i="1"/>
  <c r="C10140" i="1"/>
  <c r="B10141" i="1"/>
  <c r="C10141" i="1"/>
  <c r="B10142" i="1"/>
  <c r="C10142" i="1"/>
  <c r="B10143" i="1"/>
  <c r="C10143" i="1"/>
  <c r="B10144" i="1"/>
  <c r="C10144" i="1"/>
  <c r="B10145" i="1"/>
  <c r="C10145" i="1"/>
  <c r="B10146" i="1"/>
  <c r="C10146" i="1"/>
  <c r="B10147" i="1"/>
  <c r="C10147" i="1"/>
  <c r="B10148" i="1"/>
  <c r="C10148" i="1"/>
  <c r="B10149" i="1"/>
  <c r="C10149" i="1"/>
  <c r="B10150" i="1"/>
  <c r="C10150" i="1"/>
  <c r="B10151" i="1"/>
  <c r="C10151" i="1"/>
  <c r="B10152" i="1"/>
  <c r="C10152" i="1"/>
  <c r="B10153" i="1"/>
  <c r="C10153" i="1"/>
  <c r="B10154" i="1"/>
  <c r="C10154" i="1"/>
  <c r="B10155" i="1"/>
  <c r="C10155" i="1"/>
  <c r="B10156" i="1"/>
  <c r="C10156" i="1"/>
  <c r="B10157" i="1"/>
  <c r="C10157" i="1"/>
  <c r="B10158" i="1"/>
  <c r="C10158" i="1"/>
  <c r="B10159" i="1"/>
  <c r="C10159" i="1"/>
  <c r="B10160" i="1"/>
  <c r="C10160" i="1"/>
  <c r="B10161" i="1"/>
  <c r="C10161" i="1"/>
  <c r="B10162" i="1"/>
  <c r="C10162" i="1"/>
  <c r="B10163" i="1"/>
  <c r="C10163" i="1"/>
  <c r="B10164" i="1"/>
  <c r="C10164" i="1"/>
  <c r="B10165" i="1"/>
  <c r="C10165" i="1"/>
  <c r="B10166" i="1"/>
  <c r="C10166" i="1"/>
  <c r="B10167" i="1"/>
  <c r="C10167" i="1"/>
  <c r="B10168" i="1"/>
  <c r="C10168" i="1"/>
  <c r="B10169" i="1"/>
  <c r="C10169" i="1"/>
  <c r="B10170" i="1"/>
  <c r="C10170" i="1"/>
  <c r="B10171" i="1"/>
  <c r="C10171" i="1"/>
  <c r="B10172" i="1"/>
  <c r="C10172" i="1"/>
  <c r="B10173" i="1"/>
  <c r="C10173" i="1"/>
  <c r="B10174" i="1"/>
  <c r="C10174" i="1"/>
  <c r="B10175" i="1"/>
  <c r="C10175" i="1"/>
  <c r="B10176" i="1"/>
  <c r="C10176" i="1"/>
  <c r="B10177" i="1"/>
  <c r="C10177" i="1"/>
  <c r="B10178" i="1"/>
  <c r="C10178" i="1"/>
  <c r="B10179" i="1"/>
  <c r="C10179" i="1"/>
  <c r="B10180" i="1"/>
  <c r="C10180" i="1"/>
  <c r="B10181" i="1"/>
  <c r="C10181" i="1"/>
  <c r="B10182" i="1"/>
  <c r="C10182" i="1"/>
  <c r="B10183" i="1"/>
  <c r="C10183" i="1"/>
  <c r="B10184" i="1"/>
  <c r="C10184" i="1"/>
  <c r="B10185" i="1"/>
  <c r="C10185" i="1"/>
  <c r="B10186" i="1"/>
  <c r="C10186" i="1"/>
  <c r="B10187" i="1"/>
  <c r="C10187" i="1"/>
  <c r="B10188" i="1"/>
  <c r="C10188" i="1"/>
  <c r="B10189" i="1"/>
  <c r="C10189" i="1"/>
  <c r="B10190" i="1"/>
  <c r="C10190" i="1"/>
  <c r="B10191" i="1"/>
  <c r="C10191" i="1"/>
  <c r="B10192" i="1"/>
  <c r="C10192" i="1"/>
  <c r="B10193" i="1"/>
  <c r="C10193" i="1"/>
  <c r="B10194" i="1"/>
  <c r="C10194" i="1"/>
  <c r="B10195" i="1"/>
  <c r="C10195" i="1"/>
  <c r="B10196" i="1"/>
  <c r="C10196" i="1"/>
  <c r="B10197" i="1"/>
  <c r="C10197" i="1"/>
  <c r="B10198" i="1"/>
  <c r="C10198" i="1"/>
  <c r="B10199" i="1"/>
  <c r="C10199" i="1"/>
  <c r="B10200" i="1"/>
  <c r="C10200" i="1"/>
  <c r="B10201" i="1"/>
  <c r="C10201" i="1"/>
  <c r="B10202" i="1"/>
  <c r="C10202" i="1"/>
  <c r="B10203" i="1"/>
  <c r="C10203" i="1"/>
  <c r="B10204" i="1"/>
  <c r="C10204" i="1"/>
  <c r="B10205" i="1"/>
  <c r="C10205" i="1"/>
  <c r="B10206" i="1"/>
  <c r="C10206" i="1"/>
  <c r="B10207" i="1"/>
  <c r="C10207" i="1"/>
  <c r="B10208" i="1"/>
  <c r="C10208" i="1"/>
  <c r="B10209" i="1"/>
  <c r="C10209" i="1"/>
  <c r="B10210" i="1"/>
  <c r="C10210" i="1"/>
  <c r="B10211" i="1"/>
  <c r="C10211" i="1"/>
  <c r="B10212" i="1"/>
  <c r="C10212" i="1"/>
  <c r="B10213" i="1"/>
  <c r="C10213" i="1"/>
  <c r="B10214" i="1"/>
  <c r="C10214" i="1"/>
  <c r="B10215" i="1"/>
  <c r="C10215" i="1"/>
  <c r="B10216" i="1"/>
  <c r="C10216" i="1"/>
  <c r="B10217" i="1"/>
  <c r="C10217" i="1"/>
  <c r="B10218" i="1"/>
  <c r="C10218" i="1"/>
  <c r="B10219" i="1"/>
  <c r="C10219" i="1"/>
  <c r="B10220" i="1"/>
  <c r="C10220" i="1"/>
  <c r="B10221" i="1"/>
  <c r="C10221" i="1"/>
  <c r="B10222" i="1"/>
  <c r="C10222" i="1"/>
  <c r="B10223" i="1"/>
  <c r="C10223" i="1"/>
  <c r="B10224" i="1"/>
  <c r="C10224" i="1"/>
  <c r="B10225" i="1"/>
  <c r="C10225" i="1"/>
  <c r="B10226" i="1"/>
  <c r="C10226" i="1"/>
  <c r="B10227" i="1"/>
  <c r="C10227" i="1"/>
  <c r="B10228" i="1"/>
  <c r="C10228" i="1"/>
  <c r="B10229" i="1"/>
  <c r="C10229" i="1"/>
  <c r="B10230" i="1"/>
  <c r="C10230" i="1"/>
  <c r="B10231" i="1"/>
  <c r="C10231" i="1"/>
  <c r="B10232" i="1"/>
  <c r="C10232" i="1"/>
  <c r="B10233" i="1"/>
  <c r="C10233" i="1"/>
  <c r="B10234" i="1"/>
  <c r="C10234" i="1"/>
  <c r="B10235" i="1"/>
  <c r="C10235" i="1"/>
  <c r="B10236" i="1"/>
  <c r="C10236" i="1"/>
  <c r="B10237" i="1"/>
  <c r="C10237" i="1"/>
  <c r="B10238" i="1"/>
  <c r="C10238" i="1"/>
  <c r="B10239" i="1"/>
  <c r="C10239" i="1"/>
  <c r="B10240" i="1"/>
  <c r="C10240" i="1"/>
  <c r="B10241" i="1"/>
  <c r="C10241" i="1"/>
  <c r="B10242" i="1"/>
  <c r="C10242" i="1"/>
  <c r="B10243" i="1"/>
  <c r="C10243" i="1"/>
  <c r="B10244" i="1"/>
  <c r="C10244" i="1"/>
  <c r="B10245" i="1"/>
  <c r="C10245" i="1"/>
  <c r="B10246" i="1"/>
  <c r="C10246" i="1"/>
  <c r="B10247" i="1"/>
  <c r="C10247" i="1"/>
  <c r="B10248" i="1"/>
  <c r="C10248" i="1"/>
  <c r="B10249" i="1"/>
  <c r="C10249" i="1"/>
  <c r="B10250" i="1"/>
  <c r="C10250" i="1"/>
  <c r="B10251" i="1"/>
  <c r="C10251" i="1"/>
  <c r="B10252" i="1"/>
  <c r="C10252" i="1"/>
  <c r="B10253" i="1"/>
  <c r="C10253" i="1"/>
  <c r="B10254" i="1"/>
  <c r="C10254" i="1"/>
  <c r="B10255" i="1"/>
  <c r="C10255" i="1"/>
  <c r="B10256" i="1"/>
  <c r="C10256" i="1"/>
  <c r="B10257" i="1"/>
  <c r="C10257" i="1"/>
  <c r="B10258" i="1"/>
  <c r="C10258" i="1"/>
  <c r="B10259" i="1"/>
  <c r="C10259" i="1"/>
  <c r="B10260" i="1"/>
  <c r="C10260" i="1"/>
  <c r="B10261" i="1"/>
  <c r="C10261" i="1"/>
  <c r="B10262" i="1"/>
  <c r="C10262" i="1"/>
  <c r="B10263" i="1"/>
  <c r="C10263" i="1"/>
  <c r="B10264" i="1"/>
  <c r="C10264" i="1"/>
  <c r="B10265" i="1"/>
  <c r="C10265" i="1"/>
  <c r="B10266" i="1"/>
  <c r="C10266" i="1"/>
  <c r="B10267" i="1"/>
  <c r="C10267" i="1"/>
  <c r="B10268" i="1"/>
  <c r="C10268" i="1"/>
  <c r="B10269" i="1"/>
  <c r="C10269" i="1"/>
  <c r="B10270" i="1"/>
  <c r="C10270" i="1"/>
  <c r="B10271" i="1"/>
  <c r="C10271" i="1"/>
  <c r="B10272" i="1"/>
  <c r="C10272" i="1"/>
  <c r="B10273" i="1"/>
  <c r="C10273" i="1"/>
  <c r="B10274" i="1"/>
  <c r="C10274" i="1"/>
  <c r="B10275" i="1"/>
  <c r="C10275" i="1"/>
  <c r="B10276" i="1"/>
  <c r="C10276" i="1"/>
  <c r="B10277" i="1"/>
  <c r="C10277" i="1"/>
  <c r="B10278" i="1"/>
  <c r="C10278" i="1"/>
  <c r="B10279" i="1"/>
  <c r="C10279" i="1"/>
  <c r="B10280" i="1"/>
  <c r="C10280" i="1"/>
  <c r="B10281" i="1"/>
  <c r="C10281" i="1"/>
  <c r="B10282" i="1"/>
  <c r="C10282" i="1"/>
  <c r="B10283" i="1"/>
  <c r="C10283" i="1"/>
  <c r="B10284" i="1"/>
  <c r="C10284" i="1"/>
  <c r="B10285" i="1"/>
  <c r="C10285" i="1"/>
  <c r="B10286" i="1"/>
  <c r="C10286" i="1"/>
  <c r="B10287" i="1"/>
  <c r="C10287" i="1"/>
  <c r="B10288" i="1"/>
  <c r="C10288" i="1"/>
  <c r="B10289" i="1"/>
  <c r="C10289" i="1"/>
  <c r="B10290" i="1"/>
  <c r="C10290" i="1"/>
  <c r="B10291" i="1"/>
  <c r="C10291" i="1"/>
  <c r="B10292" i="1"/>
  <c r="C10292" i="1"/>
  <c r="B10293" i="1"/>
  <c r="C10293" i="1"/>
  <c r="B10294" i="1"/>
  <c r="C10294" i="1"/>
  <c r="B10295" i="1"/>
  <c r="C10295" i="1"/>
  <c r="B10296" i="1"/>
  <c r="C10296" i="1"/>
  <c r="B10297" i="1"/>
  <c r="C10297" i="1"/>
  <c r="B10298" i="1"/>
  <c r="C10298" i="1"/>
  <c r="B10299" i="1"/>
  <c r="C10299" i="1"/>
  <c r="B10300" i="1"/>
  <c r="C10300" i="1"/>
  <c r="B10301" i="1"/>
  <c r="C10301" i="1"/>
  <c r="B10302" i="1"/>
  <c r="C10302" i="1"/>
  <c r="B10303" i="1"/>
  <c r="C10303" i="1"/>
  <c r="B10304" i="1"/>
  <c r="C10304" i="1"/>
  <c r="B10305" i="1"/>
  <c r="C10305" i="1"/>
  <c r="B10306" i="1"/>
  <c r="C10306" i="1"/>
  <c r="B10307" i="1"/>
  <c r="C10307" i="1"/>
  <c r="B10308" i="1"/>
  <c r="C10308" i="1"/>
  <c r="B10309" i="1"/>
  <c r="C10309" i="1"/>
  <c r="B10310" i="1"/>
  <c r="C10310" i="1"/>
  <c r="B10311" i="1"/>
  <c r="C10311" i="1"/>
  <c r="B10312" i="1"/>
  <c r="C10312" i="1"/>
  <c r="B10313" i="1"/>
  <c r="C10313" i="1"/>
  <c r="B10314" i="1"/>
  <c r="C10314" i="1"/>
  <c r="B10315" i="1"/>
  <c r="C10315" i="1"/>
  <c r="B10316" i="1"/>
  <c r="C10316" i="1"/>
  <c r="B10317" i="1"/>
  <c r="C10317" i="1"/>
  <c r="B10318" i="1"/>
  <c r="C10318" i="1"/>
  <c r="B10319" i="1"/>
  <c r="C10319" i="1"/>
  <c r="B10320" i="1"/>
  <c r="C10320" i="1"/>
  <c r="B10321" i="1"/>
  <c r="C10321" i="1"/>
  <c r="B10322" i="1"/>
  <c r="C10322" i="1"/>
  <c r="B10323" i="1"/>
  <c r="C10323" i="1"/>
  <c r="B10324" i="1"/>
  <c r="C10324" i="1"/>
  <c r="B10325" i="1"/>
  <c r="C10325" i="1"/>
  <c r="B10326" i="1"/>
  <c r="C10326" i="1"/>
  <c r="B10327" i="1"/>
  <c r="C10327" i="1"/>
  <c r="B10328" i="1"/>
  <c r="C10328" i="1"/>
  <c r="B10329" i="1"/>
  <c r="C10329" i="1"/>
  <c r="B10330" i="1"/>
  <c r="C10330" i="1"/>
  <c r="B10331" i="1"/>
  <c r="C10331" i="1"/>
  <c r="B10332" i="1"/>
  <c r="C10332" i="1"/>
  <c r="B10333" i="1"/>
  <c r="C10333" i="1"/>
  <c r="B10334" i="1"/>
  <c r="C10334" i="1"/>
  <c r="B10335" i="1"/>
  <c r="C10335" i="1"/>
  <c r="B10336" i="1"/>
  <c r="C10336" i="1"/>
  <c r="B10337" i="1"/>
  <c r="C10337" i="1"/>
  <c r="B10338" i="1"/>
  <c r="C10338" i="1"/>
  <c r="B10339" i="1"/>
  <c r="C10339" i="1"/>
  <c r="B10340" i="1"/>
  <c r="C10340" i="1"/>
  <c r="B10341" i="1"/>
  <c r="C10341" i="1"/>
  <c r="B10342" i="1"/>
  <c r="C10342" i="1"/>
  <c r="B10343" i="1"/>
  <c r="C10343" i="1"/>
  <c r="B10344" i="1"/>
  <c r="C10344" i="1"/>
  <c r="B10345" i="1"/>
  <c r="C10345" i="1"/>
  <c r="B10346" i="1"/>
  <c r="C10346" i="1"/>
  <c r="B10347" i="1"/>
  <c r="C10347" i="1"/>
  <c r="B10348" i="1"/>
  <c r="C10348" i="1"/>
  <c r="B10349" i="1"/>
  <c r="C10349" i="1"/>
  <c r="B10350" i="1"/>
  <c r="C10350" i="1"/>
  <c r="B10351" i="1"/>
  <c r="C10351" i="1"/>
  <c r="B10352" i="1"/>
  <c r="C10352" i="1"/>
  <c r="B10353" i="1"/>
  <c r="C10353" i="1"/>
  <c r="B10354" i="1"/>
  <c r="C10354" i="1"/>
  <c r="B10355" i="1"/>
  <c r="C10355" i="1"/>
  <c r="B10356" i="1"/>
  <c r="C10356" i="1"/>
  <c r="B10357" i="1"/>
  <c r="C10357" i="1"/>
  <c r="B10358" i="1"/>
  <c r="C10358" i="1"/>
  <c r="B10359" i="1"/>
  <c r="C10359" i="1"/>
  <c r="B10360" i="1"/>
  <c r="C10360" i="1"/>
  <c r="B10361" i="1"/>
  <c r="C10361" i="1"/>
  <c r="B10362" i="1"/>
  <c r="C10362" i="1"/>
  <c r="B10363" i="1"/>
  <c r="C10363" i="1"/>
  <c r="B10364" i="1"/>
  <c r="C10364" i="1"/>
  <c r="B10365" i="1"/>
  <c r="C10365" i="1"/>
  <c r="B10366" i="1"/>
  <c r="C10366" i="1"/>
  <c r="B10367" i="1"/>
  <c r="C10367" i="1"/>
  <c r="B10368" i="1"/>
  <c r="C10368" i="1"/>
  <c r="B10369" i="1"/>
  <c r="C10369" i="1"/>
  <c r="B10370" i="1"/>
  <c r="C10370" i="1"/>
  <c r="B10371" i="1"/>
  <c r="C10371" i="1"/>
  <c r="B10372" i="1"/>
  <c r="C10372" i="1"/>
  <c r="B10373" i="1"/>
  <c r="C10373" i="1"/>
  <c r="B10374" i="1"/>
  <c r="C10374" i="1"/>
  <c r="B10375" i="1"/>
  <c r="C10375" i="1"/>
  <c r="B10376" i="1"/>
  <c r="C10376" i="1"/>
  <c r="B10377" i="1"/>
  <c r="C10377" i="1"/>
  <c r="B10378" i="1"/>
  <c r="C10378" i="1"/>
  <c r="B10379" i="1"/>
  <c r="C10379" i="1"/>
  <c r="B10380" i="1"/>
  <c r="C10380" i="1"/>
  <c r="B10381" i="1"/>
  <c r="C10381" i="1"/>
  <c r="B10382" i="1"/>
  <c r="C10382" i="1"/>
  <c r="B10383" i="1"/>
  <c r="C10383" i="1"/>
  <c r="B10384" i="1"/>
  <c r="C10384" i="1"/>
  <c r="B10385" i="1"/>
  <c r="C10385" i="1"/>
  <c r="B10386" i="1"/>
  <c r="C10386" i="1"/>
  <c r="B10387" i="1"/>
  <c r="C10387" i="1"/>
  <c r="B10388" i="1"/>
  <c r="C10388" i="1"/>
  <c r="B10389" i="1"/>
  <c r="C10389" i="1"/>
  <c r="B10390" i="1"/>
  <c r="C10390" i="1"/>
  <c r="B10391" i="1"/>
  <c r="C10391" i="1"/>
  <c r="B10392" i="1"/>
  <c r="C10392" i="1"/>
  <c r="B10393" i="1"/>
  <c r="C10393" i="1"/>
  <c r="B10394" i="1"/>
  <c r="C10394" i="1"/>
  <c r="B10395" i="1"/>
  <c r="C10395" i="1"/>
  <c r="B10396" i="1"/>
  <c r="C10396" i="1"/>
  <c r="B10397" i="1"/>
  <c r="C10397" i="1"/>
  <c r="B10398" i="1"/>
  <c r="C10398" i="1"/>
  <c r="B10399" i="1"/>
  <c r="C10399" i="1"/>
  <c r="B10400" i="1"/>
  <c r="C10400" i="1"/>
  <c r="B10401" i="1"/>
  <c r="C10401" i="1"/>
  <c r="B10402" i="1"/>
  <c r="C10402" i="1"/>
  <c r="B10403" i="1"/>
  <c r="C10403" i="1"/>
  <c r="B10404" i="1"/>
  <c r="C10404" i="1"/>
  <c r="B10405" i="1"/>
  <c r="C10405" i="1"/>
  <c r="B10406" i="1"/>
  <c r="C10406" i="1"/>
  <c r="B10407" i="1"/>
  <c r="C10407" i="1"/>
  <c r="B10408" i="1"/>
  <c r="C10408" i="1"/>
  <c r="B10409" i="1"/>
  <c r="C10409" i="1"/>
  <c r="B10410" i="1"/>
  <c r="C10410" i="1"/>
  <c r="B10411" i="1"/>
  <c r="C10411" i="1"/>
  <c r="B10412" i="1"/>
  <c r="C10412" i="1"/>
  <c r="B10413" i="1"/>
  <c r="C10413" i="1"/>
  <c r="B10414" i="1"/>
  <c r="C10414" i="1"/>
  <c r="B10415" i="1"/>
  <c r="C10415" i="1"/>
  <c r="B10416" i="1"/>
  <c r="C10416" i="1"/>
  <c r="B10417" i="1"/>
  <c r="C10417" i="1"/>
  <c r="B10418" i="1"/>
  <c r="C10418" i="1"/>
  <c r="B10419" i="1"/>
  <c r="C10419" i="1"/>
  <c r="B10420" i="1"/>
  <c r="C10420" i="1"/>
  <c r="B10421" i="1"/>
  <c r="C10421" i="1"/>
  <c r="B10422" i="1"/>
  <c r="C10422" i="1"/>
  <c r="B10423" i="1"/>
  <c r="C10423" i="1"/>
  <c r="B10424" i="1"/>
  <c r="C10424" i="1"/>
  <c r="B10425" i="1"/>
  <c r="C10425" i="1"/>
  <c r="B10426" i="1"/>
  <c r="C10426" i="1"/>
  <c r="B10427" i="1"/>
  <c r="C10427" i="1"/>
  <c r="B10428" i="1"/>
  <c r="C10428" i="1"/>
  <c r="B10429" i="1"/>
  <c r="C10429" i="1"/>
  <c r="B10430" i="1"/>
  <c r="C10430" i="1"/>
  <c r="B10431" i="1"/>
  <c r="C10431" i="1"/>
  <c r="B10432" i="1"/>
  <c r="C10432" i="1"/>
  <c r="B10433" i="1"/>
  <c r="C10433" i="1"/>
  <c r="B10434" i="1"/>
  <c r="C10434" i="1"/>
  <c r="B10435" i="1"/>
  <c r="C10435" i="1"/>
  <c r="B10436" i="1"/>
  <c r="C10436" i="1"/>
  <c r="B10437" i="1"/>
  <c r="C10437" i="1"/>
  <c r="B10438" i="1"/>
  <c r="C10438" i="1"/>
  <c r="B10439" i="1"/>
  <c r="C10439" i="1"/>
  <c r="B10440" i="1"/>
  <c r="C10440" i="1"/>
  <c r="B10441" i="1"/>
  <c r="C10441" i="1"/>
  <c r="B10442" i="1"/>
  <c r="C10442" i="1"/>
  <c r="B10443" i="1"/>
  <c r="C10443" i="1"/>
  <c r="B10444" i="1"/>
  <c r="C10444" i="1"/>
  <c r="B10445" i="1"/>
  <c r="C10445" i="1"/>
  <c r="B10446" i="1"/>
  <c r="C10446" i="1"/>
  <c r="B10447" i="1"/>
  <c r="C10447" i="1"/>
  <c r="B10448" i="1"/>
  <c r="C10448" i="1"/>
  <c r="B10449" i="1"/>
  <c r="C10449" i="1"/>
  <c r="B10450" i="1"/>
  <c r="C10450" i="1"/>
  <c r="B10451" i="1"/>
  <c r="C10451" i="1"/>
  <c r="B10452" i="1"/>
  <c r="C10452" i="1"/>
  <c r="B10453" i="1"/>
  <c r="C10453" i="1"/>
  <c r="B10454" i="1"/>
  <c r="C10454" i="1"/>
  <c r="B10455" i="1"/>
  <c r="C10455" i="1"/>
  <c r="B10456" i="1"/>
  <c r="C10456" i="1"/>
  <c r="B10457" i="1"/>
  <c r="C10457" i="1"/>
  <c r="B10458" i="1"/>
  <c r="C10458" i="1"/>
  <c r="B10459" i="1"/>
  <c r="C10459" i="1"/>
  <c r="B10460" i="1"/>
  <c r="C10460" i="1"/>
  <c r="B10461" i="1"/>
  <c r="C10461" i="1"/>
  <c r="B10462" i="1"/>
  <c r="C10462" i="1"/>
  <c r="B10463" i="1"/>
  <c r="C10463" i="1"/>
  <c r="B10464" i="1"/>
  <c r="C10464" i="1"/>
  <c r="B10465" i="1"/>
  <c r="C10465" i="1"/>
  <c r="B10466" i="1"/>
  <c r="C10466" i="1"/>
  <c r="B10467" i="1"/>
  <c r="C10467" i="1"/>
  <c r="B10468" i="1"/>
  <c r="C10468" i="1"/>
  <c r="B10469" i="1"/>
  <c r="C10469" i="1"/>
  <c r="B10470" i="1"/>
  <c r="C10470" i="1"/>
  <c r="B10471" i="1"/>
  <c r="C10471" i="1"/>
  <c r="B10472" i="1"/>
  <c r="C10472" i="1"/>
  <c r="B10473" i="1"/>
  <c r="C10473" i="1"/>
  <c r="B10474" i="1"/>
  <c r="C10474" i="1"/>
  <c r="B10475" i="1"/>
  <c r="C10475" i="1"/>
  <c r="B10476" i="1"/>
  <c r="C10476" i="1"/>
  <c r="B10477" i="1"/>
  <c r="C10477" i="1"/>
  <c r="B10478" i="1"/>
  <c r="C10478" i="1"/>
  <c r="B10479" i="1"/>
  <c r="C10479" i="1"/>
  <c r="B10480" i="1"/>
  <c r="C10480" i="1"/>
  <c r="B10481" i="1"/>
  <c r="C10481" i="1"/>
  <c r="B10482" i="1"/>
  <c r="C10482" i="1"/>
  <c r="B10483" i="1"/>
  <c r="C10483" i="1"/>
  <c r="B10484" i="1"/>
  <c r="C10484" i="1"/>
  <c r="B10485" i="1"/>
  <c r="C10485" i="1"/>
  <c r="B10486" i="1"/>
  <c r="C10486" i="1"/>
  <c r="B10487" i="1"/>
  <c r="C10487" i="1"/>
  <c r="B10488" i="1"/>
  <c r="C10488" i="1"/>
  <c r="B10489" i="1"/>
  <c r="C10489" i="1"/>
  <c r="B10490" i="1"/>
  <c r="C10490" i="1"/>
  <c r="B10491" i="1"/>
  <c r="C10491" i="1"/>
  <c r="B10492" i="1"/>
  <c r="C10492" i="1"/>
  <c r="B10493" i="1"/>
  <c r="C10493" i="1"/>
  <c r="B10494" i="1"/>
  <c r="C10494" i="1"/>
  <c r="B10495" i="1"/>
  <c r="C10495" i="1"/>
  <c r="B10496" i="1"/>
  <c r="C10496" i="1"/>
  <c r="B10497" i="1"/>
  <c r="C10497" i="1"/>
  <c r="B10498" i="1"/>
  <c r="C10498" i="1"/>
  <c r="B10499" i="1"/>
  <c r="C10499" i="1"/>
  <c r="B10500" i="1"/>
  <c r="C10500" i="1"/>
  <c r="B10501" i="1"/>
  <c r="C10501" i="1"/>
  <c r="B10502" i="1"/>
  <c r="C10502" i="1"/>
  <c r="B10503" i="1"/>
  <c r="C10503" i="1"/>
  <c r="B10504" i="1"/>
  <c r="C10504" i="1"/>
  <c r="B10505" i="1"/>
  <c r="C10505" i="1"/>
  <c r="B10506" i="1"/>
  <c r="C10506" i="1"/>
  <c r="B10507" i="1"/>
  <c r="C10507" i="1"/>
  <c r="B10508" i="1"/>
  <c r="C10508" i="1"/>
  <c r="B10509" i="1"/>
  <c r="C10509" i="1"/>
  <c r="B10510" i="1"/>
  <c r="C10510" i="1"/>
  <c r="B10511" i="1"/>
  <c r="C10511" i="1"/>
  <c r="B10512" i="1"/>
  <c r="C10512" i="1"/>
  <c r="B10513" i="1"/>
  <c r="C10513" i="1"/>
  <c r="B10514" i="1"/>
  <c r="C10514" i="1"/>
  <c r="B10515" i="1"/>
  <c r="C10515" i="1"/>
  <c r="B10516" i="1"/>
  <c r="C10516" i="1"/>
  <c r="B10517" i="1"/>
  <c r="C10517" i="1"/>
  <c r="B10518" i="1"/>
  <c r="C10518" i="1"/>
  <c r="B10519" i="1"/>
  <c r="C10519" i="1"/>
  <c r="B10520" i="1"/>
  <c r="C10520" i="1"/>
  <c r="B10521" i="1"/>
  <c r="C10521" i="1"/>
  <c r="B10522" i="1"/>
  <c r="C10522" i="1"/>
  <c r="B10523" i="1"/>
  <c r="C10523" i="1"/>
  <c r="B10524" i="1"/>
  <c r="C10524" i="1"/>
  <c r="B10525" i="1"/>
  <c r="C10525" i="1"/>
  <c r="B10526" i="1"/>
  <c r="C10526" i="1"/>
  <c r="B10527" i="1"/>
  <c r="C10527" i="1"/>
  <c r="B10528" i="1"/>
  <c r="C10528" i="1"/>
  <c r="B10529" i="1"/>
  <c r="C10529" i="1"/>
  <c r="B10530" i="1"/>
  <c r="C10530" i="1"/>
  <c r="B10531" i="1"/>
  <c r="C10531" i="1"/>
  <c r="B10532" i="1"/>
  <c r="C10532" i="1"/>
  <c r="B10533" i="1"/>
  <c r="C10533" i="1"/>
  <c r="B10534" i="1"/>
  <c r="C10534" i="1"/>
  <c r="B10535" i="1"/>
  <c r="C10535" i="1"/>
  <c r="B10536" i="1"/>
  <c r="C10536" i="1"/>
  <c r="B10537" i="1"/>
  <c r="C10537" i="1"/>
  <c r="B10538" i="1"/>
  <c r="C10538" i="1"/>
  <c r="B10539" i="1"/>
  <c r="C10539" i="1"/>
  <c r="B10540" i="1"/>
  <c r="C10540" i="1"/>
  <c r="B10541" i="1"/>
  <c r="C10541" i="1"/>
  <c r="B10542" i="1"/>
  <c r="C10542" i="1"/>
  <c r="B10543" i="1"/>
  <c r="C10543" i="1"/>
  <c r="B10544" i="1"/>
  <c r="C10544" i="1"/>
  <c r="B10545" i="1"/>
  <c r="C10545" i="1"/>
  <c r="B10546" i="1"/>
  <c r="C10546" i="1"/>
  <c r="B10547" i="1"/>
  <c r="C10547" i="1"/>
  <c r="B10548" i="1"/>
  <c r="C10548" i="1"/>
  <c r="B10549" i="1"/>
  <c r="C10549" i="1"/>
  <c r="B10550" i="1"/>
  <c r="C10550" i="1"/>
  <c r="B10551" i="1"/>
  <c r="C10551" i="1"/>
  <c r="B10552" i="1"/>
  <c r="C10552" i="1"/>
  <c r="B10553" i="1"/>
  <c r="C10553" i="1"/>
  <c r="B10554" i="1"/>
  <c r="C10554" i="1"/>
  <c r="B10555" i="1"/>
  <c r="C10555" i="1"/>
  <c r="B10556" i="1"/>
  <c r="C10556" i="1"/>
  <c r="B10557" i="1"/>
  <c r="C10557" i="1"/>
  <c r="B10558" i="1"/>
  <c r="C10558" i="1"/>
  <c r="B10559" i="1"/>
  <c r="C10559" i="1"/>
  <c r="B10560" i="1"/>
  <c r="C10560" i="1"/>
  <c r="B10561" i="1"/>
  <c r="C10561" i="1"/>
  <c r="B10562" i="1"/>
  <c r="C10562" i="1"/>
  <c r="B10563" i="1"/>
  <c r="C10563" i="1"/>
  <c r="B10564" i="1"/>
  <c r="C10564" i="1"/>
  <c r="B10565" i="1"/>
  <c r="C10565" i="1"/>
  <c r="B10566" i="1"/>
  <c r="C10566" i="1"/>
  <c r="B10567" i="1"/>
  <c r="C10567" i="1"/>
  <c r="B10568" i="1"/>
  <c r="C10568" i="1"/>
  <c r="B10569" i="1"/>
  <c r="C10569" i="1"/>
  <c r="B10570" i="1"/>
  <c r="C10570" i="1"/>
  <c r="B10571" i="1"/>
  <c r="C10571" i="1"/>
  <c r="B10572" i="1"/>
  <c r="C10572" i="1"/>
  <c r="B10573" i="1"/>
  <c r="C10573" i="1"/>
  <c r="B10574" i="1"/>
  <c r="C10574" i="1"/>
  <c r="B10575" i="1"/>
  <c r="C10575" i="1"/>
  <c r="B10576" i="1"/>
  <c r="C10576" i="1"/>
  <c r="B10577" i="1"/>
  <c r="C10577" i="1"/>
  <c r="B10578" i="1"/>
  <c r="C10578" i="1"/>
  <c r="B10579" i="1"/>
  <c r="C10579" i="1"/>
  <c r="B10580" i="1"/>
  <c r="C10580" i="1"/>
  <c r="B10581" i="1"/>
  <c r="C10581" i="1"/>
  <c r="B10582" i="1"/>
  <c r="C10582" i="1"/>
  <c r="B10583" i="1"/>
  <c r="C10583" i="1"/>
  <c r="B10584" i="1"/>
  <c r="C10584" i="1"/>
  <c r="B10585" i="1"/>
  <c r="C10585" i="1"/>
  <c r="B10586" i="1"/>
  <c r="C10586" i="1"/>
  <c r="B10587" i="1"/>
  <c r="C10587" i="1"/>
  <c r="B10588" i="1"/>
  <c r="C10588" i="1"/>
  <c r="B10589" i="1"/>
  <c r="C10589" i="1"/>
  <c r="B10590" i="1"/>
  <c r="C10590" i="1"/>
  <c r="B10591" i="1"/>
  <c r="C10591" i="1"/>
  <c r="B10592" i="1"/>
  <c r="C10592" i="1"/>
  <c r="B10593" i="1"/>
  <c r="C10593" i="1"/>
  <c r="B10594" i="1"/>
  <c r="C10594" i="1"/>
  <c r="B10595" i="1"/>
  <c r="C10595" i="1"/>
  <c r="B10596" i="1"/>
  <c r="C10596" i="1"/>
  <c r="B10597" i="1"/>
  <c r="C10597" i="1"/>
  <c r="B10598" i="1"/>
  <c r="C10598" i="1"/>
  <c r="B10599" i="1"/>
  <c r="C10599" i="1"/>
  <c r="B10600" i="1"/>
  <c r="C10600" i="1"/>
  <c r="B10601" i="1"/>
  <c r="C10601" i="1"/>
  <c r="B10602" i="1"/>
  <c r="C10602" i="1"/>
  <c r="B10603" i="1"/>
  <c r="C10603" i="1"/>
  <c r="B10604" i="1"/>
  <c r="C10604" i="1"/>
  <c r="B10605" i="1"/>
  <c r="C10605" i="1"/>
  <c r="B10606" i="1"/>
  <c r="C10606" i="1"/>
  <c r="B10607" i="1"/>
  <c r="C10607" i="1"/>
  <c r="B10608" i="1"/>
  <c r="C10608" i="1"/>
  <c r="B10609" i="1"/>
  <c r="C10609" i="1"/>
  <c r="B10610" i="1"/>
  <c r="C10610" i="1"/>
  <c r="B10611" i="1"/>
  <c r="C10611" i="1"/>
  <c r="B10612" i="1"/>
  <c r="C10612" i="1"/>
  <c r="B10613" i="1"/>
  <c r="C10613" i="1"/>
  <c r="B10614" i="1"/>
  <c r="C10614" i="1"/>
  <c r="B10615" i="1"/>
  <c r="C10615" i="1"/>
  <c r="B10616" i="1"/>
  <c r="C10616" i="1"/>
  <c r="B10617" i="1"/>
  <c r="C10617" i="1"/>
  <c r="B10618" i="1"/>
  <c r="C10618" i="1"/>
  <c r="B10619" i="1"/>
  <c r="C10619" i="1"/>
  <c r="B10620" i="1"/>
  <c r="C10620" i="1"/>
  <c r="B10621" i="1"/>
  <c r="C10621" i="1"/>
  <c r="B10622" i="1"/>
  <c r="C10622" i="1"/>
  <c r="B10623" i="1"/>
  <c r="C10623" i="1"/>
  <c r="B10624" i="1"/>
  <c r="C10624" i="1"/>
  <c r="B10625" i="1"/>
  <c r="C10625" i="1"/>
  <c r="B10626" i="1"/>
  <c r="C10626" i="1"/>
  <c r="B10627" i="1"/>
  <c r="C10627" i="1"/>
  <c r="B10628" i="1"/>
  <c r="C10628" i="1"/>
  <c r="B10629" i="1"/>
  <c r="C10629" i="1"/>
  <c r="B10630" i="1"/>
  <c r="C10630" i="1"/>
  <c r="B10631" i="1"/>
  <c r="C10631" i="1"/>
  <c r="B10632" i="1"/>
  <c r="C10632" i="1"/>
  <c r="B10633" i="1"/>
  <c r="C10633" i="1"/>
  <c r="B10634" i="1"/>
  <c r="C10634" i="1"/>
  <c r="B10635" i="1"/>
  <c r="C10635" i="1"/>
  <c r="B10636" i="1"/>
  <c r="C10636" i="1"/>
  <c r="B10637" i="1"/>
  <c r="C10637" i="1"/>
  <c r="B10638" i="1"/>
  <c r="C10638" i="1"/>
  <c r="B10639" i="1"/>
  <c r="C10639" i="1"/>
  <c r="B10640" i="1"/>
  <c r="C10640" i="1"/>
  <c r="B10641" i="1"/>
  <c r="C10641" i="1"/>
  <c r="B10642" i="1"/>
  <c r="C10642" i="1"/>
  <c r="B10643" i="1"/>
  <c r="C10643" i="1"/>
  <c r="B10644" i="1"/>
  <c r="C10644" i="1"/>
  <c r="B10645" i="1"/>
  <c r="C10645" i="1"/>
  <c r="B10646" i="1"/>
  <c r="C10646" i="1"/>
  <c r="B10647" i="1"/>
  <c r="C10647" i="1"/>
  <c r="B10648" i="1"/>
  <c r="C10648" i="1"/>
  <c r="B10649" i="1"/>
  <c r="C10649" i="1"/>
  <c r="B10650" i="1"/>
  <c r="C10650" i="1"/>
  <c r="B10651" i="1"/>
  <c r="C10651" i="1"/>
  <c r="B10652" i="1"/>
  <c r="C10652" i="1"/>
  <c r="B10653" i="1"/>
  <c r="C10653" i="1"/>
  <c r="B10654" i="1"/>
  <c r="C10654" i="1"/>
  <c r="B10655" i="1"/>
  <c r="C10655" i="1"/>
  <c r="B10656" i="1"/>
  <c r="C10656" i="1"/>
  <c r="B10657" i="1"/>
  <c r="C10657" i="1"/>
  <c r="B10658" i="1"/>
  <c r="C10658" i="1"/>
  <c r="B10659" i="1"/>
  <c r="C10659" i="1"/>
  <c r="B10660" i="1"/>
  <c r="C10660" i="1"/>
  <c r="B10661" i="1"/>
  <c r="C10661" i="1"/>
  <c r="B10662" i="1"/>
  <c r="C10662" i="1"/>
  <c r="B10663" i="1"/>
  <c r="C10663" i="1"/>
  <c r="B10664" i="1"/>
  <c r="C10664" i="1"/>
  <c r="B10665" i="1"/>
  <c r="C10665" i="1"/>
  <c r="B10666" i="1"/>
  <c r="C10666" i="1"/>
  <c r="B10667" i="1"/>
  <c r="C10667" i="1"/>
  <c r="B10668" i="1"/>
  <c r="C10668" i="1"/>
  <c r="B10669" i="1"/>
  <c r="C10669" i="1"/>
  <c r="B10670" i="1"/>
  <c r="C10670" i="1"/>
  <c r="B10671" i="1"/>
  <c r="C10671" i="1"/>
  <c r="B10672" i="1"/>
  <c r="C10672" i="1"/>
  <c r="B10673" i="1"/>
  <c r="C10673" i="1"/>
  <c r="B10674" i="1"/>
  <c r="C10674" i="1"/>
  <c r="B10675" i="1"/>
  <c r="C10675" i="1"/>
  <c r="B10676" i="1"/>
  <c r="C10676" i="1"/>
  <c r="B10677" i="1"/>
  <c r="C10677" i="1"/>
  <c r="B10678" i="1"/>
  <c r="C10678" i="1"/>
  <c r="B10679" i="1"/>
  <c r="C10679" i="1"/>
  <c r="B10680" i="1"/>
  <c r="C10680" i="1"/>
  <c r="B10681" i="1"/>
  <c r="C10681" i="1"/>
  <c r="B10682" i="1"/>
  <c r="C10682" i="1"/>
  <c r="B10683" i="1"/>
  <c r="C10683" i="1"/>
  <c r="B10684" i="1"/>
  <c r="C10684" i="1"/>
  <c r="B10685" i="1"/>
  <c r="C10685" i="1"/>
  <c r="B10686" i="1"/>
  <c r="C10686" i="1"/>
  <c r="B10687" i="1"/>
  <c r="C10687" i="1"/>
  <c r="B10688" i="1"/>
  <c r="C10688" i="1"/>
  <c r="B10689" i="1"/>
  <c r="C10689" i="1"/>
  <c r="B10690" i="1"/>
  <c r="C10690" i="1"/>
  <c r="B10691" i="1"/>
  <c r="C10691" i="1"/>
  <c r="B10692" i="1"/>
  <c r="C10692" i="1"/>
  <c r="B10693" i="1"/>
  <c r="C10693" i="1"/>
  <c r="B10694" i="1"/>
  <c r="C10694" i="1"/>
  <c r="B10695" i="1"/>
  <c r="C10695" i="1"/>
  <c r="B10696" i="1"/>
  <c r="C10696" i="1"/>
  <c r="B10697" i="1"/>
  <c r="C10697" i="1"/>
  <c r="B10698" i="1"/>
  <c r="C10698" i="1"/>
  <c r="B10699" i="1"/>
  <c r="C10699" i="1"/>
  <c r="B10700" i="1"/>
  <c r="C10700" i="1"/>
  <c r="B10701" i="1"/>
  <c r="C10701" i="1"/>
  <c r="B10702" i="1"/>
  <c r="C10702" i="1"/>
  <c r="B10703" i="1"/>
  <c r="C10703" i="1"/>
  <c r="B10704" i="1"/>
  <c r="C10704" i="1"/>
  <c r="B10705" i="1"/>
  <c r="C10705" i="1"/>
  <c r="B10706" i="1"/>
  <c r="C10706" i="1"/>
  <c r="B10707" i="1"/>
  <c r="C10707" i="1"/>
  <c r="B10708" i="1"/>
  <c r="C10708" i="1"/>
  <c r="B10709" i="1"/>
  <c r="C10709" i="1"/>
  <c r="B10710" i="1"/>
  <c r="C10710" i="1"/>
  <c r="B10711" i="1"/>
  <c r="C10711" i="1"/>
  <c r="B10712" i="1"/>
  <c r="C10712" i="1"/>
  <c r="B10713" i="1"/>
  <c r="C10713" i="1"/>
  <c r="B10714" i="1"/>
  <c r="C10714" i="1"/>
  <c r="B10715" i="1"/>
  <c r="C10715" i="1"/>
  <c r="B10716" i="1"/>
  <c r="C10716" i="1"/>
  <c r="B10717" i="1"/>
  <c r="C10717" i="1"/>
  <c r="B10718" i="1"/>
  <c r="C10718" i="1"/>
  <c r="B10719" i="1"/>
  <c r="C10719" i="1"/>
  <c r="B10720" i="1"/>
  <c r="C10720" i="1"/>
  <c r="B10721" i="1"/>
  <c r="C10721" i="1"/>
  <c r="B10722" i="1"/>
  <c r="C10722" i="1"/>
  <c r="B10723" i="1"/>
  <c r="C10723" i="1"/>
  <c r="B10724" i="1"/>
  <c r="C10724" i="1"/>
  <c r="B10725" i="1"/>
  <c r="C10725" i="1"/>
  <c r="B10726" i="1"/>
  <c r="C10726" i="1"/>
  <c r="B10727" i="1"/>
  <c r="C10727" i="1"/>
  <c r="B10728" i="1"/>
  <c r="C10728" i="1"/>
  <c r="B10729" i="1"/>
  <c r="C10729" i="1"/>
  <c r="B10730" i="1"/>
  <c r="C10730" i="1"/>
  <c r="B10731" i="1"/>
  <c r="C10731" i="1"/>
  <c r="B10732" i="1"/>
  <c r="C10732" i="1"/>
  <c r="B10733" i="1"/>
  <c r="C10733" i="1"/>
  <c r="B10734" i="1"/>
  <c r="C10734" i="1"/>
  <c r="B10735" i="1"/>
  <c r="C10735" i="1"/>
  <c r="B10736" i="1"/>
  <c r="C10736" i="1"/>
  <c r="B10737" i="1"/>
  <c r="C10737" i="1"/>
  <c r="B10738" i="1"/>
  <c r="C10738" i="1"/>
  <c r="B10739" i="1"/>
  <c r="C10739" i="1"/>
  <c r="B10740" i="1"/>
  <c r="C10740" i="1"/>
  <c r="B10741" i="1"/>
  <c r="C10741" i="1"/>
  <c r="B10742" i="1"/>
  <c r="C10742" i="1"/>
  <c r="B10743" i="1"/>
  <c r="C10743" i="1"/>
  <c r="B10744" i="1"/>
  <c r="C10744" i="1"/>
  <c r="B10745" i="1"/>
  <c r="C10745" i="1"/>
  <c r="B10746" i="1"/>
  <c r="C10746" i="1"/>
  <c r="B10747" i="1"/>
  <c r="C10747" i="1"/>
  <c r="B10748" i="1"/>
  <c r="C10748" i="1"/>
  <c r="B10749" i="1"/>
  <c r="C10749" i="1"/>
  <c r="B10750" i="1"/>
  <c r="C10750" i="1"/>
  <c r="B10751" i="1"/>
  <c r="C10751" i="1"/>
  <c r="B10752" i="1"/>
  <c r="C10752" i="1"/>
  <c r="B10753" i="1"/>
  <c r="C10753" i="1"/>
  <c r="B10754" i="1"/>
  <c r="C10754" i="1"/>
  <c r="B10755" i="1"/>
  <c r="C10755" i="1"/>
  <c r="B10756" i="1"/>
  <c r="C10756" i="1"/>
  <c r="B10757" i="1"/>
  <c r="C10757" i="1"/>
  <c r="B10758" i="1"/>
  <c r="C10758" i="1"/>
  <c r="B10759" i="1"/>
  <c r="C10759" i="1"/>
  <c r="B10760" i="1"/>
  <c r="C10760" i="1"/>
  <c r="B10761" i="1"/>
  <c r="C10761" i="1"/>
  <c r="B10762" i="1"/>
  <c r="C10762" i="1"/>
  <c r="B10763" i="1"/>
  <c r="C10763" i="1"/>
  <c r="B10764" i="1"/>
  <c r="C10764" i="1"/>
  <c r="B10765" i="1"/>
  <c r="C10765" i="1"/>
  <c r="B10766" i="1"/>
  <c r="C10766" i="1"/>
  <c r="B10767" i="1"/>
  <c r="C10767" i="1"/>
  <c r="B10768" i="1"/>
  <c r="C10768" i="1"/>
  <c r="B10769" i="1"/>
  <c r="C10769" i="1"/>
  <c r="B10770" i="1"/>
  <c r="C10770" i="1"/>
  <c r="B10771" i="1"/>
  <c r="C10771" i="1"/>
  <c r="B10772" i="1"/>
  <c r="C10772" i="1"/>
  <c r="B10773" i="1"/>
  <c r="C10773" i="1"/>
  <c r="B10774" i="1"/>
  <c r="C10774" i="1"/>
  <c r="B10775" i="1"/>
  <c r="C10775" i="1"/>
  <c r="B10776" i="1"/>
  <c r="C10776" i="1"/>
  <c r="B10777" i="1"/>
  <c r="C10777" i="1"/>
  <c r="B10778" i="1"/>
  <c r="C10778" i="1"/>
  <c r="B10779" i="1"/>
  <c r="C10779" i="1"/>
  <c r="B10780" i="1"/>
  <c r="C10780" i="1"/>
  <c r="B10781" i="1"/>
  <c r="C10781" i="1"/>
  <c r="B10782" i="1"/>
  <c r="C10782" i="1"/>
  <c r="B10783" i="1"/>
  <c r="C10783" i="1"/>
  <c r="B10784" i="1"/>
  <c r="C10784" i="1"/>
  <c r="B10785" i="1"/>
  <c r="C10785" i="1"/>
  <c r="B10786" i="1"/>
  <c r="C10786" i="1"/>
  <c r="B10787" i="1"/>
  <c r="C10787" i="1"/>
  <c r="B10788" i="1"/>
  <c r="C10788" i="1"/>
  <c r="B10789" i="1"/>
  <c r="C10789" i="1"/>
  <c r="B10790" i="1"/>
  <c r="C10790" i="1"/>
  <c r="B10791" i="1"/>
  <c r="C10791" i="1"/>
  <c r="B10792" i="1"/>
  <c r="C10792" i="1"/>
  <c r="B10793" i="1"/>
  <c r="C10793" i="1"/>
  <c r="B10794" i="1"/>
  <c r="C10794" i="1"/>
  <c r="B10795" i="1"/>
  <c r="C10795" i="1"/>
  <c r="B10796" i="1"/>
  <c r="C10796" i="1"/>
  <c r="B10797" i="1"/>
  <c r="C10797" i="1"/>
  <c r="B10798" i="1"/>
  <c r="C10798" i="1"/>
  <c r="B10799" i="1"/>
  <c r="C10799" i="1"/>
  <c r="B10800" i="1"/>
  <c r="C10800" i="1"/>
  <c r="B10801" i="1"/>
  <c r="C10801" i="1"/>
  <c r="B10802" i="1"/>
  <c r="C10802" i="1"/>
  <c r="B10803" i="1"/>
  <c r="C10803" i="1"/>
  <c r="B10804" i="1"/>
  <c r="C10804" i="1"/>
  <c r="B10805" i="1"/>
  <c r="C10805" i="1"/>
  <c r="B10806" i="1"/>
  <c r="C10806" i="1"/>
  <c r="B10807" i="1"/>
  <c r="C10807" i="1"/>
  <c r="B10808" i="1"/>
  <c r="C10808" i="1"/>
  <c r="B10809" i="1"/>
  <c r="C10809" i="1"/>
  <c r="B10810" i="1"/>
  <c r="C10810" i="1"/>
  <c r="B10811" i="1"/>
  <c r="C10811" i="1"/>
  <c r="B10812" i="1"/>
  <c r="C10812" i="1"/>
  <c r="B10813" i="1"/>
  <c r="C10813" i="1"/>
  <c r="B10814" i="1"/>
  <c r="C10814" i="1"/>
  <c r="B10815" i="1"/>
  <c r="C10815" i="1"/>
  <c r="B10816" i="1"/>
  <c r="C10816" i="1"/>
  <c r="B10817" i="1"/>
  <c r="C10817" i="1"/>
  <c r="B10818" i="1"/>
  <c r="C10818" i="1"/>
  <c r="B10819" i="1"/>
  <c r="C10819" i="1"/>
  <c r="B10820" i="1"/>
  <c r="C10820" i="1"/>
  <c r="B10821" i="1"/>
  <c r="C10821" i="1"/>
  <c r="B10822" i="1"/>
  <c r="C10822" i="1"/>
  <c r="B10823" i="1"/>
  <c r="C10823" i="1"/>
  <c r="B10824" i="1"/>
  <c r="C10824" i="1"/>
  <c r="B10825" i="1"/>
  <c r="C10825" i="1"/>
  <c r="B10826" i="1"/>
  <c r="C10826" i="1"/>
  <c r="B10827" i="1"/>
  <c r="C10827" i="1"/>
  <c r="B10828" i="1"/>
  <c r="C10828" i="1"/>
  <c r="B10829" i="1"/>
  <c r="C10829" i="1"/>
  <c r="B10830" i="1"/>
  <c r="C10830" i="1"/>
  <c r="B10831" i="1"/>
  <c r="C10831" i="1"/>
  <c r="B10832" i="1"/>
  <c r="C10832" i="1"/>
  <c r="B10833" i="1"/>
  <c r="C10833" i="1"/>
  <c r="B10834" i="1"/>
  <c r="C10834" i="1"/>
  <c r="B10835" i="1"/>
  <c r="C10835" i="1"/>
  <c r="B10836" i="1"/>
  <c r="C10836" i="1"/>
  <c r="B10837" i="1"/>
  <c r="C10837" i="1"/>
  <c r="B10838" i="1"/>
  <c r="C10838" i="1"/>
  <c r="B10839" i="1"/>
  <c r="C10839" i="1"/>
  <c r="B10840" i="1"/>
  <c r="C10840" i="1"/>
  <c r="B10841" i="1"/>
  <c r="C10841" i="1"/>
  <c r="B10842" i="1"/>
  <c r="C10842" i="1"/>
  <c r="B10843" i="1"/>
  <c r="C10843" i="1"/>
  <c r="B10844" i="1"/>
  <c r="C10844" i="1"/>
  <c r="B10845" i="1"/>
  <c r="C10845" i="1"/>
  <c r="B10846" i="1"/>
  <c r="C10846" i="1"/>
  <c r="B10847" i="1"/>
  <c r="C10847" i="1"/>
  <c r="B10848" i="1"/>
  <c r="C10848" i="1"/>
  <c r="B10849" i="1"/>
  <c r="C10849" i="1"/>
  <c r="B10850" i="1"/>
  <c r="C10850" i="1"/>
  <c r="B10851" i="1"/>
  <c r="C10851" i="1"/>
  <c r="B10852" i="1"/>
  <c r="C10852" i="1"/>
  <c r="B10853" i="1"/>
  <c r="C10853" i="1"/>
  <c r="B10854" i="1"/>
  <c r="C10854" i="1"/>
  <c r="B10855" i="1"/>
  <c r="C10855" i="1"/>
  <c r="B10856" i="1"/>
  <c r="C10856" i="1"/>
  <c r="B10857" i="1"/>
  <c r="C10857" i="1"/>
  <c r="B10858" i="1"/>
  <c r="C10858" i="1"/>
  <c r="B10859" i="1"/>
  <c r="C10859" i="1"/>
  <c r="B10860" i="1"/>
  <c r="C10860" i="1"/>
  <c r="B10861" i="1"/>
  <c r="C10861" i="1"/>
  <c r="B10862" i="1"/>
  <c r="C10862" i="1"/>
  <c r="B10863" i="1"/>
  <c r="C10863" i="1"/>
  <c r="B10864" i="1"/>
  <c r="C10864" i="1"/>
  <c r="B10865" i="1"/>
  <c r="C10865" i="1"/>
  <c r="B10866" i="1"/>
  <c r="C10866" i="1"/>
  <c r="B10867" i="1"/>
  <c r="C10867" i="1"/>
  <c r="B10868" i="1"/>
  <c r="C10868" i="1"/>
  <c r="B10869" i="1"/>
  <c r="C10869" i="1"/>
  <c r="B10870" i="1"/>
  <c r="C10870" i="1"/>
  <c r="B10871" i="1"/>
  <c r="C10871" i="1"/>
  <c r="B10872" i="1"/>
  <c r="C10872" i="1"/>
  <c r="B10873" i="1"/>
  <c r="C10873" i="1"/>
  <c r="B10874" i="1"/>
  <c r="C10874" i="1"/>
  <c r="B10875" i="1"/>
  <c r="C10875" i="1"/>
  <c r="B10876" i="1"/>
  <c r="C10876" i="1"/>
  <c r="B10877" i="1"/>
  <c r="C10877" i="1"/>
  <c r="B10878" i="1"/>
  <c r="C10878" i="1"/>
  <c r="B10879" i="1"/>
  <c r="C10879" i="1"/>
  <c r="B10880" i="1"/>
  <c r="C10880" i="1"/>
  <c r="B10881" i="1"/>
  <c r="C10881" i="1"/>
  <c r="B10882" i="1"/>
  <c r="C10882" i="1"/>
  <c r="B10883" i="1"/>
  <c r="C10883" i="1"/>
  <c r="B10884" i="1"/>
  <c r="C10884" i="1"/>
  <c r="B10885" i="1"/>
  <c r="C10885" i="1"/>
  <c r="B10886" i="1"/>
  <c r="C10886" i="1"/>
  <c r="B10887" i="1"/>
  <c r="C10887" i="1"/>
  <c r="B10888" i="1"/>
  <c r="C10888" i="1"/>
  <c r="B10889" i="1"/>
  <c r="C10889" i="1"/>
  <c r="B10890" i="1"/>
  <c r="C10890" i="1"/>
  <c r="B10891" i="1"/>
  <c r="C10891" i="1"/>
  <c r="B10892" i="1"/>
  <c r="C10892" i="1"/>
  <c r="B10893" i="1"/>
  <c r="C10893" i="1"/>
  <c r="B10894" i="1"/>
  <c r="C10894" i="1"/>
  <c r="B10895" i="1"/>
  <c r="C10895" i="1"/>
  <c r="B10896" i="1"/>
  <c r="C10896" i="1"/>
  <c r="B10897" i="1"/>
  <c r="C10897" i="1"/>
  <c r="B10898" i="1"/>
  <c r="C10898" i="1"/>
  <c r="B10899" i="1"/>
  <c r="C10899" i="1"/>
  <c r="B10900" i="1"/>
  <c r="C10900" i="1"/>
  <c r="B10901" i="1"/>
  <c r="C10901" i="1"/>
  <c r="B10902" i="1"/>
  <c r="C10902" i="1"/>
  <c r="B10903" i="1"/>
  <c r="C10903" i="1"/>
  <c r="B10904" i="1"/>
  <c r="C10904" i="1"/>
  <c r="B10905" i="1"/>
  <c r="C10905" i="1"/>
  <c r="B10906" i="1"/>
  <c r="C10906" i="1"/>
  <c r="B10907" i="1"/>
  <c r="C10907" i="1"/>
  <c r="B10908" i="1"/>
  <c r="C10908" i="1"/>
  <c r="B10909" i="1"/>
  <c r="C10909" i="1"/>
  <c r="B10910" i="1"/>
  <c r="C10910" i="1"/>
  <c r="B10911" i="1"/>
  <c r="C10911" i="1"/>
  <c r="B10912" i="1"/>
  <c r="C10912" i="1"/>
  <c r="B10913" i="1"/>
  <c r="C10913" i="1"/>
  <c r="B10914" i="1"/>
  <c r="C10914" i="1"/>
  <c r="B10915" i="1"/>
  <c r="C10915" i="1"/>
  <c r="B10916" i="1"/>
  <c r="C10916" i="1"/>
  <c r="B10917" i="1"/>
  <c r="C10917" i="1"/>
  <c r="B10918" i="1"/>
  <c r="C10918" i="1"/>
  <c r="B10919" i="1"/>
  <c r="C10919" i="1"/>
  <c r="B10920" i="1"/>
  <c r="C10920" i="1"/>
  <c r="B10921" i="1"/>
  <c r="C10921" i="1"/>
  <c r="B10922" i="1"/>
  <c r="C10922" i="1"/>
  <c r="B10923" i="1"/>
  <c r="C10923" i="1"/>
  <c r="B10924" i="1"/>
  <c r="C10924" i="1"/>
  <c r="B10925" i="1"/>
  <c r="C10925" i="1"/>
  <c r="B10926" i="1"/>
  <c r="C10926" i="1"/>
  <c r="B10927" i="1"/>
  <c r="C10927" i="1"/>
  <c r="B10928" i="1"/>
  <c r="C10928" i="1"/>
  <c r="B10929" i="1"/>
  <c r="C10929" i="1"/>
  <c r="B10930" i="1"/>
  <c r="C10930" i="1"/>
  <c r="B10931" i="1"/>
  <c r="C10931" i="1"/>
  <c r="B10932" i="1"/>
  <c r="C10932" i="1"/>
  <c r="B10933" i="1"/>
  <c r="C10933" i="1"/>
  <c r="B10934" i="1"/>
  <c r="C10934" i="1"/>
  <c r="B10935" i="1"/>
  <c r="C10935" i="1"/>
  <c r="B10936" i="1"/>
  <c r="C10936" i="1"/>
  <c r="B10937" i="1"/>
  <c r="C10937" i="1"/>
  <c r="B10938" i="1"/>
  <c r="C10938" i="1"/>
  <c r="B10939" i="1"/>
  <c r="C10939" i="1"/>
  <c r="B10940" i="1"/>
  <c r="C10940" i="1"/>
  <c r="B10941" i="1"/>
  <c r="C10941" i="1"/>
  <c r="B10942" i="1"/>
  <c r="C10942" i="1"/>
  <c r="B10943" i="1"/>
  <c r="C10943" i="1"/>
  <c r="B10944" i="1"/>
  <c r="C10944" i="1"/>
  <c r="B10945" i="1"/>
  <c r="C10945" i="1"/>
  <c r="B10946" i="1"/>
  <c r="C10946" i="1"/>
  <c r="B10947" i="1"/>
  <c r="C10947" i="1"/>
  <c r="B10948" i="1"/>
  <c r="C10948" i="1"/>
  <c r="B10949" i="1"/>
  <c r="C10949" i="1"/>
  <c r="B10950" i="1"/>
  <c r="C10950" i="1"/>
  <c r="B10951" i="1"/>
  <c r="C10951" i="1"/>
  <c r="B10952" i="1"/>
  <c r="C10952" i="1"/>
  <c r="B10953" i="1"/>
  <c r="C10953" i="1"/>
  <c r="B10954" i="1"/>
  <c r="C10954" i="1"/>
  <c r="B10955" i="1"/>
  <c r="C10955" i="1"/>
  <c r="B10956" i="1"/>
  <c r="C10956" i="1"/>
  <c r="B10957" i="1"/>
  <c r="C10957" i="1"/>
  <c r="B10958" i="1"/>
  <c r="C10958" i="1"/>
  <c r="B10959" i="1"/>
  <c r="C10959" i="1"/>
  <c r="B10960" i="1"/>
  <c r="C10960" i="1"/>
  <c r="B10961" i="1"/>
  <c r="C10961" i="1"/>
  <c r="B10962" i="1"/>
  <c r="C10962" i="1"/>
  <c r="B10963" i="1"/>
  <c r="C10963" i="1"/>
  <c r="B10964" i="1"/>
  <c r="C10964" i="1"/>
  <c r="B10965" i="1"/>
  <c r="C10965" i="1"/>
  <c r="B10966" i="1"/>
  <c r="C10966" i="1"/>
  <c r="B10967" i="1"/>
  <c r="C10967" i="1"/>
  <c r="B10968" i="1"/>
  <c r="C10968" i="1"/>
  <c r="B10969" i="1"/>
  <c r="C10969" i="1"/>
  <c r="B10970" i="1"/>
  <c r="C10970" i="1"/>
  <c r="B10971" i="1"/>
  <c r="C10971" i="1"/>
  <c r="B10972" i="1"/>
  <c r="C10972" i="1"/>
  <c r="B10973" i="1"/>
  <c r="C10973" i="1"/>
  <c r="B10974" i="1"/>
  <c r="C10974" i="1"/>
  <c r="B10975" i="1"/>
  <c r="C10975" i="1"/>
  <c r="B10976" i="1"/>
  <c r="C10976" i="1"/>
  <c r="B10977" i="1"/>
  <c r="C10977" i="1"/>
  <c r="B10978" i="1"/>
  <c r="C10978" i="1"/>
  <c r="B10979" i="1"/>
  <c r="C10979" i="1"/>
  <c r="B10980" i="1"/>
  <c r="C10980" i="1"/>
  <c r="B10981" i="1"/>
  <c r="C10981" i="1"/>
  <c r="B10982" i="1"/>
  <c r="C10982" i="1"/>
  <c r="B10983" i="1"/>
  <c r="C10983" i="1"/>
  <c r="B10984" i="1"/>
  <c r="C10984" i="1"/>
  <c r="B10985" i="1"/>
  <c r="C10985" i="1"/>
  <c r="B10986" i="1"/>
  <c r="C10986" i="1"/>
  <c r="B10987" i="1"/>
  <c r="C10987" i="1"/>
  <c r="B10988" i="1"/>
  <c r="C10988" i="1"/>
  <c r="B10989" i="1"/>
  <c r="C10989" i="1"/>
  <c r="B10990" i="1"/>
  <c r="C10990" i="1"/>
  <c r="B10991" i="1"/>
  <c r="C10991" i="1"/>
  <c r="B10992" i="1"/>
  <c r="C10992" i="1"/>
  <c r="B10993" i="1"/>
  <c r="C10993" i="1"/>
  <c r="B10994" i="1"/>
  <c r="C10994" i="1"/>
  <c r="B10995" i="1"/>
  <c r="C10995" i="1"/>
  <c r="B10996" i="1"/>
  <c r="C10996" i="1"/>
  <c r="B10997" i="1"/>
  <c r="C10997" i="1"/>
  <c r="B10998" i="1"/>
  <c r="C10998" i="1"/>
  <c r="B10999" i="1"/>
  <c r="C10999" i="1"/>
  <c r="B11000" i="1"/>
  <c r="C11000" i="1"/>
  <c r="B11001" i="1"/>
  <c r="C11001" i="1"/>
  <c r="B11002" i="1"/>
  <c r="C11002" i="1"/>
  <c r="B11003" i="1"/>
  <c r="C11003" i="1"/>
  <c r="B11004" i="1"/>
  <c r="C11004" i="1"/>
  <c r="B11005" i="1"/>
  <c r="C11005" i="1"/>
  <c r="B11006" i="1"/>
  <c r="C11006" i="1"/>
  <c r="B11007" i="1"/>
  <c r="C11007" i="1"/>
  <c r="B11008" i="1"/>
  <c r="C11008" i="1"/>
  <c r="B11009" i="1"/>
  <c r="C11009" i="1"/>
  <c r="B11010" i="1"/>
  <c r="C11010" i="1"/>
  <c r="B11011" i="1"/>
  <c r="C11011" i="1"/>
  <c r="B11012" i="1"/>
  <c r="C11012" i="1"/>
  <c r="B11013" i="1"/>
  <c r="C11013" i="1"/>
  <c r="B11014" i="1"/>
  <c r="C11014" i="1"/>
  <c r="B11015" i="1"/>
  <c r="C11015" i="1"/>
  <c r="B11016" i="1"/>
  <c r="C11016" i="1"/>
  <c r="B11017" i="1"/>
  <c r="C11017" i="1"/>
  <c r="B11018" i="1"/>
  <c r="C11018" i="1"/>
  <c r="B11019" i="1"/>
  <c r="C11019" i="1"/>
  <c r="B11020" i="1"/>
  <c r="C11020" i="1"/>
  <c r="B11021" i="1"/>
  <c r="C11021" i="1"/>
  <c r="B11022" i="1"/>
  <c r="C11022" i="1"/>
  <c r="B11023" i="1"/>
  <c r="C11023" i="1"/>
  <c r="B11024" i="1"/>
  <c r="C11024" i="1"/>
  <c r="B11025" i="1"/>
  <c r="C11025" i="1"/>
  <c r="B11026" i="1"/>
  <c r="C11026" i="1"/>
  <c r="B11027" i="1"/>
  <c r="C11027" i="1"/>
  <c r="B11028" i="1"/>
  <c r="C11028" i="1"/>
  <c r="B11029" i="1"/>
  <c r="C11029" i="1"/>
  <c r="B11030" i="1"/>
  <c r="C11030" i="1"/>
  <c r="B11031" i="1"/>
  <c r="C11031" i="1"/>
  <c r="B11032" i="1"/>
  <c r="C11032" i="1"/>
  <c r="B11033" i="1"/>
  <c r="C11033" i="1"/>
  <c r="B11034" i="1"/>
  <c r="C11034" i="1"/>
  <c r="B11035" i="1"/>
  <c r="C11035" i="1"/>
  <c r="B11036" i="1"/>
  <c r="C11036" i="1"/>
  <c r="B11037" i="1"/>
  <c r="C11037" i="1"/>
  <c r="B11038" i="1"/>
  <c r="C11038" i="1"/>
  <c r="B11039" i="1"/>
  <c r="C11039" i="1"/>
  <c r="B11040" i="1"/>
  <c r="C11040" i="1"/>
  <c r="B11041" i="1"/>
  <c r="C11041" i="1"/>
  <c r="B11042" i="1"/>
  <c r="C11042" i="1"/>
  <c r="B11043" i="1"/>
  <c r="C11043" i="1"/>
  <c r="B11044" i="1"/>
  <c r="C11044" i="1"/>
  <c r="B11045" i="1"/>
  <c r="C11045" i="1"/>
  <c r="B11046" i="1"/>
  <c r="C11046" i="1"/>
  <c r="B11047" i="1"/>
  <c r="C11047" i="1"/>
  <c r="B11048" i="1"/>
  <c r="C11048" i="1"/>
  <c r="B11049" i="1"/>
  <c r="C11049" i="1"/>
  <c r="B11050" i="1"/>
  <c r="C11050" i="1"/>
  <c r="B11051" i="1"/>
  <c r="C11051" i="1"/>
  <c r="B11052" i="1"/>
  <c r="C11052" i="1"/>
  <c r="B11053" i="1"/>
  <c r="C11053" i="1"/>
  <c r="B11054" i="1"/>
  <c r="C11054" i="1"/>
  <c r="B11055" i="1"/>
  <c r="C11055" i="1"/>
  <c r="B11056" i="1"/>
  <c r="C11056" i="1"/>
  <c r="B11057" i="1"/>
  <c r="C11057" i="1"/>
  <c r="B11058" i="1"/>
  <c r="C11058" i="1"/>
  <c r="B11059" i="1"/>
  <c r="C11059" i="1"/>
  <c r="B11060" i="1"/>
  <c r="C11060" i="1"/>
  <c r="B11061" i="1"/>
  <c r="C11061" i="1"/>
  <c r="B11062" i="1"/>
  <c r="C11062" i="1"/>
  <c r="B11063" i="1"/>
  <c r="C11063" i="1"/>
  <c r="B11064" i="1"/>
  <c r="C11064" i="1"/>
  <c r="B11065" i="1"/>
  <c r="C11065" i="1"/>
  <c r="B11066" i="1"/>
  <c r="C11066" i="1"/>
  <c r="B11067" i="1"/>
  <c r="C11067" i="1"/>
  <c r="B11068" i="1"/>
  <c r="C11068" i="1"/>
  <c r="B11069" i="1"/>
  <c r="C11069" i="1"/>
  <c r="B11070" i="1"/>
  <c r="C11070" i="1"/>
  <c r="B11071" i="1"/>
  <c r="C11071" i="1"/>
  <c r="B11072" i="1"/>
  <c r="C11072" i="1"/>
  <c r="B11073" i="1"/>
  <c r="C11073" i="1"/>
  <c r="B11074" i="1"/>
  <c r="C11074" i="1"/>
  <c r="B11075" i="1"/>
  <c r="C11075" i="1"/>
  <c r="B11076" i="1"/>
  <c r="C11076" i="1"/>
  <c r="B11077" i="1"/>
  <c r="C11077" i="1"/>
  <c r="B11078" i="1"/>
  <c r="C11078" i="1"/>
  <c r="B11079" i="1"/>
  <c r="C11079" i="1"/>
  <c r="B11080" i="1"/>
  <c r="C11080" i="1"/>
  <c r="B11081" i="1"/>
  <c r="C11081" i="1"/>
  <c r="B11082" i="1"/>
  <c r="C11082" i="1"/>
  <c r="B11083" i="1"/>
  <c r="C11083" i="1"/>
  <c r="B11084" i="1"/>
  <c r="C11084" i="1"/>
  <c r="B11085" i="1"/>
  <c r="C11085" i="1"/>
  <c r="B11086" i="1"/>
  <c r="C11086" i="1"/>
  <c r="B11087" i="1"/>
  <c r="C11087" i="1"/>
  <c r="B11088" i="1"/>
  <c r="C11088" i="1"/>
  <c r="B11089" i="1"/>
  <c r="C11089" i="1"/>
  <c r="B11090" i="1"/>
  <c r="C11090" i="1"/>
  <c r="B11091" i="1"/>
  <c r="C11091" i="1"/>
  <c r="B11092" i="1"/>
  <c r="C11092" i="1"/>
  <c r="B11093" i="1"/>
  <c r="C11093" i="1"/>
  <c r="B11094" i="1"/>
  <c r="C11094" i="1"/>
  <c r="B11095" i="1"/>
  <c r="C11095" i="1"/>
  <c r="B11096" i="1"/>
  <c r="C11096" i="1"/>
  <c r="B11097" i="1"/>
  <c r="C11097" i="1"/>
  <c r="B11098" i="1"/>
  <c r="C11098" i="1"/>
  <c r="B11099" i="1"/>
  <c r="C11099" i="1"/>
  <c r="B11100" i="1"/>
  <c r="C11100" i="1"/>
  <c r="B11101" i="1"/>
  <c r="C11101" i="1"/>
  <c r="B11102" i="1"/>
  <c r="C11102" i="1"/>
  <c r="B11103" i="1"/>
  <c r="C11103" i="1"/>
  <c r="B11104" i="1"/>
  <c r="C11104" i="1"/>
  <c r="B11105" i="1"/>
  <c r="C11105" i="1"/>
  <c r="B11106" i="1"/>
  <c r="C11106" i="1"/>
  <c r="B11107" i="1"/>
  <c r="C11107" i="1"/>
  <c r="B11108" i="1"/>
  <c r="C11108" i="1"/>
  <c r="B11109" i="1"/>
  <c r="C11109" i="1"/>
  <c r="B11110" i="1"/>
  <c r="C11110" i="1"/>
  <c r="B11111" i="1"/>
  <c r="C11111" i="1"/>
  <c r="B11112" i="1"/>
  <c r="C11112" i="1"/>
  <c r="B11113" i="1"/>
  <c r="C11113" i="1"/>
  <c r="B11114" i="1"/>
  <c r="C11114" i="1"/>
  <c r="B11115" i="1"/>
  <c r="C11115" i="1"/>
  <c r="B11116" i="1"/>
  <c r="C11116" i="1"/>
  <c r="B11117" i="1"/>
  <c r="C11117" i="1"/>
  <c r="B11118" i="1"/>
  <c r="C11118" i="1"/>
  <c r="B11119" i="1"/>
  <c r="C11119" i="1"/>
  <c r="B11120" i="1"/>
  <c r="C11120" i="1"/>
  <c r="B11121" i="1"/>
  <c r="C11121" i="1"/>
  <c r="B11122" i="1"/>
  <c r="C11122" i="1"/>
  <c r="B11123" i="1"/>
  <c r="C11123" i="1"/>
  <c r="B11124" i="1"/>
  <c r="C11124" i="1"/>
  <c r="B11125" i="1"/>
  <c r="C11125" i="1"/>
  <c r="B11126" i="1"/>
  <c r="C11126" i="1"/>
  <c r="B11127" i="1"/>
  <c r="C11127" i="1"/>
  <c r="B11128" i="1"/>
  <c r="C11128" i="1"/>
  <c r="B11129" i="1"/>
  <c r="C11129" i="1"/>
  <c r="B11130" i="1"/>
  <c r="C11130" i="1"/>
  <c r="B11131" i="1"/>
  <c r="C11131" i="1"/>
  <c r="B11132" i="1"/>
  <c r="C11132" i="1"/>
  <c r="B11133" i="1"/>
  <c r="C11133" i="1"/>
  <c r="B11134" i="1"/>
  <c r="C11134" i="1"/>
  <c r="B11135" i="1"/>
  <c r="C11135" i="1"/>
  <c r="B11136" i="1"/>
  <c r="C11136" i="1"/>
  <c r="B11137" i="1"/>
  <c r="C11137" i="1"/>
  <c r="B11138" i="1"/>
  <c r="C11138" i="1"/>
  <c r="B11139" i="1"/>
  <c r="C11139" i="1"/>
  <c r="B11140" i="1"/>
  <c r="C11140" i="1"/>
  <c r="B11141" i="1"/>
  <c r="C11141" i="1"/>
  <c r="B11142" i="1"/>
  <c r="C11142" i="1"/>
  <c r="B11143" i="1"/>
  <c r="C11143" i="1"/>
  <c r="B11144" i="1"/>
  <c r="C11144" i="1"/>
  <c r="B11145" i="1"/>
  <c r="C11145" i="1"/>
  <c r="B11146" i="1"/>
  <c r="C11146" i="1"/>
  <c r="B11147" i="1"/>
  <c r="C11147" i="1"/>
  <c r="B11148" i="1"/>
  <c r="C11148" i="1"/>
  <c r="B11149" i="1"/>
  <c r="C11149" i="1"/>
  <c r="B11150" i="1"/>
  <c r="C11150" i="1"/>
  <c r="B11151" i="1"/>
  <c r="C11151" i="1"/>
  <c r="B11152" i="1"/>
  <c r="C11152" i="1"/>
  <c r="B11153" i="1"/>
  <c r="C11153" i="1"/>
  <c r="B11154" i="1"/>
  <c r="C11154" i="1"/>
  <c r="B11155" i="1"/>
  <c r="C11155" i="1"/>
  <c r="B11156" i="1"/>
  <c r="C11156" i="1"/>
  <c r="B11157" i="1"/>
  <c r="C11157" i="1"/>
  <c r="B11158" i="1"/>
  <c r="C11158" i="1"/>
  <c r="B11159" i="1"/>
  <c r="C11159" i="1"/>
  <c r="B11160" i="1"/>
  <c r="C11160" i="1"/>
  <c r="B11161" i="1"/>
  <c r="C11161" i="1"/>
  <c r="B11162" i="1"/>
  <c r="C11162" i="1"/>
  <c r="B11163" i="1"/>
  <c r="C11163" i="1"/>
  <c r="B11164" i="1"/>
  <c r="C11164" i="1"/>
  <c r="B11165" i="1"/>
  <c r="C11165" i="1"/>
  <c r="B11166" i="1"/>
  <c r="C11166" i="1"/>
  <c r="B11167" i="1"/>
  <c r="C11167" i="1"/>
  <c r="B11168" i="1"/>
  <c r="C11168" i="1"/>
  <c r="B11169" i="1"/>
  <c r="C11169" i="1"/>
  <c r="B11170" i="1"/>
  <c r="C11170" i="1"/>
  <c r="B11171" i="1"/>
  <c r="C11171" i="1"/>
  <c r="B11172" i="1"/>
  <c r="C11172" i="1"/>
  <c r="B11173" i="1"/>
  <c r="C11173" i="1"/>
  <c r="B11174" i="1"/>
  <c r="C11174" i="1"/>
  <c r="B11175" i="1"/>
  <c r="C11175" i="1"/>
  <c r="B11176" i="1"/>
  <c r="C11176" i="1"/>
  <c r="B11177" i="1"/>
  <c r="C11177" i="1"/>
  <c r="B11178" i="1"/>
  <c r="C11178" i="1"/>
  <c r="B11179" i="1"/>
  <c r="C11179" i="1"/>
  <c r="B11180" i="1"/>
  <c r="C11180" i="1"/>
  <c r="B11181" i="1"/>
  <c r="C11181" i="1"/>
  <c r="B11182" i="1"/>
  <c r="C11182" i="1"/>
  <c r="B11183" i="1"/>
  <c r="C11183" i="1"/>
  <c r="B11184" i="1"/>
  <c r="C11184" i="1"/>
  <c r="B11185" i="1"/>
  <c r="C11185" i="1"/>
  <c r="B11186" i="1"/>
  <c r="C11186" i="1"/>
  <c r="B11187" i="1"/>
  <c r="C11187" i="1"/>
  <c r="B11188" i="1"/>
  <c r="C11188" i="1"/>
  <c r="B11189" i="1"/>
  <c r="C11189" i="1"/>
  <c r="B11190" i="1"/>
  <c r="C11190" i="1"/>
  <c r="B11191" i="1"/>
  <c r="C11191" i="1"/>
  <c r="B11192" i="1"/>
  <c r="C11192" i="1"/>
  <c r="B11193" i="1"/>
  <c r="C11193" i="1"/>
  <c r="B11194" i="1"/>
  <c r="C11194" i="1"/>
  <c r="B11195" i="1"/>
  <c r="C11195" i="1"/>
  <c r="B11196" i="1"/>
  <c r="C11196" i="1"/>
  <c r="B11197" i="1"/>
  <c r="C11197" i="1"/>
  <c r="B11198" i="1"/>
  <c r="C11198" i="1"/>
  <c r="B11199" i="1"/>
  <c r="C11199" i="1"/>
  <c r="B11200" i="1"/>
  <c r="C11200" i="1"/>
  <c r="B11201" i="1"/>
  <c r="C11201" i="1"/>
  <c r="B11202" i="1"/>
  <c r="C11202" i="1"/>
  <c r="B11203" i="1"/>
  <c r="C11203" i="1"/>
  <c r="B11204" i="1"/>
  <c r="C11204" i="1"/>
  <c r="B11205" i="1"/>
  <c r="C11205" i="1"/>
  <c r="B11206" i="1"/>
  <c r="C11206" i="1"/>
  <c r="B11207" i="1"/>
  <c r="C11207" i="1"/>
  <c r="B11208" i="1"/>
  <c r="C11208" i="1"/>
  <c r="B11209" i="1"/>
  <c r="C11209" i="1"/>
  <c r="B11210" i="1"/>
  <c r="C11210" i="1"/>
  <c r="B11211" i="1"/>
  <c r="C11211" i="1"/>
  <c r="B11212" i="1"/>
  <c r="C11212" i="1"/>
  <c r="B11213" i="1"/>
  <c r="C11213" i="1"/>
  <c r="B11214" i="1"/>
  <c r="C11214" i="1"/>
  <c r="B11215" i="1"/>
  <c r="C11215" i="1"/>
  <c r="B11216" i="1"/>
  <c r="C11216" i="1"/>
  <c r="B11217" i="1"/>
  <c r="C11217" i="1"/>
  <c r="B11218" i="1"/>
  <c r="C11218" i="1"/>
  <c r="B11219" i="1"/>
  <c r="C11219" i="1"/>
  <c r="B11220" i="1"/>
  <c r="C11220" i="1"/>
  <c r="B11221" i="1"/>
  <c r="C11221" i="1"/>
  <c r="B11222" i="1"/>
  <c r="C11222" i="1"/>
  <c r="B11223" i="1"/>
  <c r="C11223" i="1"/>
  <c r="B11224" i="1"/>
  <c r="C11224" i="1"/>
  <c r="B11225" i="1"/>
  <c r="C11225" i="1"/>
  <c r="B11226" i="1"/>
  <c r="C11226" i="1"/>
  <c r="B11227" i="1"/>
  <c r="C11227" i="1"/>
  <c r="B11228" i="1"/>
  <c r="C11228" i="1"/>
  <c r="B11229" i="1"/>
  <c r="C11229" i="1"/>
  <c r="B11230" i="1"/>
  <c r="C11230" i="1"/>
  <c r="B11231" i="1"/>
  <c r="C11231" i="1"/>
  <c r="B11232" i="1"/>
  <c r="C11232" i="1"/>
  <c r="B11233" i="1"/>
  <c r="C11233" i="1"/>
  <c r="B11234" i="1"/>
  <c r="C11234" i="1"/>
  <c r="B11235" i="1"/>
  <c r="C11235" i="1"/>
  <c r="B11236" i="1"/>
  <c r="C11236" i="1"/>
  <c r="B11237" i="1"/>
  <c r="C11237" i="1"/>
  <c r="B11238" i="1"/>
  <c r="C11238" i="1"/>
  <c r="B11239" i="1"/>
  <c r="C11239" i="1"/>
  <c r="B11240" i="1"/>
  <c r="C11240" i="1"/>
  <c r="B11241" i="1"/>
  <c r="C11241" i="1"/>
  <c r="B11242" i="1"/>
  <c r="C11242" i="1"/>
  <c r="B11243" i="1"/>
  <c r="C11243" i="1"/>
  <c r="B11244" i="1"/>
  <c r="C11244" i="1"/>
  <c r="B11245" i="1"/>
  <c r="C11245" i="1"/>
  <c r="B11246" i="1"/>
  <c r="C11246" i="1"/>
  <c r="B11247" i="1"/>
  <c r="C11247" i="1"/>
  <c r="B11248" i="1"/>
  <c r="C11248" i="1"/>
  <c r="B11249" i="1"/>
  <c r="C11249" i="1"/>
  <c r="B11250" i="1"/>
  <c r="C11250" i="1"/>
  <c r="B11251" i="1"/>
  <c r="C11251" i="1"/>
  <c r="B11252" i="1"/>
  <c r="C11252" i="1"/>
  <c r="B11253" i="1"/>
  <c r="C11253" i="1"/>
  <c r="B11254" i="1"/>
  <c r="C11254" i="1"/>
  <c r="B11255" i="1"/>
  <c r="C11255" i="1"/>
  <c r="B11256" i="1"/>
  <c r="C11256" i="1"/>
  <c r="B11257" i="1"/>
  <c r="C11257" i="1"/>
  <c r="B11258" i="1"/>
  <c r="C11258" i="1"/>
  <c r="B11259" i="1"/>
  <c r="C11259" i="1"/>
  <c r="B11260" i="1"/>
  <c r="C11260" i="1"/>
  <c r="B11261" i="1"/>
  <c r="C11261" i="1"/>
  <c r="B11262" i="1"/>
  <c r="C11262" i="1"/>
  <c r="B11263" i="1"/>
  <c r="C11263" i="1"/>
  <c r="B11264" i="1"/>
  <c r="C11264" i="1"/>
  <c r="B11265" i="1"/>
  <c r="C11265" i="1"/>
  <c r="B11266" i="1"/>
  <c r="C11266" i="1"/>
  <c r="B11267" i="1"/>
  <c r="C11267" i="1"/>
  <c r="B11268" i="1"/>
  <c r="C11268" i="1"/>
  <c r="B11269" i="1"/>
  <c r="C11269" i="1"/>
  <c r="B11270" i="1"/>
  <c r="C11270" i="1"/>
  <c r="B11271" i="1"/>
  <c r="C11271" i="1"/>
  <c r="B11272" i="1"/>
  <c r="C11272" i="1"/>
  <c r="B11273" i="1"/>
  <c r="C11273" i="1"/>
  <c r="B11274" i="1"/>
  <c r="C11274" i="1"/>
  <c r="B11275" i="1"/>
  <c r="C11275" i="1"/>
  <c r="B11276" i="1"/>
  <c r="C11276" i="1"/>
  <c r="B11277" i="1"/>
  <c r="C11277" i="1"/>
  <c r="B11278" i="1"/>
  <c r="C11278" i="1"/>
  <c r="B11279" i="1"/>
  <c r="C11279" i="1"/>
  <c r="B11280" i="1"/>
  <c r="C11280" i="1"/>
  <c r="B11281" i="1"/>
  <c r="C11281" i="1"/>
  <c r="B11282" i="1"/>
  <c r="C11282" i="1"/>
  <c r="B11283" i="1"/>
  <c r="C11283" i="1"/>
  <c r="B11284" i="1"/>
  <c r="C11284" i="1"/>
  <c r="B11285" i="1"/>
  <c r="C11285" i="1"/>
  <c r="B11286" i="1"/>
  <c r="C11286" i="1"/>
  <c r="B11287" i="1"/>
  <c r="C11287" i="1"/>
  <c r="B11288" i="1"/>
  <c r="C11288" i="1"/>
  <c r="B11289" i="1"/>
  <c r="C11289" i="1"/>
  <c r="B11290" i="1"/>
  <c r="C11290" i="1"/>
  <c r="B11291" i="1"/>
  <c r="C11291" i="1"/>
  <c r="B11292" i="1"/>
  <c r="C11292" i="1"/>
  <c r="B11293" i="1"/>
  <c r="C11293" i="1"/>
  <c r="B11294" i="1"/>
  <c r="C11294" i="1"/>
  <c r="B11295" i="1"/>
  <c r="C11295" i="1"/>
  <c r="B11296" i="1"/>
  <c r="C11296" i="1"/>
  <c r="B11297" i="1"/>
  <c r="C11297" i="1"/>
  <c r="B11298" i="1"/>
  <c r="C11298" i="1"/>
  <c r="B11299" i="1"/>
  <c r="C11299" i="1"/>
  <c r="B11300" i="1"/>
  <c r="C11300" i="1"/>
  <c r="B11301" i="1"/>
  <c r="C11301" i="1"/>
  <c r="B11302" i="1"/>
  <c r="C11302" i="1"/>
  <c r="B11303" i="1"/>
  <c r="C11303" i="1"/>
  <c r="B11304" i="1"/>
  <c r="C11304" i="1"/>
  <c r="B11305" i="1"/>
  <c r="C11305" i="1"/>
  <c r="B11306" i="1"/>
  <c r="C11306" i="1"/>
  <c r="B11307" i="1"/>
  <c r="C11307" i="1"/>
  <c r="B11308" i="1"/>
  <c r="C11308" i="1"/>
  <c r="B11309" i="1"/>
  <c r="C11309" i="1"/>
  <c r="B11310" i="1"/>
  <c r="C11310" i="1"/>
  <c r="B11311" i="1"/>
  <c r="C11311" i="1"/>
  <c r="B11312" i="1"/>
  <c r="C11312" i="1"/>
  <c r="B11313" i="1"/>
  <c r="C11313" i="1"/>
  <c r="B11314" i="1"/>
  <c r="C11314" i="1"/>
  <c r="B11315" i="1"/>
  <c r="C11315" i="1"/>
  <c r="B11316" i="1"/>
  <c r="C11316" i="1"/>
  <c r="B11317" i="1"/>
  <c r="C11317" i="1"/>
  <c r="B11318" i="1"/>
  <c r="C11318" i="1"/>
  <c r="B11319" i="1"/>
  <c r="C11319" i="1"/>
  <c r="B11320" i="1"/>
  <c r="C11320" i="1"/>
  <c r="B11321" i="1"/>
  <c r="C11321" i="1"/>
  <c r="B11322" i="1"/>
  <c r="C11322" i="1"/>
  <c r="B11323" i="1"/>
  <c r="C11323" i="1"/>
  <c r="B11324" i="1"/>
  <c r="C11324" i="1"/>
  <c r="B11325" i="1"/>
  <c r="C11325" i="1"/>
  <c r="B11326" i="1"/>
  <c r="C11326" i="1"/>
  <c r="B11327" i="1"/>
  <c r="C11327" i="1"/>
  <c r="B11328" i="1"/>
  <c r="C11328" i="1"/>
  <c r="B11329" i="1"/>
  <c r="C11329" i="1"/>
  <c r="B11330" i="1"/>
  <c r="C11330" i="1"/>
  <c r="B11331" i="1"/>
  <c r="C11331" i="1"/>
  <c r="B11332" i="1"/>
  <c r="C11332" i="1"/>
  <c r="B11333" i="1"/>
  <c r="C11333" i="1"/>
  <c r="B11334" i="1"/>
  <c r="C11334" i="1"/>
  <c r="B11335" i="1"/>
  <c r="C11335" i="1"/>
  <c r="B11336" i="1"/>
  <c r="C11336" i="1"/>
  <c r="B11337" i="1"/>
  <c r="C11337" i="1"/>
  <c r="B11338" i="1"/>
  <c r="C11338" i="1"/>
  <c r="B11339" i="1"/>
  <c r="C11339" i="1"/>
  <c r="B11340" i="1"/>
  <c r="C11340" i="1"/>
  <c r="B11341" i="1"/>
  <c r="C11341" i="1"/>
  <c r="B11342" i="1"/>
  <c r="C11342" i="1"/>
  <c r="B11343" i="1"/>
  <c r="C11343" i="1"/>
  <c r="B11344" i="1"/>
  <c r="C11344" i="1"/>
  <c r="B11345" i="1"/>
  <c r="C11345" i="1"/>
  <c r="B11346" i="1"/>
  <c r="C11346" i="1"/>
  <c r="B11347" i="1"/>
  <c r="C11347" i="1"/>
  <c r="B11348" i="1"/>
  <c r="C11348" i="1"/>
  <c r="B11349" i="1"/>
  <c r="C11349" i="1"/>
  <c r="B11350" i="1"/>
  <c r="C11350" i="1"/>
  <c r="B11351" i="1"/>
  <c r="C11351" i="1"/>
  <c r="B11352" i="1"/>
  <c r="C11352" i="1"/>
  <c r="B11353" i="1"/>
  <c r="C11353" i="1"/>
  <c r="B11354" i="1"/>
  <c r="C11354" i="1"/>
  <c r="B11355" i="1"/>
  <c r="C11355" i="1"/>
  <c r="B11356" i="1"/>
  <c r="C11356" i="1"/>
  <c r="B11357" i="1"/>
  <c r="C11357" i="1"/>
  <c r="B11358" i="1"/>
  <c r="C11358" i="1"/>
  <c r="B11359" i="1"/>
  <c r="C11359" i="1"/>
  <c r="B11360" i="1"/>
  <c r="C11360" i="1"/>
  <c r="B11361" i="1"/>
  <c r="C11361" i="1"/>
  <c r="B11362" i="1"/>
  <c r="C11362" i="1"/>
  <c r="B11363" i="1"/>
  <c r="C11363" i="1"/>
  <c r="B11364" i="1"/>
  <c r="C11364" i="1"/>
  <c r="B11365" i="1"/>
  <c r="C11365" i="1"/>
  <c r="B11366" i="1"/>
  <c r="C11366" i="1"/>
  <c r="B11367" i="1"/>
  <c r="C11367" i="1"/>
  <c r="B11368" i="1"/>
  <c r="C11368" i="1"/>
  <c r="B11369" i="1"/>
  <c r="C11369" i="1"/>
  <c r="B11370" i="1"/>
  <c r="C11370" i="1"/>
  <c r="B11371" i="1"/>
  <c r="C11371" i="1"/>
  <c r="B11372" i="1"/>
  <c r="C11372" i="1"/>
  <c r="B11373" i="1"/>
  <c r="C11373" i="1"/>
  <c r="B11374" i="1"/>
  <c r="C11374" i="1"/>
  <c r="B11375" i="1"/>
  <c r="C11375" i="1"/>
  <c r="B11376" i="1"/>
  <c r="C11376" i="1"/>
  <c r="B11377" i="1"/>
  <c r="C11377" i="1"/>
  <c r="B11378" i="1"/>
  <c r="C11378" i="1"/>
  <c r="B11379" i="1"/>
  <c r="C11379" i="1"/>
  <c r="B11380" i="1"/>
  <c r="C11380" i="1"/>
  <c r="B11381" i="1"/>
  <c r="C11381" i="1"/>
  <c r="B11382" i="1"/>
  <c r="C11382" i="1"/>
  <c r="B11383" i="1"/>
  <c r="C11383" i="1"/>
  <c r="B11384" i="1"/>
  <c r="C11384" i="1"/>
  <c r="B11385" i="1"/>
  <c r="C11385" i="1"/>
  <c r="B11386" i="1"/>
  <c r="C11386" i="1"/>
  <c r="B11387" i="1"/>
  <c r="C11387" i="1"/>
  <c r="B11388" i="1"/>
  <c r="C11388" i="1"/>
  <c r="B11389" i="1"/>
  <c r="C11389" i="1"/>
  <c r="B11390" i="1"/>
  <c r="C11390" i="1"/>
  <c r="B11391" i="1"/>
  <c r="C11391" i="1"/>
  <c r="B11392" i="1"/>
  <c r="C11392" i="1"/>
  <c r="B11393" i="1"/>
  <c r="C11393" i="1"/>
  <c r="B11394" i="1"/>
  <c r="C11394" i="1"/>
  <c r="B11395" i="1"/>
  <c r="C11395" i="1"/>
  <c r="B11396" i="1"/>
  <c r="C11396" i="1"/>
  <c r="B11397" i="1"/>
  <c r="C11397" i="1"/>
  <c r="B11398" i="1"/>
  <c r="C11398" i="1"/>
  <c r="B11399" i="1"/>
  <c r="C11399" i="1"/>
  <c r="B11400" i="1"/>
  <c r="C11400" i="1"/>
  <c r="B11401" i="1"/>
  <c r="C11401" i="1"/>
  <c r="B11402" i="1"/>
  <c r="C11402" i="1"/>
  <c r="B11403" i="1"/>
  <c r="C11403" i="1"/>
  <c r="B11404" i="1"/>
  <c r="C11404" i="1"/>
  <c r="B11405" i="1"/>
  <c r="C11405" i="1"/>
  <c r="B11406" i="1"/>
  <c r="C11406" i="1"/>
  <c r="B11407" i="1"/>
  <c r="C11407" i="1"/>
  <c r="B11408" i="1"/>
  <c r="C11408" i="1"/>
  <c r="B11409" i="1"/>
  <c r="C11409" i="1"/>
  <c r="B11410" i="1"/>
  <c r="C11410" i="1"/>
  <c r="B11411" i="1"/>
  <c r="C11411" i="1"/>
  <c r="B11412" i="1"/>
  <c r="C11412" i="1"/>
  <c r="B11413" i="1"/>
  <c r="C11413" i="1"/>
  <c r="B11414" i="1"/>
  <c r="C11414" i="1"/>
  <c r="B11415" i="1"/>
  <c r="C11415" i="1"/>
  <c r="B11416" i="1"/>
  <c r="C11416" i="1"/>
  <c r="B11417" i="1"/>
  <c r="C11417" i="1"/>
  <c r="B11418" i="1"/>
  <c r="C11418" i="1"/>
  <c r="B11419" i="1"/>
  <c r="C11419" i="1"/>
  <c r="B11420" i="1"/>
  <c r="C11420" i="1"/>
  <c r="B11421" i="1"/>
  <c r="C11421" i="1"/>
  <c r="B11422" i="1"/>
  <c r="C11422" i="1"/>
  <c r="B11423" i="1"/>
  <c r="C11423" i="1"/>
  <c r="B11424" i="1"/>
  <c r="C11424" i="1"/>
  <c r="B11425" i="1"/>
  <c r="C11425" i="1"/>
  <c r="B11426" i="1"/>
  <c r="C11426" i="1"/>
  <c r="B11427" i="1"/>
  <c r="C11427" i="1"/>
  <c r="B11428" i="1"/>
  <c r="C11428" i="1"/>
  <c r="B11429" i="1"/>
  <c r="C11429" i="1"/>
  <c r="B11430" i="1"/>
  <c r="C11430" i="1"/>
  <c r="B11431" i="1"/>
  <c r="C11431" i="1"/>
  <c r="B11432" i="1"/>
  <c r="C11432" i="1"/>
  <c r="B11433" i="1"/>
  <c r="C11433" i="1"/>
  <c r="B11434" i="1"/>
  <c r="C11434" i="1"/>
  <c r="B11435" i="1"/>
  <c r="C11435" i="1"/>
  <c r="B11436" i="1"/>
  <c r="C11436" i="1"/>
  <c r="B11437" i="1"/>
  <c r="C11437" i="1"/>
  <c r="B11438" i="1"/>
  <c r="C11438" i="1"/>
  <c r="B11439" i="1"/>
  <c r="C11439" i="1"/>
  <c r="B11440" i="1"/>
  <c r="C11440" i="1"/>
  <c r="B11441" i="1"/>
  <c r="C11441" i="1"/>
  <c r="B11442" i="1"/>
  <c r="C11442" i="1"/>
  <c r="B11443" i="1"/>
  <c r="C11443" i="1"/>
  <c r="B11444" i="1"/>
  <c r="C11444" i="1"/>
  <c r="B11445" i="1"/>
  <c r="C11445" i="1"/>
  <c r="B11446" i="1"/>
  <c r="C11446" i="1"/>
  <c r="B11447" i="1"/>
  <c r="C11447" i="1"/>
  <c r="B11448" i="1"/>
  <c r="C11448" i="1"/>
  <c r="B11449" i="1"/>
  <c r="C11449" i="1"/>
  <c r="B11450" i="1"/>
  <c r="C11450" i="1"/>
  <c r="B11451" i="1"/>
  <c r="C11451" i="1"/>
  <c r="B11452" i="1"/>
  <c r="C11452" i="1"/>
  <c r="B11453" i="1"/>
  <c r="C11453" i="1"/>
  <c r="B11454" i="1"/>
  <c r="C11454" i="1"/>
  <c r="B11455" i="1"/>
  <c r="C11455" i="1"/>
  <c r="B11456" i="1"/>
  <c r="C11456" i="1"/>
  <c r="B11457" i="1"/>
  <c r="C11457" i="1"/>
  <c r="B11458" i="1"/>
  <c r="C11458" i="1"/>
  <c r="B11459" i="1"/>
  <c r="C11459" i="1"/>
  <c r="B11460" i="1"/>
  <c r="C11460" i="1"/>
  <c r="B11461" i="1"/>
  <c r="C11461" i="1"/>
  <c r="B11462" i="1"/>
  <c r="C11462" i="1"/>
  <c r="B11463" i="1"/>
  <c r="C11463" i="1"/>
  <c r="B11464" i="1"/>
  <c r="C11464" i="1"/>
  <c r="B11465" i="1"/>
  <c r="C11465" i="1"/>
  <c r="B11466" i="1"/>
  <c r="C11466" i="1"/>
  <c r="B11467" i="1"/>
  <c r="C11467" i="1"/>
  <c r="B11468" i="1"/>
  <c r="C11468" i="1"/>
  <c r="B11469" i="1"/>
  <c r="C11469" i="1"/>
  <c r="B11470" i="1"/>
  <c r="C11470" i="1"/>
  <c r="B11471" i="1"/>
  <c r="C11471" i="1"/>
  <c r="B11472" i="1"/>
  <c r="C11472" i="1"/>
  <c r="B11473" i="1"/>
  <c r="C11473" i="1"/>
  <c r="B11474" i="1"/>
  <c r="C11474" i="1"/>
  <c r="B11475" i="1"/>
  <c r="C11475" i="1"/>
  <c r="B11476" i="1"/>
  <c r="C11476" i="1"/>
  <c r="B11477" i="1"/>
  <c r="C11477" i="1"/>
  <c r="B11478" i="1"/>
  <c r="C11478" i="1"/>
  <c r="B11479" i="1"/>
  <c r="C11479" i="1"/>
  <c r="B11480" i="1"/>
  <c r="C11480" i="1"/>
  <c r="B11481" i="1"/>
  <c r="C11481" i="1"/>
  <c r="B11482" i="1"/>
  <c r="C11482" i="1"/>
  <c r="B11483" i="1"/>
  <c r="C11483" i="1"/>
  <c r="B11484" i="1"/>
  <c r="C11484" i="1"/>
  <c r="B11485" i="1"/>
  <c r="C11485" i="1"/>
  <c r="B11486" i="1"/>
  <c r="C11486" i="1"/>
  <c r="B11487" i="1"/>
  <c r="C11487" i="1"/>
  <c r="B11488" i="1"/>
  <c r="C11488" i="1"/>
  <c r="B11489" i="1"/>
  <c r="C11489" i="1"/>
  <c r="B11490" i="1"/>
  <c r="C11490" i="1"/>
  <c r="B11491" i="1"/>
  <c r="C11491" i="1"/>
  <c r="B11492" i="1"/>
  <c r="C11492" i="1"/>
  <c r="B11493" i="1"/>
  <c r="C11493" i="1"/>
  <c r="B11494" i="1"/>
  <c r="C11494" i="1"/>
  <c r="B11495" i="1"/>
  <c r="C11495" i="1"/>
  <c r="B11496" i="1"/>
  <c r="C11496" i="1"/>
  <c r="B11497" i="1"/>
  <c r="C11497" i="1"/>
  <c r="B11498" i="1"/>
  <c r="C11498" i="1"/>
  <c r="B11499" i="1"/>
  <c r="C11499" i="1"/>
  <c r="B11500" i="1"/>
  <c r="C11500" i="1"/>
  <c r="B11501" i="1"/>
  <c r="C11501" i="1"/>
  <c r="B11502" i="1"/>
  <c r="C11502" i="1"/>
  <c r="B11503" i="1"/>
  <c r="C11503" i="1"/>
  <c r="B11504" i="1"/>
  <c r="C11504" i="1"/>
  <c r="B11505" i="1"/>
  <c r="C11505" i="1"/>
  <c r="B11506" i="1"/>
  <c r="C11506" i="1"/>
  <c r="B11507" i="1"/>
  <c r="C11507" i="1"/>
  <c r="B11508" i="1"/>
  <c r="C11508" i="1"/>
  <c r="B11509" i="1"/>
  <c r="C11509" i="1"/>
  <c r="B11510" i="1"/>
  <c r="C11510" i="1"/>
  <c r="B11511" i="1"/>
  <c r="C11511" i="1"/>
  <c r="B11512" i="1"/>
  <c r="C11512" i="1"/>
  <c r="B11513" i="1"/>
  <c r="C11513" i="1"/>
  <c r="B11514" i="1"/>
  <c r="C11514" i="1"/>
  <c r="B11515" i="1"/>
  <c r="C11515" i="1"/>
  <c r="B11516" i="1"/>
  <c r="C11516" i="1"/>
  <c r="B11517" i="1"/>
  <c r="C11517" i="1"/>
  <c r="B11518" i="1"/>
  <c r="C11518" i="1"/>
  <c r="B11519" i="1"/>
  <c r="C11519" i="1"/>
  <c r="B11520" i="1"/>
  <c r="C11520" i="1"/>
  <c r="B11521" i="1"/>
  <c r="C11521" i="1"/>
  <c r="B11522" i="1"/>
  <c r="C11522" i="1"/>
  <c r="B11523" i="1"/>
  <c r="C11523" i="1"/>
  <c r="B11524" i="1"/>
  <c r="C11524" i="1"/>
  <c r="B11525" i="1"/>
  <c r="C11525" i="1"/>
  <c r="B11526" i="1"/>
  <c r="C11526" i="1"/>
  <c r="B11527" i="1"/>
  <c r="C11527" i="1"/>
  <c r="B11528" i="1"/>
  <c r="C11528" i="1"/>
  <c r="B11529" i="1"/>
  <c r="C11529" i="1"/>
  <c r="B11530" i="1"/>
  <c r="C11530" i="1"/>
  <c r="B11531" i="1"/>
  <c r="C11531" i="1"/>
  <c r="B11532" i="1"/>
  <c r="C11532" i="1"/>
  <c r="B11533" i="1"/>
  <c r="C11533" i="1"/>
  <c r="B11534" i="1"/>
  <c r="C11534" i="1"/>
  <c r="B11535" i="1"/>
  <c r="C11535" i="1"/>
  <c r="B11536" i="1"/>
  <c r="C11536" i="1"/>
  <c r="B11537" i="1"/>
  <c r="C11537" i="1"/>
  <c r="B11538" i="1"/>
  <c r="C11538" i="1"/>
  <c r="B11539" i="1"/>
  <c r="C11539" i="1"/>
  <c r="B11540" i="1"/>
  <c r="C11540" i="1"/>
  <c r="B11541" i="1"/>
  <c r="C11541" i="1"/>
  <c r="B11542" i="1"/>
  <c r="C11542" i="1"/>
  <c r="B11543" i="1"/>
  <c r="C11543" i="1"/>
  <c r="B11544" i="1"/>
  <c r="C11544" i="1"/>
  <c r="B11545" i="1"/>
  <c r="C11545" i="1"/>
  <c r="B11546" i="1"/>
  <c r="C11546" i="1"/>
  <c r="B11547" i="1"/>
  <c r="C11547" i="1"/>
  <c r="B11548" i="1"/>
  <c r="C11548" i="1"/>
  <c r="B11549" i="1"/>
  <c r="C11549" i="1"/>
  <c r="B11550" i="1"/>
  <c r="C11550" i="1"/>
  <c r="B11551" i="1"/>
  <c r="C11551" i="1"/>
  <c r="B11552" i="1"/>
  <c r="C11552" i="1"/>
  <c r="B11553" i="1"/>
  <c r="C11553" i="1"/>
  <c r="B11554" i="1"/>
  <c r="C11554" i="1"/>
  <c r="B11555" i="1"/>
  <c r="C11555" i="1"/>
  <c r="B11556" i="1"/>
  <c r="C11556" i="1"/>
  <c r="B11557" i="1"/>
  <c r="C11557" i="1"/>
  <c r="B11558" i="1"/>
  <c r="C11558" i="1"/>
  <c r="B11559" i="1"/>
  <c r="C11559" i="1"/>
  <c r="B11560" i="1"/>
  <c r="C11560" i="1"/>
  <c r="B11561" i="1"/>
  <c r="C11561" i="1"/>
  <c r="B11562" i="1"/>
  <c r="C11562" i="1"/>
  <c r="B11563" i="1"/>
  <c r="C11563" i="1"/>
  <c r="B11564" i="1"/>
  <c r="C11564" i="1"/>
  <c r="B11565" i="1"/>
  <c r="C11565" i="1"/>
  <c r="B11566" i="1"/>
  <c r="C11566" i="1"/>
  <c r="B11567" i="1"/>
  <c r="C11567" i="1"/>
  <c r="B11568" i="1"/>
  <c r="C11568" i="1"/>
  <c r="B11569" i="1"/>
  <c r="C11569" i="1"/>
  <c r="B11570" i="1"/>
  <c r="C11570" i="1"/>
  <c r="B11571" i="1"/>
  <c r="C11571" i="1"/>
  <c r="B11572" i="1"/>
  <c r="C11572" i="1"/>
  <c r="B11573" i="1"/>
  <c r="C11573" i="1"/>
  <c r="B11574" i="1"/>
  <c r="C11574" i="1"/>
  <c r="B11575" i="1"/>
  <c r="C11575" i="1"/>
  <c r="B11576" i="1"/>
  <c r="C11576" i="1"/>
  <c r="B11577" i="1"/>
  <c r="C11577" i="1"/>
  <c r="B11578" i="1"/>
  <c r="C11578" i="1"/>
  <c r="B11579" i="1"/>
  <c r="C11579" i="1"/>
  <c r="B11580" i="1"/>
  <c r="C11580" i="1"/>
  <c r="B11581" i="1"/>
  <c r="C11581" i="1"/>
  <c r="B11582" i="1"/>
  <c r="C11582" i="1"/>
  <c r="B11583" i="1"/>
  <c r="C11583" i="1"/>
  <c r="B11584" i="1"/>
  <c r="C11584" i="1"/>
  <c r="B11585" i="1"/>
  <c r="C11585" i="1"/>
  <c r="B11586" i="1"/>
  <c r="C11586" i="1"/>
  <c r="B11587" i="1"/>
  <c r="C11587" i="1"/>
  <c r="B11588" i="1"/>
  <c r="C11588" i="1"/>
  <c r="B11589" i="1"/>
  <c r="C11589" i="1"/>
  <c r="B11590" i="1"/>
  <c r="C11590" i="1"/>
  <c r="B11591" i="1"/>
  <c r="C11591" i="1"/>
  <c r="B11592" i="1"/>
  <c r="C11592" i="1"/>
  <c r="B11593" i="1"/>
  <c r="C11593" i="1"/>
  <c r="B11594" i="1"/>
  <c r="C11594" i="1"/>
  <c r="B11595" i="1"/>
  <c r="C11595" i="1"/>
  <c r="B11596" i="1"/>
  <c r="C11596" i="1"/>
  <c r="B11597" i="1"/>
  <c r="C11597" i="1"/>
  <c r="B11598" i="1"/>
  <c r="C11598" i="1"/>
  <c r="B11599" i="1"/>
  <c r="C11599" i="1"/>
  <c r="B11600" i="1"/>
  <c r="C11600" i="1"/>
  <c r="B11601" i="1"/>
  <c r="C11601" i="1"/>
  <c r="B11602" i="1"/>
  <c r="C11602" i="1"/>
  <c r="B11603" i="1"/>
  <c r="C11603" i="1"/>
  <c r="B11604" i="1"/>
  <c r="C11604" i="1"/>
  <c r="B11605" i="1"/>
  <c r="C11605" i="1"/>
  <c r="B11606" i="1"/>
  <c r="C11606" i="1"/>
  <c r="B11607" i="1"/>
  <c r="C11607" i="1"/>
  <c r="B11608" i="1"/>
  <c r="C11608" i="1"/>
  <c r="B11609" i="1"/>
  <c r="C11609" i="1"/>
  <c r="B11610" i="1"/>
  <c r="C11610" i="1"/>
  <c r="B11611" i="1"/>
  <c r="C11611" i="1"/>
  <c r="B11612" i="1"/>
  <c r="C11612" i="1"/>
  <c r="B11613" i="1"/>
  <c r="C11613" i="1"/>
  <c r="B11614" i="1"/>
  <c r="C11614" i="1"/>
  <c r="B11615" i="1"/>
  <c r="C11615" i="1"/>
  <c r="B11616" i="1"/>
  <c r="C11616" i="1"/>
  <c r="B11617" i="1"/>
  <c r="C11617" i="1"/>
  <c r="B11618" i="1"/>
  <c r="C11618" i="1"/>
  <c r="B11619" i="1"/>
  <c r="C11619" i="1"/>
  <c r="B11620" i="1"/>
  <c r="C11620" i="1"/>
  <c r="B11621" i="1"/>
  <c r="C11621" i="1"/>
  <c r="B11622" i="1"/>
  <c r="C11622" i="1"/>
  <c r="B11623" i="1"/>
  <c r="C11623" i="1"/>
  <c r="B11624" i="1"/>
  <c r="C11624" i="1"/>
  <c r="B11625" i="1"/>
  <c r="C11625" i="1"/>
  <c r="B11626" i="1"/>
  <c r="C11626" i="1"/>
  <c r="B11627" i="1"/>
  <c r="C11627" i="1"/>
  <c r="B11628" i="1"/>
  <c r="C11628" i="1"/>
  <c r="B11629" i="1"/>
  <c r="C11629" i="1"/>
  <c r="B11630" i="1"/>
  <c r="C11630" i="1"/>
  <c r="B11631" i="1"/>
  <c r="C11631" i="1"/>
  <c r="B11632" i="1"/>
  <c r="C11632" i="1"/>
  <c r="B11633" i="1"/>
  <c r="C11633" i="1"/>
  <c r="B11634" i="1"/>
  <c r="C11634" i="1"/>
  <c r="B11635" i="1"/>
  <c r="C11635" i="1"/>
  <c r="B11636" i="1"/>
  <c r="C11636" i="1"/>
  <c r="B11637" i="1"/>
  <c r="C11637" i="1"/>
  <c r="B11638" i="1"/>
  <c r="C11638" i="1"/>
  <c r="B11639" i="1"/>
  <c r="C11639" i="1"/>
  <c r="B11640" i="1"/>
  <c r="C11640" i="1"/>
  <c r="B11641" i="1"/>
  <c r="C11641" i="1"/>
  <c r="B11642" i="1"/>
  <c r="C11642" i="1"/>
  <c r="B11643" i="1"/>
  <c r="C11643" i="1"/>
  <c r="B11644" i="1"/>
  <c r="C11644" i="1"/>
  <c r="B11645" i="1"/>
  <c r="C11645" i="1"/>
  <c r="B11646" i="1"/>
  <c r="C11646" i="1"/>
  <c r="B11647" i="1"/>
  <c r="C11647" i="1"/>
  <c r="B11648" i="1"/>
  <c r="C11648" i="1"/>
  <c r="B11649" i="1"/>
  <c r="C11649" i="1"/>
  <c r="B11650" i="1"/>
  <c r="C11650" i="1"/>
  <c r="B11651" i="1"/>
  <c r="C11651" i="1"/>
  <c r="B11652" i="1"/>
  <c r="C11652" i="1"/>
  <c r="B11653" i="1"/>
  <c r="C11653" i="1"/>
  <c r="B11654" i="1"/>
  <c r="C11654" i="1"/>
  <c r="B11655" i="1"/>
  <c r="C11655" i="1"/>
  <c r="B11656" i="1"/>
  <c r="C11656" i="1"/>
  <c r="B11657" i="1"/>
  <c r="C11657" i="1"/>
  <c r="B11658" i="1"/>
  <c r="C11658" i="1"/>
  <c r="B11659" i="1"/>
  <c r="C11659" i="1"/>
  <c r="B11660" i="1"/>
  <c r="C11660" i="1"/>
  <c r="B11661" i="1"/>
  <c r="C11661" i="1"/>
  <c r="B11662" i="1"/>
  <c r="C11662" i="1"/>
  <c r="B11663" i="1"/>
  <c r="C11663" i="1"/>
  <c r="B11664" i="1"/>
  <c r="C11664" i="1"/>
  <c r="B11665" i="1"/>
  <c r="C11665" i="1"/>
  <c r="B11666" i="1"/>
  <c r="C11666" i="1"/>
  <c r="B11667" i="1"/>
  <c r="C11667" i="1"/>
  <c r="B11668" i="1"/>
  <c r="C11668" i="1"/>
  <c r="B11669" i="1"/>
  <c r="C11669" i="1"/>
  <c r="B11670" i="1"/>
  <c r="C11670" i="1"/>
  <c r="B11671" i="1"/>
  <c r="C11671" i="1"/>
  <c r="B11672" i="1"/>
  <c r="C11672" i="1"/>
  <c r="B11673" i="1"/>
  <c r="C11673" i="1"/>
  <c r="B11674" i="1"/>
  <c r="C11674" i="1"/>
  <c r="B11675" i="1"/>
  <c r="C11675" i="1"/>
  <c r="B11676" i="1"/>
  <c r="C11676" i="1"/>
  <c r="B11677" i="1"/>
  <c r="C11677" i="1"/>
  <c r="B11678" i="1"/>
  <c r="C11678" i="1"/>
  <c r="B11679" i="1"/>
  <c r="C11679" i="1"/>
  <c r="B11680" i="1"/>
  <c r="C11680" i="1"/>
  <c r="B11681" i="1"/>
  <c r="C11681" i="1"/>
  <c r="B11682" i="1"/>
  <c r="C11682" i="1"/>
  <c r="B11683" i="1"/>
  <c r="C11683" i="1"/>
  <c r="B11684" i="1"/>
  <c r="C11684" i="1"/>
  <c r="B11685" i="1"/>
  <c r="C11685" i="1"/>
  <c r="B11686" i="1"/>
  <c r="C11686" i="1"/>
  <c r="B11687" i="1"/>
  <c r="C11687" i="1"/>
  <c r="B11688" i="1"/>
  <c r="C11688" i="1"/>
  <c r="B11689" i="1"/>
  <c r="C11689" i="1"/>
  <c r="B11690" i="1"/>
  <c r="C11690" i="1"/>
  <c r="B11691" i="1"/>
  <c r="C11691" i="1"/>
  <c r="B11692" i="1"/>
  <c r="C11692" i="1"/>
  <c r="B11693" i="1"/>
  <c r="C11693" i="1"/>
  <c r="B11694" i="1"/>
  <c r="C11694" i="1"/>
  <c r="B11695" i="1"/>
  <c r="C11695" i="1"/>
  <c r="B11696" i="1"/>
  <c r="C11696" i="1"/>
  <c r="B11697" i="1"/>
  <c r="C11697" i="1"/>
  <c r="B11698" i="1"/>
  <c r="C11698" i="1"/>
  <c r="B11699" i="1"/>
  <c r="C11699" i="1"/>
  <c r="B11700" i="1"/>
  <c r="C11700" i="1"/>
  <c r="B11701" i="1"/>
  <c r="C11701" i="1"/>
  <c r="B11702" i="1"/>
  <c r="C11702" i="1"/>
  <c r="B11703" i="1"/>
  <c r="C11703" i="1"/>
  <c r="B11704" i="1"/>
  <c r="C11704" i="1"/>
  <c r="B11705" i="1"/>
  <c r="C11705" i="1"/>
  <c r="B11706" i="1"/>
  <c r="C11706" i="1"/>
  <c r="B11707" i="1"/>
  <c r="C11707" i="1"/>
  <c r="B11708" i="1"/>
  <c r="C11708" i="1"/>
  <c r="B11709" i="1"/>
  <c r="C11709" i="1"/>
  <c r="B11710" i="1"/>
  <c r="C11710" i="1"/>
  <c r="B11711" i="1"/>
  <c r="C11711" i="1"/>
  <c r="B11712" i="1"/>
  <c r="C11712" i="1"/>
  <c r="B11713" i="1"/>
  <c r="C11713" i="1"/>
  <c r="B11714" i="1"/>
  <c r="C11714" i="1"/>
  <c r="B11715" i="1"/>
  <c r="C11715" i="1"/>
  <c r="B11716" i="1"/>
  <c r="C11716" i="1"/>
  <c r="B11717" i="1"/>
  <c r="C11717" i="1"/>
  <c r="B11718" i="1"/>
  <c r="C11718" i="1"/>
  <c r="B11719" i="1"/>
  <c r="C11719" i="1"/>
  <c r="B11720" i="1"/>
  <c r="C11720" i="1"/>
  <c r="B11721" i="1"/>
  <c r="C11721" i="1"/>
  <c r="B11722" i="1"/>
  <c r="C11722" i="1"/>
  <c r="B11723" i="1"/>
  <c r="C11723" i="1"/>
  <c r="B11724" i="1"/>
  <c r="C11724" i="1"/>
  <c r="B11725" i="1"/>
  <c r="C11725" i="1"/>
  <c r="B11726" i="1"/>
  <c r="C11726" i="1"/>
  <c r="B11727" i="1"/>
  <c r="C11727" i="1"/>
  <c r="B11728" i="1"/>
  <c r="C11728" i="1"/>
  <c r="B11729" i="1"/>
  <c r="C11729" i="1"/>
  <c r="B11730" i="1"/>
  <c r="C11730" i="1"/>
  <c r="B11731" i="1"/>
  <c r="C11731" i="1"/>
  <c r="B11732" i="1"/>
  <c r="C11732" i="1"/>
  <c r="B11733" i="1"/>
  <c r="C11733" i="1"/>
  <c r="B11734" i="1"/>
  <c r="C11734" i="1"/>
  <c r="B11735" i="1"/>
  <c r="C11735" i="1"/>
  <c r="B11736" i="1"/>
  <c r="C11736" i="1"/>
  <c r="B11737" i="1"/>
  <c r="C11737" i="1"/>
  <c r="B11738" i="1"/>
  <c r="C11738" i="1"/>
  <c r="B11739" i="1"/>
  <c r="C11739" i="1"/>
  <c r="B11740" i="1"/>
  <c r="C11740" i="1"/>
  <c r="B11741" i="1"/>
  <c r="C11741" i="1"/>
  <c r="B11742" i="1"/>
  <c r="C11742" i="1"/>
  <c r="B11743" i="1"/>
  <c r="C11743" i="1"/>
  <c r="B11744" i="1"/>
  <c r="C11744" i="1"/>
  <c r="B11745" i="1"/>
  <c r="C11745" i="1"/>
  <c r="B11746" i="1"/>
  <c r="C11746" i="1"/>
  <c r="B11747" i="1"/>
  <c r="C11747" i="1"/>
  <c r="B11748" i="1"/>
  <c r="C11748" i="1"/>
  <c r="B11749" i="1"/>
  <c r="C11749" i="1"/>
  <c r="B11750" i="1"/>
  <c r="C11750" i="1"/>
  <c r="B11751" i="1"/>
  <c r="C11751" i="1"/>
  <c r="B11752" i="1"/>
  <c r="C11752" i="1"/>
  <c r="B11753" i="1"/>
  <c r="C11753" i="1"/>
  <c r="B11754" i="1"/>
  <c r="C11754" i="1"/>
  <c r="B11755" i="1"/>
  <c r="C11755" i="1"/>
  <c r="B11756" i="1"/>
  <c r="C11756" i="1"/>
  <c r="B11757" i="1"/>
  <c r="C11757" i="1"/>
  <c r="B11758" i="1"/>
  <c r="C11758" i="1"/>
  <c r="B11759" i="1"/>
  <c r="C11759" i="1"/>
  <c r="B11760" i="1"/>
  <c r="C11760" i="1"/>
  <c r="B11761" i="1"/>
  <c r="C11761" i="1"/>
  <c r="B11762" i="1"/>
  <c r="C11762" i="1"/>
  <c r="B11763" i="1"/>
  <c r="C11763" i="1"/>
  <c r="B11764" i="1"/>
  <c r="C11764" i="1"/>
  <c r="B11765" i="1"/>
  <c r="C11765" i="1"/>
  <c r="B11766" i="1"/>
  <c r="C11766" i="1"/>
  <c r="B11767" i="1"/>
  <c r="C11767" i="1"/>
  <c r="B11768" i="1"/>
  <c r="C11768" i="1"/>
  <c r="B11769" i="1"/>
  <c r="C11769" i="1"/>
  <c r="B11770" i="1"/>
  <c r="C11770" i="1"/>
  <c r="B11771" i="1"/>
  <c r="C11771" i="1"/>
  <c r="B11772" i="1"/>
  <c r="C11772" i="1"/>
  <c r="B11773" i="1"/>
  <c r="C11773" i="1"/>
  <c r="B11774" i="1"/>
  <c r="C11774" i="1"/>
  <c r="B11775" i="1"/>
  <c r="C11775" i="1"/>
  <c r="B11776" i="1"/>
  <c r="C11776" i="1"/>
  <c r="B11777" i="1"/>
  <c r="C11777" i="1"/>
  <c r="B11778" i="1"/>
  <c r="C11778" i="1"/>
  <c r="B11779" i="1"/>
  <c r="C11779" i="1"/>
  <c r="B11780" i="1"/>
  <c r="C11780" i="1"/>
  <c r="B11781" i="1"/>
  <c r="C11781" i="1"/>
  <c r="B11782" i="1"/>
  <c r="C11782" i="1"/>
  <c r="B11783" i="1"/>
  <c r="C11783" i="1"/>
  <c r="B11784" i="1"/>
  <c r="C11784" i="1"/>
  <c r="B11785" i="1"/>
  <c r="C11785" i="1"/>
  <c r="B11786" i="1"/>
  <c r="C11786" i="1"/>
  <c r="B11787" i="1"/>
  <c r="C11787" i="1"/>
  <c r="B11788" i="1"/>
  <c r="C11788" i="1"/>
  <c r="B11789" i="1"/>
  <c r="C11789" i="1"/>
  <c r="B11790" i="1"/>
  <c r="C11790" i="1"/>
  <c r="B11791" i="1"/>
  <c r="C11791" i="1"/>
  <c r="B11792" i="1"/>
  <c r="C11792" i="1"/>
  <c r="B11793" i="1"/>
  <c r="C11793" i="1"/>
  <c r="B11794" i="1"/>
  <c r="C11794" i="1"/>
  <c r="B11795" i="1"/>
  <c r="C11795" i="1"/>
  <c r="B11796" i="1"/>
  <c r="C11796" i="1"/>
  <c r="B11797" i="1"/>
  <c r="C11797" i="1"/>
  <c r="B11798" i="1"/>
  <c r="C11798" i="1"/>
  <c r="B11799" i="1"/>
  <c r="C11799" i="1"/>
  <c r="B11800" i="1"/>
  <c r="C11800" i="1"/>
  <c r="B11801" i="1"/>
  <c r="C11801" i="1"/>
  <c r="B11802" i="1"/>
  <c r="C11802" i="1"/>
  <c r="B11803" i="1"/>
  <c r="C11803" i="1"/>
  <c r="B11804" i="1"/>
  <c r="C11804" i="1"/>
  <c r="B11805" i="1"/>
  <c r="C11805" i="1"/>
  <c r="B11806" i="1"/>
  <c r="C11806" i="1"/>
  <c r="B11807" i="1"/>
  <c r="C11807" i="1"/>
  <c r="B11808" i="1"/>
  <c r="C11808" i="1"/>
  <c r="B11809" i="1"/>
  <c r="C11809" i="1"/>
  <c r="B11810" i="1"/>
  <c r="C11810" i="1"/>
  <c r="B11811" i="1"/>
  <c r="C11811" i="1"/>
  <c r="B11812" i="1"/>
  <c r="C11812" i="1"/>
  <c r="B11813" i="1"/>
  <c r="C11813" i="1"/>
  <c r="B11814" i="1"/>
  <c r="C11814" i="1"/>
  <c r="B11815" i="1"/>
  <c r="C11815" i="1"/>
  <c r="B11816" i="1"/>
  <c r="C11816" i="1"/>
  <c r="B11817" i="1"/>
  <c r="C11817" i="1"/>
  <c r="B11818" i="1"/>
  <c r="C11818" i="1"/>
  <c r="B11819" i="1"/>
  <c r="C11819" i="1"/>
  <c r="B11820" i="1"/>
  <c r="C11820" i="1"/>
  <c r="B11821" i="1"/>
  <c r="C11821" i="1"/>
  <c r="B11822" i="1"/>
  <c r="C11822" i="1"/>
  <c r="B11823" i="1"/>
  <c r="C11823" i="1"/>
  <c r="B11824" i="1"/>
  <c r="C11824" i="1"/>
  <c r="B11825" i="1"/>
  <c r="C11825" i="1"/>
  <c r="B11826" i="1"/>
  <c r="C11826" i="1"/>
  <c r="B11827" i="1"/>
  <c r="C11827" i="1"/>
  <c r="B11828" i="1"/>
  <c r="C11828" i="1"/>
  <c r="B11829" i="1"/>
  <c r="C11829" i="1"/>
  <c r="B11830" i="1"/>
  <c r="C11830" i="1"/>
  <c r="B11831" i="1"/>
  <c r="C11831" i="1"/>
  <c r="B11832" i="1"/>
  <c r="C11832" i="1"/>
  <c r="B11833" i="1"/>
  <c r="C11833" i="1"/>
  <c r="B11834" i="1"/>
  <c r="C11834" i="1"/>
  <c r="B11835" i="1"/>
  <c r="C11835" i="1"/>
  <c r="B11836" i="1"/>
  <c r="C11836" i="1"/>
  <c r="B11837" i="1"/>
  <c r="C11837" i="1"/>
  <c r="B11838" i="1"/>
  <c r="C11838" i="1"/>
  <c r="B11839" i="1"/>
  <c r="C11839" i="1"/>
  <c r="B11840" i="1"/>
  <c r="C11840" i="1"/>
  <c r="B11841" i="1"/>
  <c r="C11841" i="1"/>
  <c r="B11842" i="1"/>
  <c r="C11842" i="1"/>
  <c r="B11843" i="1"/>
  <c r="C11843" i="1"/>
  <c r="B11844" i="1"/>
  <c r="C11844" i="1"/>
  <c r="B11845" i="1"/>
  <c r="C11845" i="1"/>
  <c r="B11846" i="1"/>
  <c r="C11846" i="1"/>
  <c r="B11847" i="1"/>
  <c r="C11847" i="1"/>
  <c r="B11848" i="1"/>
  <c r="C11848" i="1"/>
  <c r="B11849" i="1"/>
  <c r="C11849" i="1"/>
  <c r="B11850" i="1"/>
  <c r="C11850" i="1"/>
  <c r="B11851" i="1"/>
  <c r="C11851" i="1"/>
  <c r="B11852" i="1"/>
  <c r="C11852" i="1"/>
  <c r="B11853" i="1"/>
  <c r="C11853" i="1"/>
  <c r="B11854" i="1"/>
  <c r="C11854" i="1"/>
  <c r="B11855" i="1"/>
  <c r="C11855" i="1"/>
  <c r="B11856" i="1"/>
  <c r="C11856" i="1"/>
  <c r="B11857" i="1"/>
  <c r="C11857" i="1"/>
  <c r="B11858" i="1"/>
  <c r="C11858" i="1"/>
  <c r="B11859" i="1"/>
  <c r="C11859" i="1"/>
  <c r="B11860" i="1"/>
  <c r="C11860" i="1"/>
  <c r="B11861" i="1"/>
  <c r="C11861" i="1"/>
  <c r="B11862" i="1"/>
  <c r="C11862" i="1"/>
  <c r="B11863" i="1"/>
  <c r="C11863" i="1"/>
  <c r="B11864" i="1"/>
  <c r="C11864" i="1"/>
  <c r="B11865" i="1"/>
  <c r="C11865" i="1"/>
  <c r="B11866" i="1"/>
  <c r="C11866" i="1"/>
  <c r="B11867" i="1"/>
  <c r="C11867" i="1"/>
  <c r="B11868" i="1"/>
  <c r="C11868" i="1"/>
  <c r="B11869" i="1"/>
  <c r="C11869" i="1"/>
  <c r="B11870" i="1"/>
  <c r="C11870" i="1"/>
  <c r="B11871" i="1"/>
  <c r="C11871" i="1"/>
  <c r="B11872" i="1"/>
  <c r="C11872" i="1"/>
  <c r="B11873" i="1"/>
  <c r="C11873" i="1"/>
  <c r="B11874" i="1"/>
  <c r="C11874" i="1"/>
  <c r="B11875" i="1"/>
  <c r="C11875" i="1"/>
  <c r="B11876" i="1"/>
  <c r="C11876" i="1"/>
  <c r="B11877" i="1"/>
  <c r="C11877" i="1"/>
  <c r="B11878" i="1"/>
  <c r="C11878" i="1"/>
  <c r="B11879" i="1"/>
  <c r="C11879" i="1"/>
  <c r="B11880" i="1"/>
  <c r="C11880" i="1"/>
  <c r="B11881" i="1"/>
  <c r="C11881" i="1"/>
  <c r="B11882" i="1"/>
  <c r="C11882" i="1"/>
  <c r="B11883" i="1"/>
  <c r="C11883" i="1"/>
  <c r="B11884" i="1"/>
  <c r="C11884" i="1"/>
  <c r="B11885" i="1"/>
  <c r="C11885" i="1"/>
  <c r="B11886" i="1"/>
  <c r="C11886" i="1"/>
  <c r="B11887" i="1"/>
  <c r="C11887" i="1"/>
  <c r="B11888" i="1"/>
  <c r="C11888" i="1"/>
  <c r="B11889" i="1"/>
  <c r="C11889" i="1"/>
  <c r="B11890" i="1"/>
  <c r="C11890" i="1"/>
  <c r="B11891" i="1"/>
  <c r="C11891" i="1"/>
  <c r="B11892" i="1"/>
  <c r="C11892" i="1"/>
  <c r="B11893" i="1"/>
  <c r="C11893" i="1"/>
  <c r="B11894" i="1"/>
  <c r="C11894" i="1"/>
  <c r="B11895" i="1"/>
  <c r="C11895" i="1"/>
  <c r="B11896" i="1"/>
  <c r="C11896" i="1"/>
  <c r="B11897" i="1"/>
  <c r="C11897" i="1"/>
  <c r="B11898" i="1"/>
  <c r="C11898" i="1"/>
  <c r="B11899" i="1"/>
  <c r="C11899" i="1"/>
  <c r="B11900" i="1"/>
  <c r="C11900" i="1"/>
  <c r="B11901" i="1"/>
  <c r="C11901" i="1"/>
  <c r="B11902" i="1"/>
  <c r="C11902" i="1"/>
  <c r="B11903" i="1"/>
  <c r="C11903" i="1"/>
  <c r="B11904" i="1"/>
  <c r="C11904" i="1"/>
  <c r="B11905" i="1"/>
  <c r="C11905" i="1"/>
  <c r="B11906" i="1"/>
  <c r="C11906" i="1"/>
  <c r="B11907" i="1"/>
  <c r="C11907" i="1"/>
  <c r="B11908" i="1"/>
  <c r="C11908" i="1"/>
  <c r="B11909" i="1"/>
  <c r="C11909" i="1"/>
  <c r="B11910" i="1"/>
  <c r="C11910" i="1"/>
  <c r="B11911" i="1"/>
  <c r="C11911" i="1"/>
  <c r="B11912" i="1"/>
  <c r="C11912" i="1"/>
  <c r="B11913" i="1"/>
  <c r="C11913" i="1"/>
  <c r="B11914" i="1"/>
  <c r="C11914" i="1"/>
  <c r="B11915" i="1"/>
  <c r="C11915" i="1"/>
  <c r="B11916" i="1"/>
  <c r="C11916" i="1"/>
  <c r="B11917" i="1"/>
  <c r="C11917" i="1"/>
  <c r="B11918" i="1"/>
  <c r="C11918" i="1"/>
  <c r="B11919" i="1"/>
  <c r="C11919" i="1"/>
  <c r="B11920" i="1"/>
  <c r="C11920" i="1"/>
  <c r="B11921" i="1"/>
  <c r="C11921" i="1"/>
  <c r="B11922" i="1"/>
  <c r="C11922" i="1"/>
  <c r="B11923" i="1"/>
  <c r="C11923" i="1"/>
  <c r="B11924" i="1"/>
  <c r="C11924" i="1"/>
  <c r="B11925" i="1"/>
  <c r="C11925" i="1"/>
  <c r="B11926" i="1"/>
  <c r="C11926" i="1"/>
  <c r="B11927" i="1"/>
  <c r="C11927" i="1"/>
  <c r="B11928" i="1"/>
  <c r="C11928" i="1"/>
  <c r="B11929" i="1"/>
  <c r="C11929" i="1"/>
  <c r="B11930" i="1"/>
  <c r="C11930" i="1"/>
  <c r="B11931" i="1"/>
  <c r="C11931" i="1"/>
  <c r="B11932" i="1"/>
  <c r="C11932" i="1"/>
  <c r="B11933" i="1"/>
  <c r="C11933" i="1"/>
  <c r="B11934" i="1"/>
  <c r="C11934" i="1"/>
  <c r="B11935" i="1"/>
  <c r="C11935" i="1"/>
  <c r="B11936" i="1"/>
  <c r="C11936" i="1"/>
  <c r="B11937" i="1"/>
  <c r="C11937" i="1"/>
  <c r="B11938" i="1"/>
  <c r="C11938" i="1"/>
  <c r="B11939" i="1"/>
  <c r="C11939" i="1"/>
  <c r="B11940" i="1"/>
  <c r="C11940" i="1"/>
  <c r="B11941" i="1"/>
  <c r="C11941" i="1"/>
  <c r="B11942" i="1"/>
  <c r="C11942" i="1"/>
  <c r="B11943" i="1"/>
  <c r="C11943" i="1"/>
  <c r="B11944" i="1"/>
  <c r="C11944" i="1"/>
  <c r="B11945" i="1"/>
  <c r="C11945" i="1"/>
  <c r="B11946" i="1"/>
  <c r="C11946" i="1"/>
  <c r="B11947" i="1"/>
  <c r="C11947" i="1"/>
  <c r="B11948" i="1"/>
  <c r="C11948" i="1"/>
  <c r="B11949" i="1"/>
  <c r="C11949" i="1"/>
  <c r="B11950" i="1"/>
  <c r="C11950" i="1"/>
  <c r="B11951" i="1"/>
  <c r="C11951" i="1"/>
  <c r="B11952" i="1"/>
  <c r="C11952" i="1"/>
  <c r="B11953" i="1"/>
  <c r="C11953" i="1"/>
  <c r="B11954" i="1"/>
  <c r="C11954" i="1"/>
  <c r="B11955" i="1"/>
  <c r="C11955" i="1"/>
  <c r="B11956" i="1"/>
  <c r="C11956" i="1"/>
  <c r="B11957" i="1"/>
  <c r="C11957" i="1"/>
  <c r="B11958" i="1"/>
  <c r="C11958" i="1"/>
  <c r="B11959" i="1"/>
  <c r="C11959" i="1"/>
  <c r="B11960" i="1"/>
  <c r="C11960" i="1"/>
  <c r="B11961" i="1"/>
  <c r="C11961" i="1"/>
  <c r="B11962" i="1"/>
  <c r="C11962" i="1"/>
  <c r="B11963" i="1"/>
  <c r="C11963" i="1"/>
  <c r="B11964" i="1"/>
  <c r="C11964" i="1"/>
  <c r="B11965" i="1"/>
  <c r="C11965" i="1"/>
  <c r="B11966" i="1"/>
  <c r="C11966" i="1"/>
  <c r="B11967" i="1"/>
  <c r="C11967" i="1"/>
  <c r="B11968" i="1"/>
  <c r="C11968" i="1"/>
  <c r="B11969" i="1"/>
  <c r="C11969" i="1"/>
  <c r="B11970" i="1"/>
  <c r="C11970" i="1"/>
  <c r="B11971" i="1"/>
  <c r="C11971" i="1"/>
  <c r="B11972" i="1"/>
  <c r="C11972" i="1"/>
  <c r="B11973" i="1"/>
  <c r="C11973" i="1"/>
  <c r="B11974" i="1"/>
  <c r="C11974" i="1"/>
  <c r="B11975" i="1"/>
  <c r="C11975" i="1"/>
  <c r="B11976" i="1"/>
  <c r="C11976" i="1"/>
  <c r="B11977" i="1"/>
  <c r="C11977" i="1"/>
  <c r="B11978" i="1"/>
  <c r="C11978" i="1"/>
  <c r="B11979" i="1"/>
  <c r="C11979" i="1"/>
  <c r="B11980" i="1"/>
  <c r="C11980" i="1"/>
  <c r="B11981" i="1"/>
  <c r="C11981" i="1"/>
  <c r="B11982" i="1"/>
  <c r="C11982" i="1"/>
  <c r="B11983" i="1"/>
  <c r="C11983" i="1"/>
  <c r="B11984" i="1"/>
  <c r="C11984" i="1"/>
  <c r="B11985" i="1"/>
  <c r="C11985" i="1"/>
  <c r="B11986" i="1"/>
  <c r="C11986" i="1"/>
  <c r="B11987" i="1"/>
  <c r="C11987" i="1"/>
  <c r="B11988" i="1"/>
  <c r="C11988" i="1"/>
  <c r="B11989" i="1"/>
  <c r="C11989" i="1"/>
  <c r="B11990" i="1"/>
  <c r="C11990" i="1"/>
  <c r="B11991" i="1"/>
  <c r="C11991" i="1"/>
  <c r="B11992" i="1"/>
  <c r="C11992" i="1"/>
  <c r="B11993" i="1"/>
  <c r="C11993" i="1"/>
  <c r="B11994" i="1"/>
  <c r="C11994" i="1"/>
  <c r="B11995" i="1"/>
  <c r="C11995" i="1"/>
  <c r="B11996" i="1"/>
  <c r="C11996" i="1"/>
  <c r="B11997" i="1"/>
  <c r="C11997" i="1"/>
  <c r="B11998" i="1"/>
  <c r="C11998" i="1"/>
  <c r="B11999" i="1"/>
  <c r="C11999" i="1"/>
  <c r="B12000" i="1"/>
  <c r="C12000" i="1"/>
  <c r="B12001" i="1"/>
  <c r="C12001" i="1"/>
  <c r="B12002" i="1"/>
  <c r="C12002" i="1"/>
  <c r="B12003" i="1"/>
  <c r="C12003" i="1"/>
  <c r="B12004" i="1"/>
  <c r="C12004" i="1"/>
  <c r="B12005" i="1"/>
  <c r="C12005" i="1"/>
  <c r="B12006" i="1"/>
  <c r="C12006" i="1"/>
  <c r="B12007" i="1"/>
  <c r="C12007" i="1"/>
  <c r="B12008" i="1"/>
  <c r="C12008" i="1"/>
  <c r="B12009" i="1"/>
  <c r="C12009" i="1"/>
  <c r="B12010" i="1"/>
  <c r="C12010" i="1"/>
  <c r="B12011" i="1"/>
  <c r="C12011" i="1"/>
  <c r="B12012" i="1"/>
  <c r="C12012" i="1"/>
  <c r="B12013" i="1"/>
  <c r="C12013" i="1"/>
  <c r="B12014" i="1"/>
  <c r="C12014" i="1"/>
  <c r="B12015" i="1"/>
  <c r="C12015" i="1"/>
  <c r="B12016" i="1"/>
  <c r="C12016" i="1"/>
  <c r="B12017" i="1"/>
  <c r="C12017" i="1"/>
  <c r="B12018" i="1"/>
  <c r="C12018" i="1"/>
  <c r="B12019" i="1"/>
  <c r="C12019" i="1"/>
  <c r="B12020" i="1"/>
  <c r="C12020" i="1"/>
  <c r="B12021" i="1"/>
  <c r="C12021" i="1"/>
  <c r="B12022" i="1"/>
  <c r="C12022" i="1"/>
  <c r="B12023" i="1"/>
  <c r="C12023" i="1"/>
  <c r="B12024" i="1"/>
  <c r="C12024" i="1"/>
  <c r="B12025" i="1"/>
  <c r="C12025" i="1"/>
  <c r="B12026" i="1"/>
  <c r="C12026" i="1"/>
  <c r="B12027" i="1"/>
  <c r="C12027" i="1"/>
  <c r="B12028" i="1"/>
  <c r="C12028" i="1"/>
  <c r="B12029" i="1"/>
  <c r="C12029" i="1"/>
  <c r="B12030" i="1"/>
  <c r="C12030" i="1"/>
  <c r="B12031" i="1"/>
  <c r="C12031" i="1"/>
  <c r="B12032" i="1"/>
  <c r="C12032" i="1"/>
  <c r="B12033" i="1"/>
  <c r="C12033" i="1"/>
  <c r="B12034" i="1"/>
  <c r="C12034" i="1"/>
  <c r="B12035" i="1"/>
  <c r="C12035" i="1"/>
  <c r="B12036" i="1"/>
  <c r="C12036" i="1"/>
  <c r="B12037" i="1"/>
  <c r="C12037" i="1"/>
  <c r="B12038" i="1"/>
  <c r="C12038" i="1"/>
  <c r="B12039" i="1"/>
  <c r="C12039" i="1"/>
  <c r="B12040" i="1"/>
  <c r="C12040" i="1"/>
  <c r="B12041" i="1"/>
  <c r="C12041" i="1"/>
  <c r="B12042" i="1"/>
  <c r="C12042" i="1"/>
  <c r="B12043" i="1"/>
  <c r="C12043" i="1"/>
  <c r="B12044" i="1"/>
  <c r="C12044" i="1"/>
  <c r="B12045" i="1"/>
  <c r="C12045" i="1"/>
  <c r="B12046" i="1"/>
  <c r="C12046" i="1"/>
  <c r="B12047" i="1"/>
  <c r="C12047" i="1"/>
  <c r="B12048" i="1"/>
  <c r="C12048" i="1"/>
  <c r="B12049" i="1"/>
  <c r="C12049" i="1"/>
  <c r="B12050" i="1"/>
  <c r="C12050" i="1"/>
  <c r="B12051" i="1"/>
  <c r="C12051" i="1"/>
  <c r="B12052" i="1"/>
  <c r="C12052" i="1"/>
  <c r="B12053" i="1"/>
  <c r="C12053" i="1"/>
  <c r="B12054" i="1"/>
  <c r="C12054" i="1"/>
  <c r="B12055" i="1"/>
  <c r="C12055" i="1"/>
  <c r="B12056" i="1"/>
  <c r="C12056" i="1"/>
  <c r="B12057" i="1"/>
  <c r="C12057" i="1"/>
  <c r="B12058" i="1"/>
  <c r="C12058" i="1"/>
  <c r="B12059" i="1"/>
  <c r="C12059" i="1"/>
  <c r="B12060" i="1"/>
  <c r="C12060" i="1"/>
  <c r="B12061" i="1"/>
  <c r="C12061" i="1"/>
  <c r="B12062" i="1"/>
  <c r="C12062" i="1"/>
  <c r="B12063" i="1"/>
  <c r="C12063" i="1"/>
  <c r="B12064" i="1"/>
  <c r="C12064" i="1"/>
  <c r="B12065" i="1"/>
  <c r="C12065" i="1"/>
  <c r="B12066" i="1"/>
  <c r="C12066" i="1"/>
  <c r="B12067" i="1"/>
  <c r="C12067" i="1"/>
  <c r="B12068" i="1"/>
  <c r="C12068" i="1"/>
  <c r="B12069" i="1"/>
  <c r="C12069" i="1"/>
  <c r="B12070" i="1"/>
  <c r="C12070" i="1"/>
  <c r="B12071" i="1"/>
  <c r="C12071" i="1"/>
  <c r="B12072" i="1"/>
  <c r="C12072" i="1"/>
  <c r="B12073" i="1"/>
  <c r="C12073" i="1"/>
  <c r="B12074" i="1"/>
  <c r="C12074" i="1"/>
  <c r="B12075" i="1"/>
  <c r="C12075" i="1"/>
  <c r="B12076" i="1"/>
  <c r="C12076" i="1"/>
  <c r="B12077" i="1"/>
  <c r="C12077" i="1"/>
  <c r="B12078" i="1"/>
  <c r="C12078" i="1"/>
  <c r="B12079" i="1"/>
  <c r="C12079" i="1"/>
  <c r="B12080" i="1"/>
  <c r="C12080" i="1"/>
  <c r="B12081" i="1"/>
  <c r="C12081" i="1"/>
  <c r="B12082" i="1"/>
  <c r="C12082" i="1"/>
  <c r="B12083" i="1"/>
  <c r="C12083" i="1"/>
  <c r="B12084" i="1"/>
  <c r="C12084" i="1"/>
  <c r="B12085" i="1"/>
  <c r="C12085" i="1"/>
  <c r="B12086" i="1"/>
  <c r="C12086" i="1"/>
  <c r="B12087" i="1"/>
  <c r="C12087" i="1"/>
  <c r="B12088" i="1"/>
  <c r="C12088" i="1"/>
  <c r="B12089" i="1"/>
  <c r="C12089" i="1"/>
  <c r="B12090" i="1"/>
  <c r="C12090" i="1"/>
  <c r="B12091" i="1"/>
  <c r="C12091" i="1"/>
  <c r="B12092" i="1"/>
  <c r="C12092" i="1"/>
  <c r="B12093" i="1"/>
  <c r="C12093" i="1"/>
  <c r="B12094" i="1"/>
  <c r="C12094" i="1"/>
  <c r="B12095" i="1"/>
  <c r="C12095" i="1"/>
  <c r="B12096" i="1"/>
  <c r="C12096" i="1"/>
  <c r="B12097" i="1"/>
  <c r="C12097" i="1"/>
  <c r="B12098" i="1"/>
  <c r="C12098" i="1"/>
  <c r="B12099" i="1"/>
  <c r="C12099" i="1"/>
  <c r="B12100" i="1"/>
  <c r="C12100" i="1"/>
  <c r="B12101" i="1"/>
  <c r="C12101" i="1"/>
  <c r="B12102" i="1"/>
  <c r="C12102" i="1"/>
  <c r="B12103" i="1"/>
  <c r="C12103" i="1"/>
  <c r="B12104" i="1"/>
  <c r="C12104" i="1"/>
  <c r="B12105" i="1"/>
  <c r="C12105" i="1"/>
  <c r="B12106" i="1"/>
  <c r="C12106" i="1"/>
  <c r="B12107" i="1"/>
  <c r="C12107" i="1"/>
  <c r="B12108" i="1"/>
  <c r="C12108" i="1"/>
  <c r="B12109" i="1"/>
  <c r="C12109" i="1"/>
  <c r="B12110" i="1"/>
  <c r="C12110" i="1"/>
  <c r="B12111" i="1"/>
  <c r="C12111" i="1"/>
  <c r="B12112" i="1"/>
  <c r="C12112" i="1"/>
  <c r="B12113" i="1"/>
  <c r="C12113" i="1"/>
  <c r="B12114" i="1"/>
  <c r="C12114" i="1"/>
  <c r="B12115" i="1"/>
  <c r="C12115" i="1"/>
  <c r="B12116" i="1"/>
  <c r="C12116" i="1"/>
  <c r="B12117" i="1"/>
  <c r="C12117" i="1"/>
  <c r="B12118" i="1"/>
  <c r="C12118" i="1"/>
  <c r="B12119" i="1"/>
  <c r="C12119" i="1"/>
  <c r="B12120" i="1"/>
  <c r="C12120" i="1"/>
  <c r="B12121" i="1"/>
  <c r="C12121" i="1"/>
  <c r="B12122" i="1"/>
  <c r="C12122" i="1"/>
  <c r="B12123" i="1"/>
  <c r="C12123" i="1"/>
  <c r="B12124" i="1"/>
  <c r="C12124" i="1"/>
  <c r="B12125" i="1"/>
  <c r="C12125" i="1"/>
  <c r="B12126" i="1"/>
  <c r="C12126" i="1"/>
  <c r="B12127" i="1"/>
  <c r="C12127" i="1"/>
  <c r="B12128" i="1"/>
  <c r="C12128" i="1"/>
  <c r="B12129" i="1"/>
  <c r="C12129" i="1"/>
  <c r="B12130" i="1"/>
  <c r="C12130" i="1"/>
  <c r="B12131" i="1"/>
  <c r="C12131" i="1"/>
  <c r="B12132" i="1"/>
  <c r="C12132" i="1"/>
  <c r="B12133" i="1"/>
  <c r="C12133" i="1"/>
  <c r="B12134" i="1"/>
  <c r="C12134" i="1"/>
  <c r="B12135" i="1"/>
  <c r="C12135" i="1"/>
  <c r="B12136" i="1"/>
  <c r="C12136" i="1"/>
  <c r="B12137" i="1"/>
  <c r="C12137" i="1"/>
  <c r="B12138" i="1"/>
  <c r="C12138" i="1"/>
  <c r="B12139" i="1"/>
  <c r="C12139" i="1"/>
  <c r="B12140" i="1"/>
  <c r="C12140" i="1"/>
  <c r="B12141" i="1"/>
  <c r="C12141" i="1"/>
  <c r="B12142" i="1"/>
  <c r="C12142" i="1"/>
  <c r="B12143" i="1"/>
  <c r="C12143" i="1"/>
  <c r="B12144" i="1"/>
  <c r="C12144" i="1"/>
  <c r="B12145" i="1"/>
  <c r="C12145" i="1"/>
  <c r="B12146" i="1"/>
  <c r="C12146" i="1"/>
  <c r="B12147" i="1"/>
  <c r="C12147" i="1"/>
  <c r="B12148" i="1"/>
  <c r="C12148" i="1"/>
  <c r="B12149" i="1"/>
  <c r="C12149" i="1"/>
  <c r="B12150" i="1"/>
  <c r="C12150" i="1"/>
  <c r="B12151" i="1"/>
  <c r="C12151" i="1"/>
  <c r="B12152" i="1"/>
  <c r="C12152" i="1"/>
  <c r="B12153" i="1"/>
  <c r="C12153" i="1"/>
  <c r="B12154" i="1"/>
  <c r="C12154" i="1"/>
  <c r="B12155" i="1"/>
  <c r="C12155" i="1"/>
  <c r="B12156" i="1"/>
  <c r="C12156" i="1"/>
  <c r="B12157" i="1"/>
  <c r="C12157" i="1"/>
  <c r="B12158" i="1"/>
  <c r="C12158" i="1"/>
  <c r="B12159" i="1"/>
  <c r="C12159" i="1"/>
  <c r="B12160" i="1"/>
  <c r="C12160" i="1"/>
  <c r="B12161" i="1"/>
  <c r="C12161" i="1"/>
  <c r="B12162" i="1"/>
  <c r="C12162" i="1"/>
  <c r="B12163" i="1"/>
  <c r="C12163" i="1"/>
  <c r="B12164" i="1"/>
  <c r="C12164" i="1"/>
  <c r="B12165" i="1"/>
  <c r="C12165" i="1"/>
  <c r="B12166" i="1"/>
  <c r="C12166" i="1"/>
  <c r="B12167" i="1"/>
  <c r="C12167" i="1"/>
  <c r="B12168" i="1"/>
  <c r="C12168" i="1"/>
  <c r="B12169" i="1"/>
  <c r="C12169" i="1"/>
  <c r="B12170" i="1"/>
  <c r="C12170" i="1"/>
  <c r="B12171" i="1"/>
  <c r="C12171" i="1"/>
  <c r="B12172" i="1"/>
  <c r="C12172" i="1"/>
  <c r="B12173" i="1"/>
  <c r="C12173" i="1"/>
  <c r="B12174" i="1"/>
  <c r="C12174" i="1"/>
  <c r="B12175" i="1"/>
  <c r="C12175" i="1"/>
  <c r="B12176" i="1"/>
  <c r="C12176" i="1"/>
  <c r="B12177" i="1"/>
  <c r="C12177" i="1"/>
  <c r="B12178" i="1"/>
  <c r="C12178" i="1"/>
  <c r="B12179" i="1"/>
  <c r="C12179" i="1"/>
  <c r="B12180" i="1"/>
  <c r="C12180" i="1"/>
  <c r="B12181" i="1"/>
  <c r="C12181" i="1"/>
  <c r="B12182" i="1"/>
  <c r="C12182" i="1"/>
  <c r="B12183" i="1"/>
  <c r="C12183" i="1"/>
  <c r="B12184" i="1"/>
  <c r="C12184" i="1"/>
  <c r="B12185" i="1"/>
  <c r="C12185" i="1"/>
  <c r="B12186" i="1"/>
  <c r="C12186" i="1"/>
  <c r="B12187" i="1"/>
  <c r="C12187" i="1"/>
  <c r="B12188" i="1"/>
  <c r="C12188" i="1"/>
  <c r="B12189" i="1"/>
  <c r="C12189" i="1"/>
  <c r="B12190" i="1"/>
  <c r="C12190" i="1"/>
  <c r="B12191" i="1"/>
  <c r="C12191" i="1"/>
  <c r="B12192" i="1"/>
  <c r="C12192" i="1"/>
  <c r="B12193" i="1"/>
  <c r="C12193" i="1"/>
  <c r="B12194" i="1"/>
  <c r="C12194" i="1"/>
  <c r="B12195" i="1"/>
  <c r="C12195" i="1"/>
  <c r="B12196" i="1"/>
  <c r="C12196" i="1"/>
  <c r="B12197" i="1"/>
  <c r="C12197" i="1"/>
  <c r="B12198" i="1"/>
  <c r="C12198" i="1"/>
  <c r="B12199" i="1"/>
  <c r="C12199" i="1"/>
  <c r="B12200" i="1"/>
  <c r="C12200" i="1"/>
  <c r="B12201" i="1"/>
  <c r="C12201" i="1"/>
  <c r="B12202" i="1"/>
  <c r="C12202" i="1"/>
  <c r="B12203" i="1"/>
  <c r="C12203" i="1"/>
  <c r="B12204" i="1"/>
  <c r="C12204" i="1"/>
  <c r="B12205" i="1"/>
  <c r="C12205" i="1"/>
  <c r="B12206" i="1"/>
  <c r="C12206" i="1"/>
  <c r="B12207" i="1"/>
  <c r="C12207" i="1"/>
  <c r="B12208" i="1"/>
  <c r="C12208" i="1"/>
  <c r="B12209" i="1"/>
  <c r="C12209" i="1"/>
  <c r="B12210" i="1"/>
  <c r="C12210" i="1"/>
  <c r="B12211" i="1"/>
  <c r="C12211" i="1"/>
  <c r="B12212" i="1"/>
  <c r="C12212" i="1"/>
  <c r="B12213" i="1"/>
  <c r="C12213" i="1"/>
  <c r="B12214" i="1"/>
  <c r="C12214" i="1"/>
  <c r="B12215" i="1"/>
  <c r="C12215" i="1"/>
  <c r="B12216" i="1"/>
  <c r="C12216" i="1"/>
  <c r="B12217" i="1"/>
  <c r="C12217" i="1"/>
  <c r="B12218" i="1"/>
  <c r="C12218" i="1"/>
  <c r="B12219" i="1"/>
  <c r="C12219" i="1"/>
  <c r="B12220" i="1"/>
  <c r="C12220" i="1"/>
  <c r="B12221" i="1"/>
  <c r="C12221" i="1"/>
  <c r="B12222" i="1"/>
  <c r="C12222" i="1"/>
  <c r="B12223" i="1"/>
  <c r="C12223" i="1"/>
  <c r="B12224" i="1"/>
  <c r="C12224" i="1"/>
  <c r="B12225" i="1"/>
  <c r="C12225" i="1"/>
  <c r="B12226" i="1"/>
  <c r="C12226" i="1"/>
  <c r="B12227" i="1"/>
  <c r="C12227" i="1"/>
  <c r="B12228" i="1"/>
  <c r="C12228" i="1"/>
  <c r="B12229" i="1"/>
  <c r="C12229" i="1"/>
  <c r="B12230" i="1"/>
  <c r="C12230" i="1"/>
  <c r="B12231" i="1"/>
  <c r="C12231" i="1"/>
  <c r="B12232" i="1"/>
  <c r="C12232" i="1"/>
  <c r="B12233" i="1"/>
  <c r="C12233" i="1"/>
  <c r="B12234" i="1"/>
  <c r="C12234" i="1"/>
  <c r="B12235" i="1"/>
  <c r="C12235" i="1"/>
  <c r="B12236" i="1"/>
  <c r="C12236" i="1"/>
  <c r="B12237" i="1"/>
  <c r="C12237" i="1"/>
  <c r="B12238" i="1"/>
  <c r="C12238" i="1"/>
  <c r="B12239" i="1"/>
  <c r="C12239" i="1"/>
  <c r="B12240" i="1"/>
  <c r="C12240" i="1"/>
  <c r="B12241" i="1"/>
  <c r="C12241" i="1"/>
  <c r="B12242" i="1"/>
  <c r="C12242" i="1"/>
  <c r="B12243" i="1"/>
  <c r="C12243" i="1"/>
  <c r="B12244" i="1"/>
  <c r="C12244" i="1"/>
  <c r="B12245" i="1"/>
  <c r="C12245" i="1"/>
  <c r="B12246" i="1"/>
  <c r="C12246" i="1"/>
  <c r="B12247" i="1"/>
  <c r="C12247" i="1"/>
  <c r="B12248" i="1"/>
  <c r="C12248" i="1"/>
  <c r="B12249" i="1"/>
  <c r="C12249" i="1"/>
  <c r="B12250" i="1"/>
  <c r="C12250" i="1"/>
  <c r="B12251" i="1"/>
  <c r="C12251" i="1"/>
  <c r="B12252" i="1"/>
  <c r="C12252" i="1"/>
  <c r="B12253" i="1"/>
  <c r="C12253" i="1"/>
  <c r="B12254" i="1"/>
  <c r="C12254" i="1"/>
  <c r="B12255" i="1"/>
  <c r="C12255" i="1"/>
  <c r="B12256" i="1"/>
  <c r="C12256" i="1"/>
  <c r="B12257" i="1"/>
  <c r="C12257" i="1"/>
  <c r="B12258" i="1"/>
  <c r="C12258" i="1"/>
  <c r="B12259" i="1"/>
  <c r="C12259" i="1"/>
  <c r="B12260" i="1"/>
  <c r="C12260" i="1"/>
  <c r="B12261" i="1"/>
  <c r="C12261" i="1"/>
  <c r="B12262" i="1"/>
  <c r="C12262" i="1"/>
  <c r="B12263" i="1"/>
  <c r="C12263" i="1"/>
  <c r="B12264" i="1"/>
  <c r="C12264" i="1"/>
  <c r="B12265" i="1"/>
  <c r="C12265" i="1"/>
  <c r="B12266" i="1"/>
  <c r="C12266" i="1"/>
  <c r="B12267" i="1"/>
  <c r="C12267" i="1"/>
  <c r="B12268" i="1"/>
  <c r="C12268" i="1"/>
  <c r="B12269" i="1"/>
  <c r="C12269" i="1"/>
  <c r="B12270" i="1"/>
  <c r="C12270" i="1"/>
  <c r="B12271" i="1"/>
  <c r="C12271" i="1"/>
  <c r="B12272" i="1"/>
  <c r="C12272" i="1"/>
  <c r="B12273" i="1"/>
  <c r="C12273" i="1"/>
  <c r="B12274" i="1"/>
  <c r="C12274" i="1"/>
  <c r="B12275" i="1"/>
  <c r="C12275" i="1"/>
  <c r="B12276" i="1"/>
  <c r="C12276" i="1"/>
  <c r="B12277" i="1"/>
  <c r="C12277" i="1"/>
  <c r="B12278" i="1"/>
  <c r="C12278" i="1"/>
  <c r="B12279" i="1"/>
  <c r="C12279" i="1"/>
  <c r="B12280" i="1"/>
  <c r="C12280" i="1"/>
  <c r="B12281" i="1"/>
  <c r="C12281" i="1"/>
  <c r="B12282" i="1"/>
  <c r="C12282" i="1"/>
  <c r="B12283" i="1"/>
  <c r="C12283" i="1"/>
  <c r="B12284" i="1"/>
  <c r="C12284" i="1"/>
  <c r="B12285" i="1"/>
  <c r="C12285" i="1"/>
  <c r="B12286" i="1"/>
  <c r="C12286" i="1"/>
  <c r="B12287" i="1"/>
  <c r="C12287" i="1"/>
  <c r="B12288" i="1"/>
  <c r="C12288" i="1"/>
  <c r="B12289" i="1"/>
  <c r="C12289" i="1"/>
  <c r="B12290" i="1"/>
  <c r="C12290" i="1"/>
  <c r="B12291" i="1"/>
  <c r="C12291" i="1"/>
  <c r="B12292" i="1"/>
  <c r="C12292" i="1"/>
  <c r="B12293" i="1"/>
  <c r="C12293" i="1"/>
  <c r="B12294" i="1"/>
  <c r="C12294" i="1"/>
  <c r="B12295" i="1"/>
  <c r="C12295" i="1"/>
  <c r="B12296" i="1"/>
  <c r="C12296" i="1"/>
  <c r="B12297" i="1"/>
  <c r="C12297" i="1"/>
  <c r="B12298" i="1"/>
  <c r="C12298" i="1"/>
  <c r="B12299" i="1"/>
  <c r="C12299" i="1"/>
  <c r="B12300" i="1"/>
  <c r="C12300" i="1"/>
  <c r="B12301" i="1"/>
  <c r="C12301" i="1"/>
  <c r="B12302" i="1"/>
  <c r="C12302" i="1"/>
  <c r="B12303" i="1"/>
  <c r="C12303" i="1"/>
  <c r="B12304" i="1"/>
  <c r="C12304" i="1"/>
  <c r="B12305" i="1"/>
  <c r="C12305" i="1"/>
  <c r="B12306" i="1"/>
  <c r="C12306" i="1"/>
  <c r="B12307" i="1"/>
  <c r="C12307" i="1"/>
  <c r="B12308" i="1"/>
  <c r="C12308" i="1"/>
  <c r="B12309" i="1"/>
  <c r="C12309" i="1"/>
  <c r="B12310" i="1"/>
  <c r="C12310" i="1"/>
  <c r="B12311" i="1"/>
  <c r="C12311" i="1"/>
  <c r="B12312" i="1"/>
  <c r="C12312" i="1"/>
  <c r="B12313" i="1"/>
  <c r="C12313" i="1"/>
  <c r="B12314" i="1"/>
  <c r="C12314" i="1"/>
  <c r="B12315" i="1"/>
  <c r="C12315" i="1"/>
  <c r="B12316" i="1"/>
  <c r="C12316" i="1"/>
  <c r="B12317" i="1"/>
  <c r="C12317" i="1"/>
  <c r="B12318" i="1"/>
  <c r="C12318" i="1"/>
  <c r="B12319" i="1"/>
  <c r="C12319" i="1"/>
  <c r="B12320" i="1"/>
  <c r="C12320" i="1"/>
  <c r="B12321" i="1"/>
  <c r="C12321" i="1"/>
  <c r="B12322" i="1"/>
  <c r="C12322" i="1"/>
  <c r="B12323" i="1"/>
  <c r="C12323" i="1"/>
  <c r="B12324" i="1"/>
  <c r="C12324" i="1"/>
  <c r="B12325" i="1"/>
  <c r="C12325" i="1"/>
  <c r="B12326" i="1"/>
  <c r="C12326" i="1"/>
  <c r="B12327" i="1"/>
  <c r="C12327" i="1"/>
  <c r="B12328" i="1"/>
  <c r="C12328" i="1"/>
  <c r="B12329" i="1"/>
  <c r="C12329" i="1"/>
  <c r="B12330" i="1"/>
  <c r="C12330" i="1"/>
  <c r="B12331" i="1"/>
  <c r="C12331" i="1"/>
  <c r="B12332" i="1"/>
  <c r="C12332" i="1"/>
  <c r="B12333" i="1"/>
  <c r="C12333" i="1"/>
  <c r="B12334" i="1"/>
  <c r="C12334" i="1"/>
  <c r="B12335" i="1"/>
  <c r="C12335" i="1"/>
  <c r="B12336" i="1"/>
  <c r="C12336" i="1"/>
  <c r="B12337" i="1"/>
  <c r="C12337" i="1"/>
  <c r="B12338" i="1"/>
  <c r="C12338" i="1"/>
  <c r="B12339" i="1"/>
  <c r="C12339" i="1"/>
  <c r="B12340" i="1"/>
  <c r="C12340" i="1"/>
  <c r="B12341" i="1"/>
  <c r="C12341" i="1"/>
  <c r="B12342" i="1"/>
  <c r="C12342" i="1"/>
  <c r="B12343" i="1"/>
  <c r="C12343" i="1"/>
  <c r="B12344" i="1"/>
  <c r="C12344" i="1"/>
  <c r="B12345" i="1"/>
  <c r="C12345" i="1"/>
  <c r="B12346" i="1"/>
  <c r="C12346" i="1"/>
  <c r="B12347" i="1"/>
  <c r="C12347" i="1"/>
  <c r="B12348" i="1"/>
  <c r="C12348" i="1"/>
  <c r="B12349" i="1"/>
  <c r="C12349" i="1"/>
  <c r="B12350" i="1"/>
  <c r="C12350" i="1"/>
  <c r="B12351" i="1"/>
  <c r="C12351" i="1"/>
  <c r="B12352" i="1"/>
  <c r="C12352" i="1"/>
  <c r="B12353" i="1"/>
  <c r="C12353" i="1"/>
  <c r="B12354" i="1"/>
  <c r="C12354" i="1"/>
  <c r="B12355" i="1"/>
  <c r="C12355" i="1"/>
  <c r="B12356" i="1"/>
  <c r="C12356" i="1"/>
  <c r="B12357" i="1"/>
  <c r="C12357" i="1"/>
  <c r="B12358" i="1"/>
  <c r="C12358" i="1"/>
  <c r="B12359" i="1"/>
  <c r="C12359" i="1"/>
  <c r="B12360" i="1"/>
  <c r="C12360" i="1"/>
  <c r="B12361" i="1"/>
  <c r="C12361" i="1"/>
  <c r="B12362" i="1"/>
  <c r="C12362" i="1"/>
  <c r="B12363" i="1"/>
  <c r="C12363" i="1"/>
  <c r="B12364" i="1"/>
  <c r="C12364" i="1"/>
  <c r="B12365" i="1"/>
  <c r="C12365" i="1"/>
  <c r="B12366" i="1"/>
  <c r="C12366" i="1"/>
  <c r="B12367" i="1"/>
  <c r="C12367" i="1"/>
  <c r="B12368" i="1"/>
  <c r="C12368" i="1"/>
  <c r="B12369" i="1"/>
  <c r="C12369" i="1"/>
  <c r="B12370" i="1"/>
  <c r="C12370" i="1"/>
  <c r="B12371" i="1"/>
  <c r="C12371" i="1"/>
  <c r="B12372" i="1"/>
  <c r="C12372" i="1"/>
  <c r="B12373" i="1"/>
  <c r="C12373" i="1"/>
  <c r="B12374" i="1"/>
  <c r="C12374" i="1"/>
  <c r="B12375" i="1"/>
  <c r="C12375" i="1"/>
  <c r="B12376" i="1"/>
  <c r="C12376" i="1"/>
  <c r="B12377" i="1"/>
  <c r="C12377" i="1"/>
  <c r="B12378" i="1"/>
  <c r="C12378" i="1"/>
  <c r="B12379" i="1"/>
  <c r="C12379" i="1"/>
  <c r="B12380" i="1"/>
  <c r="C12380" i="1"/>
  <c r="B12381" i="1"/>
  <c r="C12381" i="1"/>
  <c r="B12382" i="1"/>
  <c r="C12382" i="1"/>
  <c r="B12383" i="1"/>
  <c r="C12383" i="1"/>
  <c r="B12384" i="1"/>
  <c r="C12384" i="1"/>
  <c r="B12385" i="1"/>
  <c r="C12385" i="1"/>
  <c r="B12386" i="1"/>
  <c r="C12386" i="1"/>
  <c r="B12387" i="1"/>
  <c r="C12387" i="1"/>
  <c r="B12388" i="1"/>
  <c r="C12388" i="1"/>
  <c r="B12389" i="1"/>
  <c r="C12389" i="1"/>
  <c r="B12390" i="1"/>
  <c r="C12390" i="1"/>
  <c r="B12391" i="1"/>
  <c r="C12391" i="1"/>
  <c r="B12392" i="1"/>
  <c r="C12392" i="1"/>
  <c r="B12393" i="1"/>
  <c r="C12393" i="1"/>
  <c r="B12394" i="1"/>
  <c r="C12394" i="1"/>
  <c r="B12395" i="1"/>
  <c r="C12395" i="1"/>
  <c r="B12396" i="1"/>
  <c r="C12396" i="1"/>
  <c r="B12397" i="1"/>
  <c r="C12397" i="1"/>
  <c r="B12398" i="1"/>
  <c r="C12398" i="1"/>
  <c r="B12399" i="1"/>
  <c r="C12399" i="1"/>
  <c r="B12400" i="1"/>
  <c r="C12400" i="1"/>
  <c r="B12401" i="1"/>
  <c r="C12401" i="1"/>
  <c r="B12402" i="1"/>
  <c r="C12402" i="1"/>
  <c r="B12403" i="1"/>
  <c r="C12403" i="1"/>
  <c r="B12404" i="1"/>
  <c r="C12404" i="1"/>
  <c r="B12405" i="1"/>
  <c r="C12405" i="1"/>
  <c r="B12406" i="1"/>
  <c r="C12406" i="1"/>
  <c r="B12407" i="1"/>
  <c r="C12407" i="1"/>
  <c r="B12408" i="1"/>
  <c r="C12408" i="1"/>
  <c r="B12409" i="1"/>
  <c r="C12409" i="1"/>
  <c r="B12410" i="1"/>
  <c r="C12410" i="1"/>
  <c r="B12411" i="1"/>
  <c r="C12411" i="1"/>
  <c r="B12412" i="1"/>
  <c r="C12412" i="1"/>
  <c r="B12413" i="1"/>
  <c r="C12413" i="1"/>
  <c r="B12414" i="1"/>
  <c r="C12414" i="1"/>
  <c r="B12415" i="1"/>
  <c r="C12415" i="1"/>
  <c r="B12416" i="1"/>
  <c r="C12416" i="1"/>
  <c r="B12417" i="1"/>
  <c r="C12417" i="1"/>
  <c r="B12418" i="1"/>
  <c r="C12418" i="1"/>
  <c r="B12419" i="1"/>
  <c r="C12419" i="1"/>
  <c r="B12420" i="1"/>
  <c r="C12420" i="1"/>
  <c r="B12421" i="1"/>
  <c r="C12421" i="1"/>
  <c r="B12422" i="1"/>
  <c r="C12422" i="1"/>
  <c r="B12423" i="1"/>
  <c r="C12423" i="1"/>
  <c r="B12424" i="1"/>
  <c r="C12424" i="1"/>
  <c r="B12425" i="1"/>
  <c r="C12425" i="1"/>
  <c r="B12426" i="1"/>
  <c r="C12426" i="1"/>
  <c r="B12427" i="1"/>
  <c r="C12427" i="1"/>
  <c r="B12428" i="1"/>
  <c r="C12428" i="1"/>
  <c r="B12429" i="1"/>
  <c r="C12429" i="1"/>
  <c r="B12430" i="1"/>
  <c r="C12430" i="1"/>
  <c r="B12431" i="1"/>
  <c r="C12431" i="1"/>
  <c r="B12432" i="1"/>
  <c r="C12432" i="1"/>
  <c r="B12433" i="1"/>
  <c r="C12433" i="1"/>
  <c r="B12434" i="1"/>
  <c r="C12434" i="1"/>
  <c r="B12435" i="1"/>
  <c r="C12435" i="1"/>
  <c r="B12436" i="1"/>
  <c r="C12436" i="1"/>
  <c r="B12437" i="1"/>
  <c r="C12437" i="1"/>
  <c r="B12438" i="1"/>
  <c r="C12438" i="1"/>
  <c r="B12439" i="1"/>
  <c r="C12439" i="1"/>
  <c r="B12440" i="1"/>
  <c r="C12440" i="1"/>
  <c r="B12441" i="1"/>
  <c r="C12441" i="1"/>
  <c r="B12442" i="1"/>
  <c r="C12442" i="1"/>
  <c r="B12443" i="1"/>
  <c r="C12443" i="1"/>
  <c r="B12444" i="1"/>
  <c r="C12444" i="1"/>
  <c r="B12445" i="1"/>
  <c r="C12445" i="1"/>
  <c r="B12446" i="1"/>
  <c r="C12446" i="1"/>
  <c r="B12447" i="1"/>
  <c r="C12447" i="1"/>
  <c r="B12448" i="1"/>
  <c r="C12448" i="1"/>
  <c r="B12449" i="1"/>
  <c r="C12449" i="1"/>
  <c r="B12450" i="1"/>
  <c r="C12450" i="1"/>
  <c r="B12451" i="1"/>
  <c r="C12451" i="1"/>
  <c r="B12452" i="1"/>
  <c r="C12452" i="1"/>
  <c r="B12453" i="1"/>
  <c r="C12453" i="1"/>
  <c r="B12454" i="1"/>
  <c r="C12454" i="1"/>
  <c r="B12455" i="1"/>
  <c r="C12455" i="1"/>
  <c r="B12456" i="1"/>
  <c r="C12456" i="1"/>
  <c r="B12457" i="1"/>
  <c r="C12457" i="1"/>
  <c r="B12458" i="1"/>
  <c r="C12458" i="1"/>
  <c r="B12459" i="1"/>
  <c r="C12459" i="1"/>
  <c r="B12460" i="1"/>
  <c r="C12460" i="1"/>
  <c r="B12461" i="1"/>
  <c r="C12461" i="1"/>
  <c r="B12462" i="1"/>
  <c r="C12462" i="1"/>
  <c r="B12463" i="1"/>
  <c r="C12463" i="1"/>
  <c r="B12464" i="1"/>
  <c r="C12464" i="1"/>
  <c r="B12465" i="1"/>
  <c r="C12465" i="1"/>
  <c r="B12466" i="1"/>
  <c r="C12466" i="1"/>
  <c r="B12467" i="1"/>
  <c r="C12467" i="1"/>
  <c r="B12468" i="1"/>
  <c r="C12468" i="1"/>
  <c r="B12469" i="1"/>
  <c r="C12469" i="1"/>
  <c r="B12470" i="1"/>
  <c r="C12470" i="1"/>
  <c r="B12471" i="1"/>
  <c r="C12471" i="1"/>
  <c r="B12472" i="1"/>
  <c r="C12472" i="1"/>
  <c r="B12473" i="1"/>
  <c r="C12473" i="1"/>
  <c r="B12474" i="1"/>
  <c r="C12474" i="1"/>
  <c r="B12475" i="1"/>
  <c r="C12475" i="1"/>
  <c r="B12476" i="1"/>
  <c r="C12476" i="1"/>
  <c r="B12477" i="1"/>
  <c r="C12477" i="1"/>
  <c r="B12478" i="1"/>
  <c r="C12478" i="1"/>
  <c r="B12479" i="1"/>
  <c r="C12479" i="1"/>
  <c r="B12480" i="1"/>
  <c r="C12480" i="1"/>
  <c r="B12481" i="1"/>
  <c r="C12481" i="1"/>
  <c r="B12482" i="1"/>
  <c r="C12482" i="1"/>
  <c r="B12483" i="1"/>
  <c r="C12483" i="1"/>
  <c r="B12484" i="1"/>
  <c r="C12484" i="1"/>
  <c r="B12485" i="1"/>
  <c r="C12485" i="1"/>
  <c r="B12486" i="1"/>
  <c r="C12486" i="1"/>
  <c r="B12487" i="1"/>
  <c r="C12487" i="1"/>
  <c r="B12488" i="1"/>
  <c r="C12488" i="1"/>
  <c r="B12489" i="1"/>
  <c r="C12489" i="1"/>
  <c r="B12490" i="1"/>
  <c r="C12490" i="1"/>
  <c r="B12491" i="1"/>
  <c r="C12491" i="1"/>
  <c r="B12492" i="1"/>
  <c r="C12492" i="1"/>
  <c r="B12493" i="1"/>
  <c r="C12493" i="1"/>
  <c r="B12494" i="1"/>
  <c r="C12494" i="1"/>
  <c r="B12495" i="1"/>
  <c r="C12495" i="1"/>
  <c r="B12496" i="1"/>
  <c r="C12496" i="1"/>
  <c r="B12497" i="1"/>
  <c r="C12497" i="1"/>
  <c r="B12498" i="1"/>
  <c r="C12498" i="1"/>
  <c r="B12499" i="1"/>
  <c r="C12499" i="1"/>
  <c r="B12500" i="1"/>
  <c r="C12500" i="1"/>
  <c r="B12501" i="1"/>
  <c r="C12501" i="1"/>
  <c r="B12502" i="1"/>
  <c r="C12502" i="1"/>
  <c r="B12503" i="1"/>
  <c r="C12503" i="1"/>
  <c r="B12504" i="1"/>
  <c r="C12504" i="1"/>
  <c r="B12505" i="1"/>
  <c r="C12505" i="1"/>
  <c r="B12506" i="1"/>
  <c r="C12506" i="1"/>
  <c r="B12507" i="1"/>
  <c r="C12507" i="1"/>
  <c r="B12508" i="1"/>
  <c r="C12508" i="1"/>
  <c r="B12509" i="1"/>
  <c r="C12509" i="1"/>
  <c r="B12510" i="1"/>
  <c r="C12510" i="1"/>
  <c r="B12511" i="1"/>
  <c r="C12511" i="1"/>
  <c r="B12512" i="1"/>
  <c r="C12512" i="1"/>
  <c r="B12513" i="1"/>
  <c r="C12513" i="1"/>
  <c r="B12514" i="1"/>
  <c r="C12514" i="1"/>
  <c r="B12515" i="1"/>
  <c r="C12515" i="1"/>
  <c r="B12516" i="1"/>
  <c r="C12516" i="1"/>
  <c r="B12517" i="1"/>
  <c r="C12517" i="1"/>
  <c r="B12518" i="1"/>
  <c r="C12518" i="1"/>
  <c r="B12519" i="1"/>
  <c r="C12519" i="1"/>
  <c r="B12520" i="1"/>
  <c r="C12520" i="1"/>
  <c r="B12521" i="1"/>
  <c r="C12521" i="1"/>
  <c r="B12522" i="1"/>
  <c r="C12522" i="1"/>
  <c r="B12523" i="1"/>
  <c r="C12523" i="1"/>
  <c r="B12524" i="1"/>
  <c r="C12524" i="1"/>
  <c r="B12525" i="1"/>
  <c r="C12525" i="1"/>
  <c r="B12526" i="1"/>
  <c r="C12526" i="1"/>
  <c r="B12527" i="1"/>
  <c r="C12527" i="1"/>
  <c r="B12528" i="1"/>
  <c r="C12528" i="1"/>
  <c r="B12529" i="1"/>
  <c r="C12529" i="1"/>
  <c r="B12530" i="1"/>
  <c r="C12530" i="1"/>
  <c r="B12531" i="1"/>
  <c r="C12531" i="1"/>
  <c r="B12532" i="1"/>
  <c r="C12532" i="1"/>
  <c r="B12533" i="1"/>
  <c r="C12533" i="1"/>
  <c r="B12534" i="1"/>
  <c r="C12534" i="1"/>
  <c r="B12535" i="1"/>
  <c r="C12535" i="1"/>
  <c r="B12536" i="1"/>
  <c r="C12536" i="1"/>
  <c r="B12537" i="1"/>
  <c r="C12537" i="1"/>
  <c r="B12538" i="1"/>
  <c r="C12538" i="1"/>
  <c r="B12539" i="1"/>
  <c r="C12539" i="1"/>
  <c r="B12540" i="1"/>
  <c r="C12540" i="1"/>
  <c r="B12541" i="1"/>
  <c r="C12541" i="1"/>
  <c r="B12542" i="1"/>
  <c r="C12542" i="1"/>
  <c r="B12543" i="1"/>
  <c r="C12543" i="1"/>
  <c r="B12544" i="1"/>
  <c r="C12544" i="1"/>
  <c r="B12545" i="1"/>
  <c r="C12545" i="1"/>
  <c r="B12546" i="1"/>
  <c r="C12546" i="1"/>
  <c r="B12547" i="1"/>
  <c r="C12547" i="1"/>
  <c r="B12548" i="1"/>
  <c r="C12548" i="1"/>
  <c r="B12549" i="1"/>
  <c r="C12549" i="1"/>
  <c r="B12550" i="1"/>
  <c r="C12550" i="1"/>
  <c r="B12551" i="1"/>
  <c r="C12551" i="1"/>
  <c r="B12552" i="1"/>
  <c r="C12552" i="1"/>
  <c r="B12553" i="1"/>
  <c r="C12553" i="1"/>
  <c r="B12554" i="1"/>
  <c r="C12554" i="1"/>
  <c r="B12555" i="1"/>
  <c r="C12555" i="1"/>
  <c r="B12556" i="1"/>
  <c r="C12556" i="1"/>
  <c r="B12557" i="1"/>
  <c r="C12557" i="1"/>
  <c r="B12558" i="1"/>
  <c r="C12558" i="1"/>
  <c r="B12559" i="1"/>
  <c r="C12559" i="1"/>
  <c r="B12560" i="1"/>
  <c r="C12560" i="1"/>
  <c r="B12561" i="1"/>
  <c r="C12561" i="1"/>
  <c r="B12562" i="1"/>
  <c r="C12562" i="1"/>
  <c r="B12563" i="1"/>
  <c r="C12563" i="1"/>
  <c r="B12564" i="1"/>
  <c r="C12564" i="1"/>
  <c r="B12565" i="1"/>
  <c r="C12565" i="1"/>
  <c r="B12566" i="1"/>
  <c r="C12566" i="1"/>
  <c r="B12567" i="1"/>
  <c r="C12567" i="1"/>
  <c r="B12568" i="1"/>
  <c r="C12568" i="1"/>
  <c r="B12569" i="1"/>
  <c r="C12569" i="1"/>
  <c r="B12570" i="1"/>
  <c r="C12570" i="1"/>
  <c r="B12571" i="1"/>
  <c r="C12571" i="1"/>
  <c r="B12572" i="1"/>
  <c r="C12572" i="1"/>
  <c r="B12573" i="1"/>
  <c r="C12573" i="1"/>
  <c r="B12574" i="1"/>
  <c r="C12574" i="1"/>
  <c r="B12575" i="1"/>
  <c r="C12575" i="1"/>
  <c r="B12576" i="1"/>
  <c r="C12576" i="1"/>
  <c r="B12577" i="1"/>
  <c r="C12577" i="1"/>
  <c r="B12578" i="1"/>
  <c r="C12578" i="1"/>
  <c r="B12579" i="1"/>
  <c r="C12579" i="1"/>
  <c r="B12580" i="1"/>
  <c r="C12580" i="1"/>
  <c r="B12581" i="1"/>
  <c r="C12581" i="1"/>
  <c r="B12582" i="1"/>
  <c r="C12582" i="1"/>
  <c r="B12583" i="1"/>
  <c r="C12583" i="1"/>
  <c r="B12584" i="1"/>
  <c r="C12584" i="1"/>
  <c r="B12585" i="1"/>
  <c r="C12585" i="1"/>
  <c r="B12586" i="1"/>
  <c r="C12586" i="1"/>
  <c r="B12587" i="1"/>
  <c r="C12587" i="1"/>
  <c r="B12588" i="1"/>
  <c r="C12588" i="1"/>
  <c r="B12589" i="1"/>
  <c r="C12589" i="1"/>
  <c r="B12590" i="1"/>
  <c r="C12590" i="1"/>
  <c r="B12591" i="1"/>
  <c r="C12591" i="1"/>
  <c r="B12592" i="1"/>
  <c r="C12592" i="1"/>
  <c r="B12593" i="1"/>
  <c r="C12593" i="1"/>
  <c r="B12594" i="1"/>
  <c r="C12594" i="1"/>
  <c r="B12595" i="1"/>
  <c r="C12595" i="1"/>
  <c r="B12596" i="1"/>
  <c r="C12596" i="1"/>
  <c r="B12597" i="1"/>
  <c r="C12597" i="1"/>
  <c r="B12598" i="1"/>
  <c r="C12598" i="1"/>
  <c r="B12599" i="1"/>
  <c r="C12599" i="1"/>
  <c r="B12600" i="1"/>
  <c r="C12600" i="1"/>
  <c r="B12601" i="1"/>
  <c r="C12601" i="1"/>
  <c r="B12602" i="1"/>
  <c r="C12602" i="1"/>
  <c r="B12603" i="1"/>
  <c r="C12603" i="1"/>
  <c r="B12604" i="1"/>
  <c r="C12604" i="1"/>
  <c r="B12605" i="1"/>
  <c r="C12605" i="1"/>
  <c r="B12606" i="1"/>
  <c r="C12606" i="1"/>
  <c r="B12607" i="1"/>
  <c r="C12607" i="1"/>
  <c r="B12608" i="1"/>
  <c r="C12608" i="1"/>
  <c r="B12609" i="1"/>
  <c r="C12609" i="1"/>
  <c r="B12610" i="1"/>
  <c r="C12610" i="1"/>
  <c r="B12611" i="1"/>
  <c r="C12611" i="1"/>
  <c r="B12612" i="1"/>
  <c r="C12612" i="1"/>
  <c r="B12613" i="1"/>
  <c r="C12613" i="1"/>
  <c r="B12614" i="1"/>
  <c r="C12614" i="1"/>
  <c r="B12615" i="1"/>
  <c r="C12615" i="1"/>
  <c r="B12616" i="1"/>
  <c r="C12616" i="1"/>
  <c r="B12617" i="1"/>
  <c r="C12617" i="1"/>
  <c r="B12618" i="1"/>
  <c r="C12618" i="1"/>
  <c r="B12619" i="1"/>
  <c r="C12619" i="1"/>
  <c r="B12620" i="1"/>
  <c r="C12620" i="1"/>
  <c r="B12621" i="1"/>
  <c r="C12621" i="1"/>
  <c r="B12622" i="1"/>
  <c r="C12622" i="1"/>
  <c r="B12623" i="1"/>
  <c r="C12623" i="1"/>
  <c r="B12624" i="1"/>
  <c r="C12624" i="1"/>
  <c r="B12625" i="1"/>
  <c r="C12625" i="1"/>
  <c r="B12626" i="1"/>
  <c r="C12626" i="1"/>
  <c r="B12627" i="1"/>
  <c r="C12627" i="1"/>
  <c r="B12628" i="1"/>
  <c r="C12628" i="1"/>
  <c r="B12629" i="1"/>
  <c r="C12629" i="1"/>
  <c r="B12630" i="1"/>
  <c r="C12630" i="1"/>
  <c r="B12631" i="1"/>
  <c r="C12631" i="1"/>
  <c r="B12632" i="1"/>
  <c r="C12632" i="1"/>
  <c r="B12633" i="1"/>
  <c r="C12633" i="1"/>
  <c r="B12634" i="1"/>
  <c r="C12634" i="1"/>
  <c r="B12635" i="1"/>
  <c r="C12635" i="1"/>
  <c r="B12636" i="1"/>
  <c r="C12636" i="1"/>
  <c r="B12637" i="1"/>
  <c r="C12637" i="1"/>
  <c r="B12638" i="1"/>
  <c r="C12638" i="1"/>
  <c r="B12639" i="1"/>
  <c r="C12639" i="1"/>
  <c r="B12640" i="1"/>
  <c r="C12640" i="1"/>
  <c r="B12641" i="1"/>
  <c r="C12641" i="1"/>
  <c r="B12642" i="1"/>
  <c r="C12642" i="1"/>
  <c r="B12643" i="1"/>
  <c r="C12643" i="1"/>
  <c r="B12644" i="1"/>
  <c r="C12644" i="1"/>
  <c r="B12645" i="1"/>
  <c r="C12645" i="1"/>
  <c r="B12646" i="1"/>
  <c r="C12646" i="1"/>
  <c r="B12647" i="1"/>
  <c r="C12647" i="1"/>
  <c r="B12648" i="1"/>
  <c r="C12648" i="1"/>
  <c r="B12649" i="1"/>
  <c r="C12649" i="1"/>
  <c r="B12650" i="1"/>
  <c r="C12650" i="1"/>
  <c r="B12651" i="1"/>
  <c r="C12651" i="1"/>
  <c r="B12652" i="1"/>
  <c r="C12652" i="1"/>
  <c r="B12653" i="1"/>
  <c r="C12653" i="1"/>
  <c r="B12654" i="1"/>
  <c r="C12654" i="1"/>
  <c r="B12655" i="1"/>
  <c r="C12655" i="1"/>
  <c r="B12656" i="1"/>
  <c r="C12656" i="1"/>
  <c r="B12657" i="1"/>
  <c r="C12657" i="1"/>
  <c r="B12658" i="1"/>
  <c r="C12658" i="1"/>
  <c r="B12659" i="1"/>
  <c r="C12659" i="1"/>
  <c r="B12660" i="1"/>
  <c r="C12660" i="1"/>
  <c r="B12661" i="1"/>
  <c r="C12661" i="1"/>
  <c r="B12662" i="1"/>
  <c r="C12662" i="1"/>
  <c r="B12663" i="1"/>
  <c r="C12663" i="1"/>
  <c r="B12664" i="1"/>
  <c r="C12664" i="1"/>
  <c r="B12665" i="1"/>
  <c r="C12665" i="1"/>
  <c r="B12666" i="1"/>
  <c r="C12666" i="1"/>
  <c r="B12667" i="1"/>
  <c r="C12667" i="1"/>
  <c r="B12668" i="1"/>
  <c r="C12668" i="1"/>
  <c r="B12669" i="1"/>
  <c r="C12669" i="1"/>
  <c r="B12670" i="1"/>
  <c r="C12670" i="1"/>
  <c r="B12671" i="1"/>
  <c r="C12671" i="1"/>
  <c r="B12672" i="1"/>
  <c r="C12672" i="1"/>
  <c r="B12673" i="1"/>
  <c r="C12673" i="1"/>
  <c r="B12674" i="1"/>
  <c r="C12674" i="1"/>
  <c r="B12675" i="1"/>
  <c r="C12675" i="1"/>
  <c r="B12676" i="1"/>
  <c r="C12676" i="1"/>
  <c r="B12677" i="1"/>
  <c r="C12677" i="1"/>
  <c r="B12678" i="1"/>
  <c r="C12678" i="1"/>
  <c r="B12679" i="1"/>
  <c r="C12679" i="1"/>
  <c r="B12680" i="1"/>
  <c r="C12680" i="1"/>
  <c r="B12681" i="1"/>
  <c r="C12681" i="1"/>
  <c r="B12682" i="1"/>
  <c r="C12682" i="1"/>
  <c r="B12683" i="1"/>
  <c r="C12683" i="1"/>
  <c r="B12684" i="1"/>
  <c r="C12684" i="1"/>
  <c r="B12685" i="1"/>
  <c r="C12685" i="1"/>
  <c r="B12686" i="1"/>
  <c r="C12686" i="1"/>
  <c r="B12687" i="1"/>
  <c r="C12687" i="1"/>
  <c r="B12688" i="1"/>
  <c r="C12688" i="1"/>
  <c r="B12689" i="1"/>
  <c r="C12689" i="1"/>
  <c r="B12690" i="1"/>
  <c r="C12690" i="1"/>
  <c r="B12691" i="1"/>
  <c r="C12691" i="1"/>
  <c r="B12692" i="1"/>
  <c r="C12692" i="1"/>
  <c r="B12693" i="1"/>
  <c r="C12693" i="1"/>
  <c r="B12694" i="1"/>
  <c r="C12694" i="1"/>
  <c r="B12695" i="1"/>
  <c r="C12695" i="1"/>
  <c r="B12696" i="1"/>
  <c r="C12696" i="1"/>
  <c r="B12697" i="1"/>
  <c r="C12697" i="1"/>
  <c r="B12698" i="1"/>
  <c r="C12698" i="1"/>
  <c r="B12699" i="1"/>
  <c r="C12699" i="1"/>
  <c r="B12700" i="1"/>
  <c r="C12700" i="1"/>
  <c r="B12701" i="1"/>
  <c r="C12701" i="1"/>
  <c r="B12702" i="1"/>
  <c r="C12702" i="1"/>
  <c r="B12703" i="1"/>
  <c r="C12703" i="1"/>
  <c r="B12704" i="1"/>
  <c r="C12704" i="1"/>
  <c r="B12705" i="1"/>
  <c r="C12705" i="1"/>
  <c r="B12706" i="1"/>
  <c r="C12706" i="1"/>
  <c r="B12707" i="1"/>
  <c r="C12707" i="1"/>
  <c r="B12708" i="1"/>
  <c r="C12708" i="1"/>
  <c r="B12709" i="1"/>
  <c r="C12709" i="1"/>
  <c r="B12710" i="1"/>
  <c r="C12710" i="1"/>
  <c r="B12711" i="1"/>
  <c r="C12711" i="1"/>
  <c r="B12712" i="1"/>
  <c r="C12712" i="1"/>
  <c r="B12713" i="1"/>
  <c r="C12713" i="1"/>
  <c r="B12714" i="1"/>
  <c r="C12714" i="1"/>
  <c r="B12715" i="1"/>
  <c r="C12715" i="1"/>
  <c r="B12716" i="1"/>
  <c r="C12716" i="1"/>
  <c r="B12717" i="1"/>
  <c r="C12717" i="1"/>
  <c r="B12718" i="1"/>
  <c r="C12718" i="1"/>
  <c r="B12719" i="1"/>
  <c r="C12719" i="1"/>
  <c r="B12720" i="1"/>
  <c r="C12720" i="1"/>
  <c r="B12721" i="1"/>
  <c r="C12721" i="1"/>
  <c r="B12722" i="1"/>
  <c r="C12722" i="1"/>
  <c r="B12723" i="1"/>
  <c r="C12723" i="1"/>
  <c r="B12724" i="1"/>
  <c r="C12724" i="1"/>
  <c r="B12725" i="1"/>
  <c r="C12725" i="1"/>
  <c r="B12726" i="1"/>
  <c r="C12726" i="1"/>
  <c r="B12727" i="1"/>
  <c r="C12727" i="1"/>
  <c r="B12728" i="1"/>
  <c r="C12728" i="1"/>
  <c r="B12729" i="1"/>
  <c r="C12729" i="1"/>
  <c r="B12730" i="1"/>
  <c r="C12730" i="1"/>
</calcChain>
</file>

<file path=xl/sharedStrings.xml><?xml version="1.0" encoding="utf-8"?>
<sst xmlns="http://schemas.openxmlformats.org/spreadsheetml/2006/main" count="50066" uniqueCount="5177">
  <si>
    <t>check dt</t>
  </si>
  <si>
    <t>check nbr</t>
  </si>
  <si>
    <t>vendor nbr</t>
  </si>
  <si>
    <t>vendor name</t>
  </si>
  <si>
    <t>net expend amt</t>
  </si>
  <si>
    <t>trans dt</t>
  </si>
  <si>
    <t>account nbr</t>
  </si>
  <si>
    <t>cf_rsn</t>
  </si>
  <si>
    <t>fund descr</t>
  </si>
  <si>
    <t>RETURNED CHECKS</t>
  </si>
  <si>
    <t>240-00-5751.01-000-400000</t>
  </si>
  <si>
    <t>returned check</t>
  </si>
  <si>
    <t>FOOD SERVICE</t>
  </si>
  <si>
    <t>WORKERS COMP FUND</t>
  </si>
  <si>
    <t>755-41-6429.00-999-499000</t>
  </si>
  <si>
    <t>WORKERS COMP</t>
  </si>
  <si>
    <t>RETURNED CHECK</t>
  </si>
  <si>
    <t>WORK COMP- BENEFITS</t>
  </si>
  <si>
    <t>I &amp; S FUND</t>
  </si>
  <si>
    <t>199-00-2110.04-000-400000</t>
  </si>
  <si>
    <t>TAX018-TAX019</t>
  </si>
  <si>
    <t>GENERAL FUND</t>
  </si>
  <si>
    <t>CISD</t>
  </si>
  <si>
    <t>865-00-2191.01-041-499000</t>
  </si>
  <si>
    <t>4/29 TO SCARBOROUGH FAIR</t>
  </si>
  <si>
    <t>STUDENT ACTIVITY FUND</t>
  </si>
  <si>
    <t>CISD OPERATING FUND</t>
  </si>
  <si>
    <t>163-00-1261.00-000-400000</t>
  </si>
  <si>
    <t>VOIDED JUNE CHECK</t>
  </si>
  <si>
    <t>PAYROLL CLEARING</t>
  </si>
  <si>
    <t>TAX016-TAX017</t>
  </si>
  <si>
    <t>163-00-2171.25-000-400000</t>
  </si>
  <si>
    <t>164-00-2171.25-000-400000</t>
  </si>
  <si>
    <t>FINANCE CLEARING</t>
  </si>
  <si>
    <t>163-00-2159.00-125-400000</t>
  </si>
  <si>
    <t xml:space="preserve">CORSICANA CHILD </t>
  </si>
  <si>
    <t>461-36-6499.00-102-499000</t>
  </si>
  <si>
    <t>COOKIES FOR OPEN HOUSE</t>
  </si>
  <si>
    <t>CAMPUS ACTIVITY FUNDS</t>
  </si>
  <si>
    <t>461-36-6499.00-107-499000</t>
  </si>
  <si>
    <t xml:space="preserve">MEALS- FOSTER </t>
  </si>
  <si>
    <t>461-36-6499.12-001-499000</t>
  </si>
  <si>
    <t>BUS TRANSPORTATION</t>
  </si>
  <si>
    <t>461-00-5755.07-001-400000</t>
  </si>
  <si>
    <t>BIGGS- NSF</t>
  </si>
  <si>
    <t>865-00-2191.03-001-400000</t>
  </si>
  <si>
    <t>FRANCIA- NSF</t>
  </si>
  <si>
    <t>CONGER- NSF</t>
  </si>
  <si>
    <t>865-00-2191.07-001-400000</t>
  </si>
  <si>
    <t>WINFREY- NSF</t>
  </si>
  <si>
    <t>461-00-5755.12-001-400000</t>
  </si>
  <si>
    <t>FLEENOR- UNCOLL FUNDS</t>
  </si>
  <si>
    <t>PAYROLL</t>
  </si>
  <si>
    <t>199-00-2171.99-000-400000</t>
  </si>
  <si>
    <t>HNS ADVANCE</t>
  </si>
  <si>
    <t>TEXPOOL</t>
  </si>
  <si>
    <t>199-00-1105.00-000-400000</t>
  </si>
  <si>
    <t>599-00-1105.00-000-400000</t>
  </si>
  <si>
    <t>DEBT SERVICE</t>
  </si>
  <si>
    <t>240-00-1105.00-000-400000</t>
  </si>
  <si>
    <t>181-00-1411.00-000-400000</t>
  </si>
  <si>
    <t>ATHLETICS</t>
  </si>
  <si>
    <t>185-00-1411.00-000-400000</t>
  </si>
  <si>
    <t>STADIUM MANAGEMENT</t>
  </si>
  <si>
    <t>199-00-1411.00-000-400000</t>
  </si>
  <si>
    <t>211-00-1411.00-000-400000</t>
  </si>
  <si>
    <t>TITLE I</t>
  </si>
  <si>
    <t>224-00-1411.00-000-400000</t>
  </si>
  <si>
    <t>IDEA B FORMULA</t>
  </si>
  <si>
    <t>240-00-1411.00-000-400000</t>
  </si>
  <si>
    <t>244-00-1411.00-000-400000</t>
  </si>
  <si>
    <t>VOCATIONAL BASIC GRANT</t>
  </si>
  <si>
    <t>255-00-1411.00-000-400000</t>
  </si>
  <si>
    <t>TITLE II-A TPTR</t>
  </si>
  <si>
    <t>263-00-1411.00-000-400000</t>
  </si>
  <si>
    <t>TITLE III-A LEP</t>
  </si>
  <si>
    <t>315-00-1411.00-000-400000</t>
  </si>
  <si>
    <t>IDEA B DISCRETIONARY</t>
  </si>
  <si>
    <t>435-00-1411.00-000-400000</t>
  </si>
  <si>
    <t>DEAF ED- FOUNDATION</t>
  </si>
  <si>
    <t>181-00-2171.99-000-400000</t>
  </si>
  <si>
    <t>185-00-2171.00-000-400000</t>
  </si>
  <si>
    <t>211-00-2171.00-000-400000</t>
  </si>
  <si>
    <t>224-00-2171.00-000-400000</t>
  </si>
  <si>
    <t>240-00-2171.99-000-400000</t>
  </si>
  <si>
    <t>244-00-2171.00-000-400000</t>
  </si>
  <si>
    <t>255-00-2171.00-000-400000</t>
  </si>
  <si>
    <t>263-00-2171.99-000-400000</t>
  </si>
  <si>
    <t>315-00-2171.00-000-400000</t>
  </si>
  <si>
    <t>435-00-2171.99-000-400000</t>
  </si>
  <si>
    <t>LOGIC INVESTMENTS</t>
  </si>
  <si>
    <t>ADDITIONAL CHECK</t>
  </si>
  <si>
    <t>163-00-2153.00-015-400000</t>
  </si>
  <si>
    <t>EXCESS GROUP L&amp;H</t>
  </si>
  <si>
    <t>EMPLOYEE SURCHARGE</t>
  </si>
  <si>
    <t>461-00-5742.00-950-400000</t>
  </si>
  <si>
    <t>CORRECT DEC TRANSFER</t>
  </si>
  <si>
    <t>TAX020</t>
  </si>
  <si>
    <t>CNB</t>
  </si>
  <si>
    <t>199-41-6499.00-750-499000</t>
  </si>
  <si>
    <t>IRON KEY</t>
  </si>
  <si>
    <t>CORRECT AMOUNT</t>
  </si>
  <si>
    <t>865-00-2191.04-001-400000</t>
  </si>
  <si>
    <t>BUS TO GOLDWAITE</t>
  </si>
  <si>
    <t>US BANK</t>
  </si>
  <si>
    <t>599-71-6511.04-999-499000</t>
  </si>
  <si>
    <t>599-71-6511.05-999-499000</t>
  </si>
  <si>
    <t>599-71-6521.04-999-499000</t>
  </si>
  <si>
    <t>599-71-6521.05-999-499000</t>
  </si>
  <si>
    <t>REGIONS BANK</t>
  </si>
  <si>
    <t>599-71-6511.06-999-499000</t>
  </si>
  <si>
    <t>599-71-6511.09-999-499000</t>
  </si>
  <si>
    <t>599-71-6511.12-999-499000</t>
  </si>
  <si>
    <t>599-71-6521.06-999-499000</t>
  </si>
  <si>
    <t>599-71-6521.09-999-499000</t>
  </si>
  <si>
    <t>599-71-6521.12-999-499000</t>
  </si>
  <si>
    <t>599-71-6521.13-999-499000</t>
  </si>
  <si>
    <t>TAX022-TAX03</t>
  </si>
  <si>
    <t>DUPLICATE</t>
  </si>
  <si>
    <t>461-36-6499.00-103-499000</t>
  </si>
  <si>
    <t>461-36-6499.05-850-499189</t>
  </si>
  <si>
    <t>BUSES FOR PEROT MUSEUM</t>
  </si>
  <si>
    <t>865-00-2191.50-001-400000</t>
  </si>
  <si>
    <t>2/26 TO UT ARLINGTON</t>
  </si>
  <si>
    <t>461-36-6399.02-042-499000</t>
  </si>
  <si>
    <t>2/25-2/26 TO TSTC WACO</t>
  </si>
  <si>
    <t>865-00-2191.29-001-400000</t>
  </si>
  <si>
    <t>4/8 TO DR PEPPER STADIUM</t>
  </si>
  <si>
    <t>199-11-6499.00-103-411000</t>
  </si>
  <si>
    <t>STUDENT INCENTIVES</t>
  </si>
  <si>
    <t>186-00-1411.00-000-400000</t>
  </si>
  <si>
    <t xml:space="preserve">GEAR UP GRANT THROUGH </t>
  </si>
  <si>
    <t>SACK LUNCHES</t>
  </si>
  <si>
    <t>ICE CREAM</t>
  </si>
  <si>
    <t>186-00-2171.00-000-400000</t>
  </si>
  <si>
    <t>865-00-2191.12-001-400000</t>
  </si>
  <si>
    <t>4/11-4/12 TO TARRANT CO.</t>
  </si>
  <si>
    <t>199-41-6399.00-750-499000</t>
  </si>
  <si>
    <t>TAX025</t>
  </si>
  <si>
    <t>DEPOSIT SLIPS</t>
  </si>
  <si>
    <t>865-00-2191.02-001-400000</t>
  </si>
  <si>
    <t xml:space="preserve">3/21-3/23 TO HOUSTON </t>
  </si>
  <si>
    <t xml:space="preserve">4/9 TO STEPHENVILLE </t>
  </si>
  <si>
    <t>865-00-2191.49-001-400000</t>
  </si>
  <si>
    <t>4/22 TO T COLONY ACT030</t>
  </si>
  <si>
    <t>461-36-6399.03-042-499000</t>
  </si>
  <si>
    <t>5/27 TO ATHENS ACT031</t>
  </si>
  <si>
    <t>5/28 TO ATHENS ACT032</t>
  </si>
  <si>
    <t>5/29 TO ATHENS ACT033</t>
  </si>
  <si>
    <t>7/14-7/18 FT WORTH ACT034</t>
  </si>
  <si>
    <t>865-00-2191.20-001-400000</t>
  </si>
  <si>
    <t>COLLINS- NSF</t>
  </si>
  <si>
    <t>461-00-5755.04-041-400000</t>
  </si>
  <si>
    <t>THOMAS- NSF</t>
  </si>
  <si>
    <t>865-00-2191.03-041-499000</t>
  </si>
  <si>
    <t>5/22 TO SIX FLAGS</t>
  </si>
  <si>
    <t>865-00-2191.11-041-499000</t>
  </si>
  <si>
    <t>865-00-2191.15-001-400000</t>
  </si>
  <si>
    <t xml:space="preserve">4/15 TO TX STATE </t>
  </si>
  <si>
    <t>865-00-2191.11-001-400000</t>
  </si>
  <si>
    <t>GLORIA MCLUCKIE</t>
  </si>
  <si>
    <t>3/28/2014 MARCH PR</t>
  </si>
  <si>
    <t>3/29 TO SEVEN POINTS</t>
  </si>
  <si>
    <t>4/8 TO SMU</t>
  </si>
  <si>
    <t xml:space="preserve">TRANSFER NOT MADE AT </t>
  </si>
  <si>
    <t>199-36-6494.00-001-422S00</t>
  </si>
  <si>
    <t>REIMB AG ACTIVITY</t>
  </si>
  <si>
    <t xml:space="preserve">MARCH CK NOT </t>
  </si>
  <si>
    <t>4/8 TO UT TYLER</t>
  </si>
  <si>
    <t>199-34-6121.00-999-499P00</t>
  </si>
  <si>
    <t>REFUND 3/29 BUS TRIP</t>
  </si>
  <si>
    <t>461-36-6399.04-001-499000</t>
  </si>
  <si>
    <t>COFFEE CUPS</t>
  </si>
  <si>
    <t>EMP SURCHARGE</t>
  </si>
  <si>
    <t>865-00-2191.16-001-400000</t>
  </si>
  <si>
    <t>HUITZACUA- NSF</t>
  </si>
  <si>
    <t>865-00-2191.26-001-400000</t>
  </si>
  <si>
    <t>BRITT- NSF- MARCH RT CK</t>
  </si>
  <si>
    <t>CHS CULINARY ARTS</t>
  </si>
  <si>
    <t>199-11-6499.00-001-422S00</t>
  </si>
  <si>
    <t>LUNCHEON</t>
  </si>
  <si>
    <t>461-36-6399.04-041-499000</t>
  </si>
  <si>
    <t>BAKED POTATOES</t>
  </si>
  <si>
    <t>ATHLETIC ASSOCIATION</t>
  </si>
  <si>
    <t>865-00-2191.46-001-400000</t>
  </si>
  <si>
    <t>REIMBURSEMENT</t>
  </si>
  <si>
    <t>181-36-6399.61-999-491000</t>
  </si>
  <si>
    <t>COPY PAPER</t>
  </si>
  <si>
    <t>5/7 TO CAMP TYLER</t>
  </si>
  <si>
    <t>865-00-2191.22-001-400000</t>
  </si>
  <si>
    <t>ATH DEPT ERROR</t>
  </si>
  <si>
    <t>865-00-2191.09-001-400000</t>
  </si>
  <si>
    <t>MELTON-NSF</t>
  </si>
  <si>
    <t>6/13 TO CEDAR HILL</t>
  </si>
  <si>
    <t>865-00-2191.39-001-400000</t>
  </si>
  <si>
    <t>5/16 TO SIX FLAGS</t>
  </si>
  <si>
    <t xml:space="preserve">3 BUSES TO ATHENS- </t>
  </si>
  <si>
    <t>TAX029-TAX032</t>
  </si>
  <si>
    <t>GRANDPARENT MEALS</t>
  </si>
  <si>
    <t>INVOICE #25 TURKEY SUBS</t>
  </si>
  <si>
    <t>461-36-6499.00-950-499000</t>
  </si>
  <si>
    <t>TAX033-TAX034</t>
  </si>
  <si>
    <t>240-35-6499.00-999-499000</t>
  </si>
  <si>
    <t>SNACK TICKETS</t>
  </si>
  <si>
    <t>ALLEN- NSF</t>
  </si>
  <si>
    <t xml:space="preserve">MISTY FLETES- PROM </t>
  </si>
  <si>
    <t>865-00-2191.19-041-400000</t>
  </si>
  <si>
    <t xml:space="preserve">MICAH COOPER- UIL </t>
  </si>
  <si>
    <t>BUS TRANSPORTATION 6/23</t>
  </si>
  <si>
    <t>865-00-2191.33-001-400000</t>
  </si>
  <si>
    <t>5/28 TO DAVE &amp; BUSTERS</t>
  </si>
  <si>
    <t>SNACK TICKETS INV #30</t>
  </si>
  <si>
    <t>TAX035 &amp; OP0146</t>
  </si>
  <si>
    <t>EXTRA CHECK</t>
  </si>
  <si>
    <t>461-36-6499.00-101-499000</t>
  </si>
  <si>
    <t>BUS TRIP RANGER STADIUM</t>
  </si>
  <si>
    <t>TAX036-TAX038</t>
  </si>
  <si>
    <t>242-00-1411.00-000-400000</t>
  </si>
  <si>
    <t xml:space="preserve">SUMMER FEEDING </t>
  </si>
  <si>
    <t>RODROQUEZ- NSF</t>
  </si>
  <si>
    <t>MCCARTER- NSF</t>
  </si>
  <si>
    <t>865-00-2191.05-041-499000</t>
  </si>
  <si>
    <t>UNKNOWN NSF</t>
  </si>
  <si>
    <t>865-00-2191.09-041-499000</t>
  </si>
  <si>
    <t>ALLEN- ACCT CLOSED</t>
  </si>
  <si>
    <t>WILLIAMS- NSF</t>
  </si>
  <si>
    <t>242-00-2171.99-000-400000</t>
  </si>
  <si>
    <t>TEXSTAR</t>
  </si>
  <si>
    <t>755-00-1105.00-000-400000</t>
  </si>
  <si>
    <t>TAX039</t>
  </si>
  <si>
    <t xml:space="preserve">INV #31- GRANDPARENT </t>
  </si>
  <si>
    <t>INVOICE #32</t>
  </si>
  <si>
    <t>270-00-1411.00-000-400000</t>
  </si>
  <si>
    <t>RURAL &amp; LOW INCOME</t>
  </si>
  <si>
    <t>270-00-2171.00-000-400000</t>
  </si>
  <si>
    <t>199-11-6142.00-001-411000</t>
  </si>
  <si>
    <t>7/21 TO LAKE HIGHLANDS</t>
  </si>
  <si>
    <t>199-00-8911.00-000-400000</t>
  </si>
  <si>
    <t>INS ADVANCE</t>
  </si>
  <si>
    <t>INTEREST</t>
  </si>
  <si>
    <t>461-36-6499.05-850-499186</t>
  </si>
  <si>
    <t>SALARY REIMB</t>
  </si>
  <si>
    <t>TAX043-TAX045</t>
  </si>
  <si>
    <t>487-00-1411.00-000-400000</t>
  </si>
  <si>
    <t>YOUTH LEADERSHIP CAMP</t>
  </si>
  <si>
    <t>CORRECT AMT</t>
  </si>
  <si>
    <t>487-00-2171.00-000-400000</t>
  </si>
  <si>
    <t>461-00-5755.00-102-400000</t>
  </si>
  <si>
    <t>TAYLOR- NSF</t>
  </si>
  <si>
    <t>FOR 244</t>
  </si>
  <si>
    <t>PAYROLL TRANSFERS</t>
  </si>
  <si>
    <t>163-00-2151.00-000-400000</t>
  </si>
  <si>
    <t>163-00-2152.01-000-400000</t>
  </si>
  <si>
    <t>163-00-2152.02-000-400000</t>
  </si>
  <si>
    <t>163-00-2153.00-017-400000</t>
  </si>
  <si>
    <t>163-00-2153.00-018-400000</t>
  </si>
  <si>
    <t>163-00-2153.00-020-400000</t>
  </si>
  <si>
    <t>163-00-2153.00-021-400000</t>
  </si>
  <si>
    <t>163-00-2155.00-000-400000</t>
  </si>
  <si>
    <t>163-00-2155.01-000-400000</t>
  </si>
  <si>
    <t>163-00-2155.02-000-400000</t>
  </si>
  <si>
    <t>163-00-2155.03-000-400000</t>
  </si>
  <si>
    <t>163-00-2155.04-000-400000</t>
  </si>
  <si>
    <t>163-00-2155.05-000-400000</t>
  </si>
  <si>
    <t>163-00-2155.06-000-400000</t>
  </si>
  <si>
    <t>163-00-2155.07-100-400000</t>
  </si>
  <si>
    <t>163-00-2159.00-082-400000</t>
  </si>
  <si>
    <t>TAX046-TAX047</t>
  </si>
  <si>
    <t>DENBOW- NSF</t>
  </si>
  <si>
    <t>MOLINA- NSF</t>
  </si>
  <si>
    <t>NUNN-NSF</t>
  </si>
  <si>
    <t>865-00-2191.41-001-400000</t>
  </si>
  <si>
    <t>NUNN- NSF</t>
  </si>
  <si>
    <t>EARLY HNS TRANSFER</t>
  </si>
  <si>
    <t>199-00-2173.00-000-400000</t>
  </si>
  <si>
    <t>AUG BAL DUE TO I&amp;S</t>
  </si>
  <si>
    <t>163-00-2171.99-000-400000</t>
  </si>
  <si>
    <t>AUG TRANS NOT MADE</t>
  </si>
  <si>
    <t>NSF- CASTRO</t>
  </si>
  <si>
    <t>NSF- ALONZO</t>
  </si>
  <si>
    <t>SENIORS TO TX STATE</t>
  </si>
  <si>
    <t>163-00-1103.00-000-400000</t>
  </si>
  <si>
    <t>VOIDED CK #111278</t>
  </si>
  <si>
    <t>SHOULD BE 164- CF</t>
  </si>
  <si>
    <t>164-00-1103.00-000-400000</t>
  </si>
  <si>
    <t>TAX004</t>
  </si>
  <si>
    <t>TAX001-TAX003</t>
  </si>
  <si>
    <t xml:space="preserve">BUS TRIP TO COLLEGE </t>
  </si>
  <si>
    <t>CHECK</t>
  </si>
  <si>
    <t>461-36-6399.07-001-499000</t>
  </si>
  <si>
    <t>GRADUATION EXPENSE</t>
  </si>
  <si>
    <t>865-00-2191.55-001-400000</t>
  </si>
  <si>
    <t xml:space="preserve">BUS TRANSPORTATION- LION </t>
  </si>
  <si>
    <t>VENDOR DEBIT</t>
  </si>
  <si>
    <t>GROESBECK HS TRIP</t>
  </si>
  <si>
    <t>HNS ADVANCE PAYMENT</t>
  </si>
  <si>
    <t>BUS TRIP MAY 1 PD BY PTO</t>
  </si>
  <si>
    <t>461-00-5755.03-042-400000</t>
  </si>
  <si>
    <t>NSF- HERRING</t>
  </si>
  <si>
    <t>865-00-2191.27-001-400000</t>
  </si>
  <si>
    <t>NSF- HIDALGO</t>
  </si>
  <si>
    <t>NSF- SEATON</t>
  </si>
  <si>
    <t>NSF- RUIZ</t>
  </si>
  <si>
    <t>827-00-1810.00-000-400000</t>
  </si>
  <si>
    <t xml:space="preserve">MARX ATHLETIC </t>
  </si>
  <si>
    <t>263-00-2171.99-000-300000</t>
  </si>
  <si>
    <t>PITB</t>
  </si>
  <si>
    <t>CHANGE TO 2634</t>
  </si>
  <si>
    <t>TAX005-TAX008</t>
  </si>
  <si>
    <t>TAX009</t>
  </si>
  <si>
    <t xml:space="preserve">11/20 TO CAMERON PARK </t>
  </si>
  <si>
    <t xml:space="preserve">11/4 TO HYATT REGENCY </t>
  </si>
  <si>
    <t>11/6 TO TEMPLE</t>
  </si>
  <si>
    <t>HNS EARLY PAY</t>
  </si>
  <si>
    <t>REIMB CK #112261</t>
  </si>
  <si>
    <t>BENAVIDES- NSF</t>
  </si>
  <si>
    <t>SIMMONS- NSF</t>
  </si>
  <si>
    <t>TAX010-TAX011</t>
  </si>
  <si>
    <t>12/4 TO GROESBECH HS</t>
  </si>
  <si>
    <t>461-00-1261.00-000-400000</t>
  </si>
  <si>
    <t>TEMPORARY ADVANCE</t>
  </si>
  <si>
    <t>199-00-2170.00-000-400000</t>
  </si>
  <si>
    <t>REPAY TEMP ADVANCE</t>
  </si>
  <si>
    <t>199-00-5749.00-000-400000</t>
  </si>
  <si>
    <t xml:space="preserve">TECHNOLOGY ACTIVITY </t>
  </si>
  <si>
    <t>ADVANCE HNS</t>
  </si>
  <si>
    <t>TAX012-TAX014</t>
  </si>
  <si>
    <t>865-00-2191.24-001-400000</t>
  </si>
  <si>
    <t>CASBEER- NSF</t>
  </si>
  <si>
    <t>865-00-2191.42-001-400000</t>
  </si>
  <si>
    <t>MARTIN- NSF</t>
  </si>
  <si>
    <t>240-35-6399.00-999-499000</t>
  </si>
  <si>
    <t>REFUND PARTIAL TRIP</t>
  </si>
  <si>
    <t>VOIDED BY CAS</t>
  </si>
  <si>
    <t>TRANSFER</t>
  </si>
  <si>
    <t>163-00-2153.00-019-400000</t>
  </si>
  <si>
    <t xml:space="preserve">ADT SECURITY SERVICES, </t>
  </si>
  <si>
    <t>199-51-6219.00-999-499000</t>
  </si>
  <si>
    <t>SECURITY SVC</t>
  </si>
  <si>
    <t xml:space="preserve">ADVANCED MOBILITY </t>
  </si>
  <si>
    <t>199-34-6249.00-999-499000</t>
  </si>
  <si>
    <t xml:space="preserve">BUS WHEELCHAIR LIFT </t>
  </si>
  <si>
    <t>BLOSSOMS FLORAL</t>
  </si>
  <si>
    <t>GOURMET BASKET</t>
  </si>
  <si>
    <t>JENNIFER CABANO</t>
  </si>
  <si>
    <t>REIMG-CAMP SUPPLIES</t>
  </si>
  <si>
    <t>CENTERVILLE ISD</t>
  </si>
  <si>
    <t>181-36-6499.00-999-491000</t>
  </si>
  <si>
    <t>JV ENTRY FEE</t>
  </si>
  <si>
    <t>CHICKADEE'S EMBROIDERY</t>
  </si>
  <si>
    <t>PILLOW CASES</t>
  </si>
  <si>
    <t>KANDI CRENSHAW</t>
  </si>
  <si>
    <t>REIMB CAMP SUPPLIES</t>
  </si>
  <si>
    <t>MASHEQUA GENTRY</t>
  </si>
  <si>
    <t>REIMB</t>
  </si>
  <si>
    <t>ASHLEY GRACE</t>
  </si>
  <si>
    <t>181-36-6412.00-999-491000</t>
  </si>
  <si>
    <t>MEALS</t>
  </si>
  <si>
    <t>VOIDED 10/23</t>
  </si>
  <si>
    <t>CODY GRACE</t>
  </si>
  <si>
    <t>HEWITT KIWANIS CLUB</t>
  </si>
  <si>
    <t>ENTRY FEE</t>
  </si>
  <si>
    <t>MIDLOTHIAN ISD</t>
  </si>
  <si>
    <t>MIKE NIELSEN</t>
  </si>
  <si>
    <t>199-41-6411.00-750-499000</t>
  </si>
  <si>
    <t>TRAVEL REIMB</t>
  </si>
  <si>
    <t xml:space="preserve">NORTHLAND CABLE </t>
  </si>
  <si>
    <t>199-41-6499.00-701-499000</t>
  </si>
  <si>
    <t>CABLE SVC</t>
  </si>
  <si>
    <t>DEBBIE POWERS</t>
  </si>
  <si>
    <t xml:space="preserve">REIMB TABLE CLOTH </t>
  </si>
  <si>
    <t>RBR CONSULTING GROUP</t>
  </si>
  <si>
    <t>199-51-6249.01-001-499075</t>
  </si>
  <si>
    <t>ELEVATOR CONTRACT</t>
  </si>
  <si>
    <t>199-51-6249.01-042-499075</t>
  </si>
  <si>
    <t>199-51-6249.01-105-499075</t>
  </si>
  <si>
    <t>199-51-6249.01-999-499091</t>
  </si>
  <si>
    <t xml:space="preserve">RELIANCE </t>
  </si>
  <si>
    <t>199-41-6499.03-750-499R00</t>
  </si>
  <si>
    <t>SCHOOL MESSENGER</t>
  </si>
  <si>
    <t xml:space="preserve">RENAISSANCE INSTITUTE </t>
  </si>
  <si>
    <t>199-00-2110.02-000-400000</t>
  </si>
  <si>
    <t>CONSULTING RETAINER</t>
  </si>
  <si>
    <t>TASB, INC.</t>
  </si>
  <si>
    <t>199-41-6495.00-701-499000</t>
  </si>
  <si>
    <t xml:space="preserve">BOARDBOOK ANNUAL </t>
  </si>
  <si>
    <t>POLICY SVC RENEWAL</t>
  </si>
  <si>
    <t>199-51-6499.00-999-499000</t>
  </si>
  <si>
    <t>MEMBERSHIP</t>
  </si>
  <si>
    <t xml:space="preserve">TX SCHOOL ADM LEGAL </t>
  </si>
  <si>
    <t>ANNUAL SUBSCRIPTION</t>
  </si>
  <si>
    <t>TRUTEK</t>
  </si>
  <si>
    <t>199-51-6319.50-999-499000</t>
  </si>
  <si>
    <t>ODORZYME</t>
  </si>
  <si>
    <t xml:space="preserve">TYCO INTEGRATED </t>
  </si>
  <si>
    <t>SECURITY MONITORING</t>
  </si>
  <si>
    <t xml:space="preserve">LEGEND INSURANCE </t>
  </si>
  <si>
    <t>181-36-6429.60-999-491000</t>
  </si>
  <si>
    <t>STUDENT INSURANCE</t>
  </si>
  <si>
    <t>199-36-6429.15-001-499000</t>
  </si>
  <si>
    <t>199-36-6429.16-001-491000</t>
  </si>
  <si>
    <t>199-36-6429.18-001-491000</t>
  </si>
  <si>
    <t>CHAD WHITE</t>
  </si>
  <si>
    <t>BIMBO BAKERIES USA</t>
  </si>
  <si>
    <t>240-35-6341.00-999-499000</t>
  </si>
  <si>
    <t>BREAD</t>
  </si>
  <si>
    <t>BORDEN, INC.</t>
  </si>
  <si>
    <t>240-00-2110.02-000-400000</t>
  </si>
  <si>
    <t>MILK</t>
  </si>
  <si>
    <t>EDITH CANTO</t>
  </si>
  <si>
    <t>240-35-6411.00-999-499000</t>
  </si>
  <si>
    <t>MILEAGE</t>
  </si>
  <si>
    <t xml:space="preserve">DEALERS ELECTRICAL </t>
  </si>
  <si>
    <t>199-51-6315.00-999-499000</t>
  </si>
  <si>
    <t>SUPPLIES</t>
  </si>
  <si>
    <t>199-51-6319.50-001-499075</t>
  </si>
  <si>
    <t>10TH PROX DISCOUNT</t>
  </si>
  <si>
    <t>199-51-6319.50-999-499091</t>
  </si>
  <si>
    <t>JOSHUA FULLER</t>
  </si>
  <si>
    <t>PEARLIE HALL</t>
  </si>
  <si>
    <t>SHIRRELL JESSIE</t>
  </si>
  <si>
    <t>LABATT FOOD SERVICE</t>
  </si>
  <si>
    <t>FOOD &amp; NON FOOD</t>
  </si>
  <si>
    <t>DILYNN LINEX</t>
  </si>
  <si>
    <t>BETTY MAHONEY</t>
  </si>
  <si>
    <t>SHERRI MULLIN</t>
  </si>
  <si>
    <t>199-34-6499.00-999-499000</t>
  </si>
  <si>
    <t>LICENSE REIMB</t>
  </si>
  <si>
    <t>ALLISON OSAZE-EDIAE</t>
  </si>
  <si>
    <t>CYNTHIA POWELL</t>
  </si>
  <si>
    <t>LETICIA RAMOS</t>
  </si>
  <si>
    <t>HILDA REYNOSO</t>
  </si>
  <si>
    <t>SILVIA RUIZ</t>
  </si>
  <si>
    <t>MELINDA SANDERS</t>
  </si>
  <si>
    <t>STATE FAIR OF TEXAS</t>
  </si>
  <si>
    <t>AG MECH CONTEST</t>
  </si>
  <si>
    <t>MARILYN WRIGHT</t>
  </si>
  <si>
    <t>THE 3 TECH NINJAS</t>
  </si>
  <si>
    <t>211-13-6411.01-101-430S00</t>
  </si>
  <si>
    <t>TECH TRAINING</t>
  </si>
  <si>
    <t>211-13-6411.01-102-430S00</t>
  </si>
  <si>
    <t>211-13-6411.01-103-430S00</t>
  </si>
  <si>
    <t>211-13-6411.01-107-430S00</t>
  </si>
  <si>
    <t>ALBERT W FISHER</t>
  </si>
  <si>
    <t>PAINT SVCS</t>
  </si>
  <si>
    <t>RICHARD SEAN DODSON</t>
  </si>
  <si>
    <t>BANNERS</t>
  </si>
  <si>
    <t>AIRGAS-SOUTHWEST</t>
  </si>
  <si>
    <t>199-11-6399.78-001-422S00</t>
  </si>
  <si>
    <t xml:space="preserve">AKV PLUMBING </t>
  </si>
  <si>
    <t>199-51-6249.00-107-499075</t>
  </si>
  <si>
    <t>GAS LINE REPAIR</t>
  </si>
  <si>
    <t xml:space="preserve">ALLIED WASTE SERVICES </t>
  </si>
  <si>
    <t>199-51-6259.00-001-422075</t>
  </si>
  <si>
    <t>WASTE SVCS</t>
  </si>
  <si>
    <t>199-51-6259.00-001-499075</t>
  </si>
  <si>
    <t>199-51-6259.00-041-499075</t>
  </si>
  <si>
    <t>199-51-6259.00-042-499075</t>
  </si>
  <si>
    <t>199-51-6259.00-101-499075</t>
  </si>
  <si>
    <t>199-51-6259.00-102-499075</t>
  </si>
  <si>
    <t>199-51-6259.00-103-499075</t>
  </si>
  <si>
    <t>199-51-6259.00-105-499075</t>
  </si>
  <si>
    <t>199-51-6259.00-107-499075</t>
  </si>
  <si>
    <t>199-51-6259.00-999-499000</t>
  </si>
  <si>
    <t>199-51-6259.00-999-499006</t>
  </si>
  <si>
    <t>199-51-6259.00-999-499008</t>
  </si>
  <si>
    <t>199-51-6259.00-999-499091</t>
  </si>
  <si>
    <t>199-51-6259.34-999-499000</t>
  </si>
  <si>
    <t>DEANNDREA ANDERSON</t>
  </si>
  <si>
    <t>199-51-6299.00-999-499000</t>
  </si>
  <si>
    <t>CLOTHING CENTER HELPER</t>
  </si>
  <si>
    <t xml:space="preserve">ANDERSON'S IT'S </t>
  </si>
  <si>
    <t xml:space="preserve">ARAMARK UNIFORM </t>
  </si>
  <si>
    <t>199-51-6319.00-001-499075</t>
  </si>
  <si>
    <t>WIPES</t>
  </si>
  <si>
    <t>199-51-6319.00-041-499075</t>
  </si>
  <si>
    <t>199-51-6319.00-042-499075</t>
  </si>
  <si>
    <t>199-51-6319.00-101-499075</t>
  </si>
  <si>
    <t>199-51-6319.00-102-499075</t>
  </si>
  <si>
    <t>199-51-6319.00-103-499075</t>
  </si>
  <si>
    <t>199-51-6319.00-105-499075</t>
  </si>
  <si>
    <t>199-51-6319.00-107-499075</t>
  </si>
  <si>
    <t>199-51-6319.00-999-499000</t>
  </si>
  <si>
    <t>199-51-6319.00-999-499006</t>
  </si>
  <si>
    <t>199-51-6319.00-999-499008</t>
  </si>
  <si>
    <t>199-51-6319.00-999-499091</t>
  </si>
  <si>
    <t>AT &amp; T</t>
  </si>
  <si>
    <t>199-51-6259.55-999-499370</t>
  </si>
  <si>
    <t>MONTHLY BILL</t>
  </si>
  <si>
    <t>ATMOS ENERGY</t>
  </si>
  <si>
    <t>199-51-6259.30-042-499075</t>
  </si>
  <si>
    <t>199-51-6259.30-102-499075</t>
  </si>
  <si>
    <t>199-51-6259.30-105-499075</t>
  </si>
  <si>
    <t>199-51-6259.30-107-499075</t>
  </si>
  <si>
    <t>199-51-6259.30-999-499008</t>
  </si>
  <si>
    <t>ATWOOD DISTRIBUTING, LP</t>
  </si>
  <si>
    <t>199-34-6319.06-999-499000</t>
  </si>
  <si>
    <t>B &amp; G AUTO PARTS</t>
  </si>
  <si>
    <t>199-34-6319.05-999-499000</t>
  </si>
  <si>
    <t>PARTS</t>
  </si>
  <si>
    <t>DEVONTAY BELL</t>
  </si>
  <si>
    <t>CLOTHING CENTER</t>
  </si>
  <si>
    <t>BEST WESTERN</t>
  </si>
  <si>
    <t>199-21-6411.00-999-499000</t>
  </si>
  <si>
    <t>KILGORE</t>
  </si>
  <si>
    <t xml:space="preserve">UNIVERSAL MELODY </t>
  </si>
  <si>
    <t>199-11-6399.15-001-411000</t>
  </si>
  <si>
    <t xml:space="preserve">BURKBURNETT BOOSTER </t>
  </si>
  <si>
    <t>V TOURNAMENT</t>
  </si>
  <si>
    <t>BUSH'S CHICKEN</t>
  </si>
  <si>
    <t>CERTIFIED LABORATORIES</t>
  </si>
  <si>
    <t>199-51-6249.00-001-499075</t>
  </si>
  <si>
    <t>WATER TREATMENT PROG</t>
  </si>
  <si>
    <t>SHIRTS</t>
  </si>
  <si>
    <t>CICI'S PIZZA</t>
  </si>
  <si>
    <t>MEET THE TEACHER NIGHT</t>
  </si>
  <si>
    <t xml:space="preserve">CITY OF CORSICANA WATER </t>
  </si>
  <si>
    <t xml:space="preserve">CLAIMS ADMINISTRATIVE </t>
  </si>
  <si>
    <t>WORKERS COMP-1ST QUART</t>
  </si>
  <si>
    <t xml:space="preserve">CORSICANA CLEANERS &amp; </t>
  </si>
  <si>
    <t>CLEANING SVCS</t>
  </si>
  <si>
    <t>CORSICANA DAILY SUN</t>
  </si>
  <si>
    <t>TAX RATE AD</t>
  </si>
  <si>
    <t xml:space="preserve">CORSICANA GLASS &amp; </t>
  </si>
  <si>
    <t>199-51-6249.00-103-499075</t>
  </si>
  <si>
    <t>REPAIRS</t>
  </si>
  <si>
    <t>199-51-6249.00-105-499075</t>
  </si>
  <si>
    <t>DEBBIE COTTAR</t>
  </si>
  <si>
    <t xml:space="preserve">CUSTOM T'S &amp; SPORTING </t>
  </si>
  <si>
    <t>DIXIE PAPER COMPANY, INC.</t>
  </si>
  <si>
    <t>199-51-6319.50-105-499075</t>
  </si>
  <si>
    <t>199-51-6319.50-999-499008</t>
  </si>
  <si>
    <t>DOCUMENT SOLUTIONS</t>
  </si>
  <si>
    <t>199-11-6269.50-001-411C00</t>
  </si>
  <si>
    <t>PRINTERS</t>
  </si>
  <si>
    <t>199-11-6269.50-001-422C00</t>
  </si>
  <si>
    <t>199-11-6269.50-041-411C00</t>
  </si>
  <si>
    <t>199-11-6269.50-042-411C00</t>
  </si>
  <si>
    <t>199-11-6269.50-101-411C00</t>
  </si>
  <si>
    <t>199-11-6269.50-102-411C00</t>
  </si>
  <si>
    <t>199-11-6269.50-103-411C00</t>
  </si>
  <si>
    <t>199-11-6269.50-105-411C00</t>
  </si>
  <si>
    <t>199-11-6269.50-107-411C00</t>
  </si>
  <si>
    <t>199-21-6269.50-999-499C00</t>
  </si>
  <si>
    <t>199-41-6269.00-701-499000</t>
  </si>
  <si>
    <t>199-41-6269.00-750-499000</t>
  </si>
  <si>
    <t>EAST TEXAS ALARM, INC.</t>
  </si>
  <si>
    <t>ALARM MONITORING</t>
  </si>
  <si>
    <t xml:space="preserve">EDUCATION SERVICE </t>
  </si>
  <si>
    <t>SBDC CERTIFICATES</t>
  </si>
  <si>
    <t>SBDC ENROLLMENT</t>
  </si>
  <si>
    <t xml:space="preserve">ELLIOTT ELECTRIC SUPPLY, </t>
  </si>
  <si>
    <t>EXPRESS INDUSTRIES CORP</t>
  </si>
  <si>
    <t>FUNDRAISER</t>
  </si>
  <si>
    <t>FARMER'S CUSTOM MOWING</t>
  </si>
  <si>
    <t>LAWN SVC</t>
  </si>
  <si>
    <t>FLATT STATIONERS INC</t>
  </si>
  <si>
    <t>199-34-6399.00-999-499000</t>
  </si>
  <si>
    <t>FOLLETT SOFTWARE</t>
  </si>
  <si>
    <t>199-12-6399.55-728-499000</t>
  </si>
  <si>
    <t>RENEWALS</t>
  </si>
  <si>
    <t>JENNIFER FORD</t>
  </si>
  <si>
    <t>199-31-6411.00-999-423S00</t>
  </si>
  <si>
    <t>MILEAGE REIMB</t>
  </si>
  <si>
    <t xml:space="preserve">FORNEY SOFTBALL </t>
  </si>
  <si>
    <t>V TOURNEY</t>
  </si>
  <si>
    <t>LAURIE FRANKLIN</t>
  </si>
  <si>
    <t xml:space="preserve">FREESTONE CENTRAL </t>
  </si>
  <si>
    <t>199-99-6213.00-703-499000</t>
  </si>
  <si>
    <t>4TH QUARTER</t>
  </si>
  <si>
    <t xml:space="preserve">FREESTONE-NAVARRO BI-CO </t>
  </si>
  <si>
    <t>199-93-6492.00-999-423S00</t>
  </si>
  <si>
    <t>CONSORTIUM</t>
  </si>
  <si>
    <t xml:space="preserve">FRONTRANGE SOLUTIONS </t>
  </si>
  <si>
    <t>199-53-6399.55-728-499001</t>
  </si>
  <si>
    <t>YEARLY FEES</t>
  </si>
  <si>
    <t>GBC</t>
  </si>
  <si>
    <t>199-11-6399.00-001-411000</t>
  </si>
  <si>
    <t>PO Created by Req: 130015</t>
  </si>
  <si>
    <t>199-11-6399.00-041-411000</t>
  </si>
  <si>
    <t>199-11-6399.00-042-411000</t>
  </si>
  <si>
    <t>199-11-6399.00-101-411000</t>
  </si>
  <si>
    <t>199-11-6399.00-103-411000</t>
  </si>
  <si>
    <t>199-11-6399.00-105-411000</t>
  </si>
  <si>
    <t>199-21-6399.00-999-423S00</t>
  </si>
  <si>
    <t>199-41-6399.00-701-499000</t>
  </si>
  <si>
    <t>AMY GIBBS</t>
  </si>
  <si>
    <t>VOIDED 10/17/2013</t>
  </si>
  <si>
    <t>MISTY GROSCHKE</t>
  </si>
  <si>
    <t>224-13-6299.00-999-423S00</t>
  </si>
  <si>
    <t>SPEECH THERAPY SVCS</t>
  </si>
  <si>
    <t>GREENWORX PRINTING</t>
  </si>
  <si>
    <t>NAME TAGS &amp; WALL PLATES</t>
  </si>
  <si>
    <t>NAME TAG</t>
  </si>
  <si>
    <t>GULF COAST PAPER CO.,INC.</t>
  </si>
  <si>
    <t>PO Created by Req: 130020</t>
  </si>
  <si>
    <t>GARY W. CALLAWAY</t>
  </si>
  <si>
    <t>CARPENTRY SVC</t>
  </si>
  <si>
    <t>KIRBY LEE HILL</t>
  </si>
  <si>
    <t xml:space="preserve">HEAVY DUTY BUS PARTS, </t>
  </si>
  <si>
    <t>DONNA HILL</t>
  </si>
  <si>
    <t>199-11-6411.02-999-424S53</t>
  </si>
  <si>
    <t>HOMETOWN FLOORING</t>
  </si>
  <si>
    <t>865-00-2191.08-001-400000</t>
  </si>
  <si>
    <t>CARPET</t>
  </si>
  <si>
    <t>HM RECEIVABLES CO. LLC.</t>
  </si>
  <si>
    <t>410-11-6321.00-999-411000</t>
  </si>
  <si>
    <t>BOOKS</t>
  </si>
  <si>
    <t xml:space="preserve">TECHNOLOGY/TEXTBOOK </t>
  </si>
  <si>
    <t xml:space="preserve">HUFFMAN COMMUNICATIONS </t>
  </si>
  <si>
    <t>BATTERY</t>
  </si>
  <si>
    <t>JANPAK</t>
  </si>
  <si>
    <t>PO Created by Req: 130021</t>
  </si>
  <si>
    <t xml:space="preserve">K&amp;S TIRE, TOWING &amp; </t>
  </si>
  <si>
    <t>ALIGNMENT</t>
  </si>
  <si>
    <t>VEHICLE TOW</t>
  </si>
  <si>
    <t>LAKESHORE LIFE SKILLS</t>
  </si>
  <si>
    <t>211-31-6399.00-102-430S00</t>
  </si>
  <si>
    <t>TUNYA LEE</t>
  </si>
  <si>
    <t>199-23-6411.00-041-499000</t>
  </si>
  <si>
    <t xml:space="preserve">LONE STAR </t>
  </si>
  <si>
    <t>199-51-6249.00-041-499075</t>
  </si>
  <si>
    <t>BELL SCHEDULE</t>
  </si>
  <si>
    <t>PHONE LINE REPAIR</t>
  </si>
  <si>
    <t>199-51-6249.00-101-499075</t>
  </si>
  <si>
    <t xml:space="preserve">LONGHORN INDUSTRIAL </t>
  </si>
  <si>
    <t>MCKEE LUMBER COMPANY</t>
  </si>
  <si>
    <t>199-51-6319.50-041-499075</t>
  </si>
  <si>
    <t>199-51-6319.50-101-499075</t>
  </si>
  <si>
    <t>199-51-6319.50-102-499075</t>
  </si>
  <si>
    <t>199-51-6319.50-103-499075</t>
  </si>
  <si>
    <t>199-51-6319.50-107-499075</t>
  </si>
  <si>
    <t xml:space="preserve">MEDICAL &amp; SURGICAL ASSN </t>
  </si>
  <si>
    <t>199-34-6299.00-999-499000</t>
  </si>
  <si>
    <t>PHYSICALS</t>
  </si>
  <si>
    <t>KRISTINE MONTES</t>
  </si>
  <si>
    <t>199-13-6399.00-105-499000</t>
  </si>
  <si>
    <t>461-36-6499.00-105-499000</t>
  </si>
  <si>
    <t>MONICA MORGAN</t>
  </si>
  <si>
    <t xml:space="preserve">NAVARRO COUNCIL OF THE </t>
  </si>
  <si>
    <t>199-11-6299.00-999-499000</t>
  </si>
  <si>
    <t>FINE ARTS PROGRAM</t>
  </si>
  <si>
    <t xml:space="preserve">NAVARRO COUNTY </t>
  </si>
  <si>
    <t>199-51-6259.20-999-499091</t>
  </si>
  <si>
    <t xml:space="preserve">NAVCO SAFE &amp; LOCK CO., </t>
  </si>
  <si>
    <t>KEYS</t>
  </si>
  <si>
    <t>KEYWAYS</t>
  </si>
  <si>
    <t>O'REILLY AUTO PARTS</t>
  </si>
  <si>
    <t xml:space="preserve">STARCHER CHARGES IN </t>
  </si>
  <si>
    <t>NCS Pearson</t>
  </si>
  <si>
    <t>199-31-6339.00-001-499000</t>
  </si>
  <si>
    <t>END OF COURSE STAAR</t>
  </si>
  <si>
    <t xml:space="preserve">PEROT MUSEUM OF NATURE </t>
  </si>
  <si>
    <t>199-11-6412.00-103-411000</t>
  </si>
  <si>
    <t>DEPOSIT</t>
  </si>
  <si>
    <t>PASKELL NICHOLS JR.</t>
  </si>
  <si>
    <t>REPAIR</t>
  </si>
  <si>
    <t>PRICE INTERNATIONAL, INC.</t>
  </si>
  <si>
    <t xml:space="preserve">PROPERTY CASUALTY ALL. - </t>
  </si>
  <si>
    <t>199-34-6429.00-999-499000</t>
  </si>
  <si>
    <t>AUTO LIABILITY</t>
  </si>
  <si>
    <t>AUTO PHYSICAL DAMANGE</t>
  </si>
  <si>
    <t>199-41-6429.00-702-499000</t>
  </si>
  <si>
    <t>EDUCATORS LIABILITY</t>
  </si>
  <si>
    <t>199-51-6429.00-999-499000</t>
  </si>
  <si>
    <t>PROPERTY</t>
  </si>
  <si>
    <t>199-51-6429.01-999-499000</t>
  </si>
  <si>
    <t>EQUIP BREAKDOWN</t>
  </si>
  <si>
    <t>199-52-6429.00-999-499000</t>
  </si>
  <si>
    <t>LIABILITY</t>
  </si>
  <si>
    <t>Quill</t>
  </si>
  <si>
    <t>RICHARD E THOMAS</t>
  </si>
  <si>
    <t>199-52-6219.00-999-499000</t>
  </si>
  <si>
    <t>NARCOTIC K9 SVC</t>
  </si>
  <si>
    <t>RADIO SHACK</t>
  </si>
  <si>
    <t>ADAPTER</t>
  </si>
  <si>
    <t xml:space="preserve">RAPTOR TECHNOLOGIES, </t>
  </si>
  <si>
    <t>SOFTWARE ACCESS FEE</t>
  </si>
  <si>
    <t>SAM HOUSTON PTO</t>
  </si>
  <si>
    <t>FIELD TRIP</t>
  </si>
  <si>
    <t>461-36-6499.01-105-499000</t>
  </si>
  <si>
    <t xml:space="preserve">SCHEDULES AUTO TRIM &amp; </t>
  </si>
  <si>
    <t>RECOVER SEAT</t>
  </si>
  <si>
    <t>SCHOLASTIC INC</t>
  </si>
  <si>
    <t>PRE-K Supplies</t>
  </si>
  <si>
    <t>SCHOOL MATE</t>
  </si>
  <si>
    <t>student agendas</t>
  </si>
  <si>
    <t>SOUTHERN TIRE MART, LLC</t>
  </si>
  <si>
    <t>TIRES</t>
  </si>
  <si>
    <t>SUBWAY SANDWICH &amp; SALAD</t>
  </si>
  <si>
    <t>SUCCESS ED, LLC</t>
  </si>
  <si>
    <t>224-31-6411.00-999-423S00</t>
  </si>
  <si>
    <t>TRAVEL EXP FOR TRAINING</t>
  </si>
  <si>
    <t>TASBO</t>
  </si>
  <si>
    <t>199-41-6219.00-750-499000</t>
  </si>
  <si>
    <t>EFACTS SYSTEM</t>
  </si>
  <si>
    <t xml:space="preserve">TX. ASSOCIATION SCHOOL </t>
  </si>
  <si>
    <t>MEMBERSHIP RENEWAL</t>
  </si>
  <si>
    <t>Texas Health Ben Hogan Sports</t>
  </si>
  <si>
    <t>181-36-6399.60-999-491000</t>
  </si>
  <si>
    <t>IMPACT SUBS</t>
  </si>
  <si>
    <t>BRANDY THOMPSON</t>
  </si>
  <si>
    <t>SCHOOL SUPPLY REIMB</t>
  </si>
  <si>
    <t>SUZANNE PLYER</t>
  </si>
  <si>
    <t>199-41-6499.00-702-499000</t>
  </si>
  <si>
    <t>BOARD MEAL</t>
  </si>
  <si>
    <t>TIM'S TIRES &amp; WHEELS</t>
  </si>
  <si>
    <t>FLAT</t>
  </si>
  <si>
    <t>Transfinder</t>
  </si>
  <si>
    <t>ANNUAL TECH SUPPORT</t>
  </si>
  <si>
    <t>TRIMMERS LANDSCAPING</t>
  </si>
  <si>
    <t>TROPHIES UNLIMITED</t>
  </si>
  <si>
    <t>199-36-6499.15-001-499000</t>
  </si>
  <si>
    <t>TROPHIES</t>
  </si>
  <si>
    <t xml:space="preserve">TRUCK PARTS &amp; SERVICE, </t>
  </si>
  <si>
    <t>CIRCUIT BREAKER</t>
  </si>
  <si>
    <t>TXU ENERGY</t>
  </si>
  <si>
    <t>199-51-6259.20-001-422075</t>
  </si>
  <si>
    <t>199-51-6259.20-001-499075</t>
  </si>
  <si>
    <t>199-51-6259.20-041-499075</t>
  </si>
  <si>
    <t>199-51-6259.20-042-499075</t>
  </si>
  <si>
    <t>199-51-6259.20-101-499075</t>
  </si>
  <si>
    <t>199-51-6259.20-102-499075</t>
  </si>
  <si>
    <t>199-51-6259.20-103-499075</t>
  </si>
  <si>
    <t>199-51-6259.20-105-499075</t>
  </si>
  <si>
    <t>199-51-6259.20-107-499075</t>
  </si>
  <si>
    <t>199-51-6259.20-999-499000</t>
  </si>
  <si>
    <t>199-51-6259.20-999-499006</t>
  </si>
  <si>
    <t>199-51-6259.20-999-499008</t>
  </si>
  <si>
    <t>199-51-6259.20-999-499010</t>
  </si>
  <si>
    <t>ULINE</t>
  </si>
  <si>
    <t>FLAG</t>
  </si>
  <si>
    <t>DOLLY</t>
  </si>
  <si>
    <t>CHAIR</t>
  </si>
  <si>
    <t>199-51-6399.00-999-499000</t>
  </si>
  <si>
    <t>MANUAL TIME CLOCK</t>
  </si>
  <si>
    <t>UNIFIRST CORPORATION</t>
  </si>
  <si>
    <t>199-51-6249.02-999-499000</t>
  </si>
  <si>
    <t>UNIFORMS</t>
  </si>
  <si>
    <t>UNIPAK</t>
  </si>
  <si>
    <t>PO Created by Req: 130023</t>
  </si>
  <si>
    <t>WALSH,ANDERSON,</t>
  </si>
  <si>
    <t>199-41-6211.00-750-499000</t>
  </si>
  <si>
    <t>LEGAL SVCS</t>
  </si>
  <si>
    <t>VOIDED 1/31/14</t>
  </si>
  <si>
    <t>JAMES D. WOLVER</t>
  </si>
  <si>
    <t>199-51-6249.03-999-499000</t>
  </si>
  <si>
    <t>XEROX CORPORATION</t>
  </si>
  <si>
    <t>199-11-6269.00-001-411000</t>
  </si>
  <si>
    <t>COPIER</t>
  </si>
  <si>
    <t>199-11-6269.00-041-411000</t>
  </si>
  <si>
    <t>EXCESS COPIER</t>
  </si>
  <si>
    <t>199-11-6269.00-042-411000</t>
  </si>
  <si>
    <t>199-11-6269.00-101-411000</t>
  </si>
  <si>
    <t>199-11-6269.00-102-411000</t>
  </si>
  <si>
    <t>199-11-6269.00-105-411000</t>
  </si>
  <si>
    <t>199-11-6269.00-107-411000</t>
  </si>
  <si>
    <t>199-21-6269.00-999-423S00</t>
  </si>
  <si>
    <t>199-34-6269.00-999-499000</t>
  </si>
  <si>
    <t>240-35-6269.00-999-499000</t>
  </si>
  <si>
    <t>EXCESS COPIES</t>
  </si>
  <si>
    <t>199-36-6399.15-001-499000</t>
  </si>
  <si>
    <t xml:space="preserve">BAND SCREENS &amp; </t>
  </si>
  <si>
    <t>JIMMY ADCOCK</t>
  </si>
  <si>
    <t>181-36-6219.51-001-491000</t>
  </si>
  <si>
    <t>OFFICIAL</t>
  </si>
  <si>
    <t>SECURITY SVCS</t>
  </si>
  <si>
    <t>TRACY AINSWORTH</t>
  </si>
  <si>
    <t>ATHLETICS SUPPLY</t>
  </si>
  <si>
    <t>181-36-6399.51-041-491000</t>
  </si>
  <si>
    <t>PO Created by Req: 121072</t>
  </si>
  <si>
    <t>199-51-6259.30-999-499000</t>
  </si>
  <si>
    <t>BOBBY BAIN</t>
  </si>
  <si>
    <t>CHRISTINE M BAKER</t>
  </si>
  <si>
    <t>181-36-6219.82-001-491000</t>
  </si>
  <si>
    <t>ROOSEVELT BAKER, JR.</t>
  </si>
  <si>
    <t xml:space="preserve">BCM INNOVATIVE </t>
  </si>
  <si>
    <t>199-11-6299.00-999-423SOT</t>
  </si>
  <si>
    <t>OT SVCS</t>
  </si>
  <si>
    <t>NICKI BIGGS</t>
  </si>
  <si>
    <t>315-13-6411.00-999-423S00</t>
  </si>
  <si>
    <t>BLOOMING GROVE ISD</t>
  </si>
  <si>
    <t>SPRAY</t>
  </si>
  <si>
    <t>ARRANGEMENT</t>
  </si>
  <si>
    <t>FLOWERS</t>
  </si>
  <si>
    <t>ROBERT DUSTY BOGGAN</t>
  </si>
  <si>
    <t>THOMAS BOYD</t>
  </si>
  <si>
    <t>RANDY BRADY</t>
  </si>
  <si>
    <t>WILLIAM BRASWELL</t>
  </si>
  <si>
    <t>181-36-6411.61-999-491000</t>
  </si>
  <si>
    <t>MEAL REIMB</t>
  </si>
  <si>
    <t>WAYNE BRAZIEL</t>
  </si>
  <si>
    <t>STEPHANIE BRISTOL</t>
  </si>
  <si>
    <t>199-36-6412.75-001-499000</t>
  </si>
  <si>
    <t>199-11-6249.15-001-411000</t>
  </si>
  <si>
    <t>DIRK BUTLER</t>
  </si>
  <si>
    <t>ADAN CASAS</t>
  </si>
  <si>
    <t>211-23-6411.00-042-430S00</t>
  </si>
  <si>
    <t>CASONS FLOWERS</t>
  </si>
  <si>
    <t>ARRANGEMENTS</t>
  </si>
  <si>
    <t>CLAY CLEMONS</t>
  </si>
  <si>
    <t>CORSICANA BOOSTER CLUB</t>
  </si>
  <si>
    <t>PROGRAM AD</t>
  </si>
  <si>
    <t>COX CARPET ONE</t>
  </si>
  <si>
    <t>BILL CRAWFORD</t>
  </si>
  <si>
    <t>461-36-6399.05-001-499000</t>
  </si>
  <si>
    <t>ROBERT CROMLEY</t>
  </si>
  <si>
    <t>CROWNE PLAZA HOTEL</t>
  </si>
  <si>
    <t>199-13-6411.00-999-4990CR</t>
  </si>
  <si>
    <t>AUSTIN</t>
  </si>
  <si>
    <t>211-21-6411.00-999-424S00</t>
  </si>
  <si>
    <t>T SHIRTS</t>
  </si>
  <si>
    <t>865-00-2191.53-001-400000</t>
  </si>
  <si>
    <t>RICHEY CUTRER</t>
  </si>
  <si>
    <t>DIRECTOR'S ASSISTANT</t>
  </si>
  <si>
    <t>SHOES/GLOVES</t>
  </si>
  <si>
    <t>DOUBLETREE</t>
  </si>
  <si>
    <t>211-23-6411.00-041-430S00</t>
  </si>
  <si>
    <t>DR. PEPPER BOTTLING CO.</t>
  </si>
  <si>
    <t>185-36-6399.61-999-491000</t>
  </si>
  <si>
    <t>DRINKS</t>
  </si>
  <si>
    <t>ROBERT EAVES</t>
  </si>
  <si>
    <t>ECOLAB, INC.</t>
  </si>
  <si>
    <t>ELECTRICO, INC.</t>
  </si>
  <si>
    <t>RICHARD FERGUSON</t>
  </si>
  <si>
    <t>TUBA HATS</t>
  </si>
  <si>
    <t>PO Created by Req: 130017</t>
  </si>
  <si>
    <t>PO Created by Req: 121068</t>
  </si>
  <si>
    <t>199-11-6399.00-102-411000</t>
  </si>
  <si>
    <t>PO Created by Req: 121022</t>
  </si>
  <si>
    <t>199-11-6399.00-107-411000</t>
  </si>
  <si>
    <t>199-11-6399.00-999-421SGT</t>
  </si>
  <si>
    <t>199-11-6399.40-041-411000</t>
  </si>
  <si>
    <t>PO Created by Req: 121070</t>
  </si>
  <si>
    <t>199-13-6399.00-999-4990CR</t>
  </si>
  <si>
    <t>PO Created by Req: 121061</t>
  </si>
  <si>
    <t>ink cartridges</t>
  </si>
  <si>
    <t>199-41-6399.03-750-499000</t>
  </si>
  <si>
    <t>PO Created by Req: 121051</t>
  </si>
  <si>
    <t>Supplies</t>
  </si>
  <si>
    <t>199-53-6399.55-728-499000</t>
  </si>
  <si>
    <t>PO Created by Req: 121029</t>
  </si>
  <si>
    <t>211-13-6399.00-999-430SCR</t>
  </si>
  <si>
    <t>224-11-6399.00-999-423S00</t>
  </si>
  <si>
    <t>PO Created by Req: 121036</t>
  </si>
  <si>
    <t>255-21-6399.00-999-430S00</t>
  </si>
  <si>
    <t>PO Created by Req: 121041</t>
  </si>
  <si>
    <t>435-21-6399.00-999-423S00</t>
  </si>
  <si>
    <t>JAMES FOWLER</t>
  </si>
  <si>
    <t>GREG FRENCH</t>
  </si>
  <si>
    <t>MONTY GEARNER</t>
  </si>
  <si>
    <t>MARY E. GIBSON</t>
  </si>
  <si>
    <t>JAMES GILBERT</t>
  </si>
  <si>
    <t>CASSANDRA GRAYSON</t>
  </si>
  <si>
    <t>STEVEN R. GREEN</t>
  </si>
  <si>
    <t>187-13-6499.00-999-499000</t>
  </si>
  <si>
    <t>SPRING BREAK STICKETS</t>
  </si>
  <si>
    <t xml:space="preserve">PUBLIC RELATIONS HERO </t>
  </si>
  <si>
    <t>CALENDAR BOOKS</t>
  </si>
  <si>
    <t>DANIKA D GRIGGS</t>
  </si>
  <si>
    <t>JANET GUMMELT</t>
  </si>
  <si>
    <t>199-11-6399.26-042-411000</t>
  </si>
  <si>
    <t>READERS</t>
  </si>
  <si>
    <t>KELLY HALE</t>
  </si>
  <si>
    <t>199-11-6399.72-041-411000</t>
  </si>
  <si>
    <t>ROGER HARDIE</t>
  </si>
  <si>
    <t>865-00-2191.35-001-400000</t>
  </si>
  <si>
    <t>WILLIAM HARRIS</t>
  </si>
  <si>
    <t>GREG HAZELWOOD</t>
  </si>
  <si>
    <t>SHANE HOLCOMB</t>
  </si>
  <si>
    <t>199-11-6321.00-001-431000</t>
  </si>
  <si>
    <t>JOHN M. REMONTE, JR</t>
  </si>
  <si>
    <t>199-52-6249.00-999-499000</t>
  </si>
  <si>
    <t>PO Created by Req: 121044</t>
  </si>
  <si>
    <t>HYATT REGENCY</t>
  </si>
  <si>
    <t>199-13-6411.00-999-421SGT</t>
  </si>
  <si>
    <t>HOUSTON</t>
  </si>
  <si>
    <t>211-13-6411.05-999-430S00</t>
  </si>
  <si>
    <t>IJS-EJS, INC.</t>
  </si>
  <si>
    <t>199-11-6399.14-042-411000</t>
  </si>
  <si>
    <t>ZIP LOC BAGS</t>
  </si>
  <si>
    <t>Jerry's Sporting Goods</t>
  </si>
  <si>
    <t>SHIRTS/HOODIES</t>
  </si>
  <si>
    <t>JENNIFER JONES</t>
  </si>
  <si>
    <t>VIDAL JONES</t>
  </si>
  <si>
    <t>WESLEY JONES</t>
  </si>
  <si>
    <t>MARK KARONKA</t>
  </si>
  <si>
    <t>BILLY R. KEILERS</t>
  </si>
  <si>
    <t>KATHY LEONARD</t>
  </si>
  <si>
    <t>BARBARA LEWIS</t>
  </si>
  <si>
    <t>199-23-6411.00-042-499000</t>
  </si>
  <si>
    <t>PAULA ROSS LEWIS</t>
  </si>
  <si>
    <t>435-11-6411.00-999-423S00</t>
  </si>
  <si>
    <t>GINA MARIO</t>
  </si>
  <si>
    <t>RODNEY MASTERS</t>
  </si>
  <si>
    <t xml:space="preserve">CHARLES WESLEY MCELROY </t>
  </si>
  <si>
    <t>THOMAS MCNAMARA</t>
  </si>
  <si>
    <t>BARRY MEERSCHAERT</t>
  </si>
  <si>
    <t>VICTORIA METZGER</t>
  </si>
  <si>
    <t>MIDWAY HS BAND BACKERS</t>
  </si>
  <si>
    <t>199-36-6219.15-001-499000</t>
  </si>
  <si>
    <t>MODERN SCHOOL SUPPLIES</t>
  </si>
  <si>
    <t>199-11-6399.88-001-422S00</t>
  </si>
  <si>
    <t>PO Created by Req: 121048</t>
  </si>
  <si>
    <t>263-13-6411.00-999-425S00</t>
  </si>
  <si>
    <t>JIMA MONTFORT</t>
  </si>
  <si>
    <t>BOBBY MOTEN</t>
  </si>
  <si>
    <t>KATIE MULLAN</t>
  </si>
  <si>
    <t>211-13-6411.00-999-430SGT</t>
  </si>
  <si>
    <t>Music Theatre International</t>
  </si>
  <si>
    <t>865-00-2191.52-001-400000</t>
  </si>
  <si>
    <t>TARZAN RIGHTS</t>
  </si>
  <si>
    <t>NATIONAL FOOD GROUP</t>
  </si>
  <si>
    <t>FOOD</t>
  </si>
  <si>
    <t>TRICIA NEPTUNE</t>
  </si>
  <si>
    <t>RICHARD O'BANNON</t>
  </si>
  <si>
    <t>ROBERT OGBURN</t>
  </si>
  <si>
    <t>DENISE O'KANE</t>
  </si>
  <si>
    <t>JIMMY OLAGUE</t>
  </si>
  <si>
    <t>DRUM BOOK</t>
  </si>
  <si>
    <t>OMNI</t>
  </si>
  <si>
    <t>LODGING</t>
  </si>
  <si>
    <t>211-23-6411.00-101-430S00</t>
  </si>
  <si>
    <t>211-23-6411.00-102-430S00</t>
  </si>
  <si>
    <t>211-23-6411.00-103-430S00</t>
  </si>
  <si>
    <t>211-23-6411.00-105-430S00</t>
  </si>
  <si>
    <t>199-41-6419.00-702-499000</t>
  </si>
  <si>
    <t>PAR</t>
  </si>
  <si>
    <t>PO Created by Req: 121040</t>
  </si>
  <si>
    <t xml:space="preserve"> PEARSON EDUCATION</t>
  </si>
  <si>
    <t>Books</t>
  </si>
  <si>
    <t>KATHI PEREZ</t>
  </si>
  <si>
    <t>315-11-6399.00-999-423S00</t>
  </si>
  <si>
    <t>KEVIN PHILLIPS</t>
  </si>
  <si>
    <t>PRO-ED</t>
  </si>
  <si>
    <t>199-11-6399.00-999-423S00</t>
  </si>
  <si>
    <t>KASEY PRUETT</t>
  </si>
  <si>
    <t>TOBY RACKLEY</t>
  </si>
  <si>
    <t>VAN BOB RAGSDALE</t>
  </si>
  <si>
    <t>FALL ARRANGEMENTS</t>
  </si>
  <si>
    <t>JOSEPH RIVERA</t>
  </si>
  <si>
    <t>BYRON RODENBURG</t>
  </si>
  <si>
    <t>RYAN H.S. - AFJROTC</t>
  </si>
  <si>
    <t>199-11-6412.65-001-411000</t>
  </si>
  <si>
    <t>RYDIN DECAL</t>
  </si>
  <si>
    <t>PARKING PERMITS</t>
  </si>
  <si>
    <t>SCHOOLWIRES</t>
  </si>
  <si>
    <t>MYWAY PREM TEMPLATE LIB</t>
  </si>
  <si>
    <t>LAYNE SCOTT</t>
  </si>
  <si>
    <t>SHERWIN-WILLIAMS CO</t>
  </si>
  <si>
    <t>199-51-6249.00-102-499075</t>
  </si>
  <si>
    <t>LINDA SMITH</t>
  </si>
  <si>
    <t>DARYL D STARKES</t>
  </si>
  <si>
    <t>TAGT ANNUAL CONFERENCE</t>
  </si>
  <si>
    <t>REGISTRATION</t>
  </si>
  <si>
    <t>255-21-6249.00-999-430S00</t>
  </si>
  <si>
    <t>SUBSCRIPTION RENEWAL</t>
  </si>
  <si>
    <t>255-21-6299.00-999-430S00</t>
  </si>
  <si>
    <t>TASSP</t>
  </si>
  <si>
    <t>199-23-6495.00-041-499000</t>
  </si>
  <si>
    <t>MEMBERSHIP DUES</t>
  </si>
  <si>
    <t>FREDERICK TAYLOR</t>
  </si>
  <si>
    <t>JOHN TEAGUE</t>
  </si>
  <si>
    <t>TEPSA</t>
  </si>
  <si>
    <t xml:space="preserve">TEXAS MATH &amp; SCIENCE </t>
  </si>
  <si>
    <t>199-36-6499.00-999-499000</t>
  </si>
  <si>
    <t xml:space="preserve">TEXAS MUSIC EDUCATORS </t>
  </si>
  <si>
    <t>TEXAS TOLLWAYS</t>
  </si>
  <si>
    <t>TOLLS</t>
  </si>
  <si>
    <t>SARA THORNTON</t>
  </si>
  <si>
    <t xml:space="preserve">TMEA REGION 8 VOCAL </t>
  </si>
  <si>
    <t>199-36-6499.24-001-499000</t>
  </si>
  <si>
    <t>TSPRA</t>
  </si>
  <si>
    <t>199-41-6411.03-750-499000</t>
  </si>
  <si>
    <t>REGISTRATION/DINNER</t>
  </si>
  <si>
    <t>199-41-6495.03-750-499000</t>
  </si>
  <si>
    <t>DUES-JOHNSON, ZASTOUPIL,</t>
  </si>
  <si>
    <t>U.S. SCHOOL SUPPLY, INC.</t>
  </si>
  <si>
    <t>PO Created by Req: 121014</t>
  </si>
  <si>
    <t>UIL MUSIC-REGION 8</t>
  </si>
  <si>
    <t>MICHAEL USERY</t>
  </si>
  <si>
    <t>MEGAN VADASY</t>
  </si>
  <si>
    <t>199-11-6411.80-001-422S00</t>
  </si>
  <si>
    <t>ROBERT WALLACE</t>
  </si>
  <si>
    <t>WARREN GIRLS' ATHLETICS</t>
  </si>
  <si>
    <t>LISA WEST</t>
  </si>
  <si>
    <t>199-21-6411.02-999-423S00</t>
  </si>
  <si>
    <t>RUSSELL WOODALL</t>
  </si>
  <si>
    <t>CHRISTOPHER K. WYNN</t>
  </si>
  <si>
    <t>181-36-6269.61-999-491000</t>
  </si>
  <si>
    <t>199-11-6269.00-103-411000</t>
  </si>
  <si>
    <t xml:space="preserve">ACADEMIC THERAPHY </t>
  </si>
  <si>
    <t>PO Created by Req: 121039</t>
  </si>
  <si>
    <t>DECALS</t>
  </si>
  <si>
    <t xml:space="preserve">AGILE SPORTS </t>
  </si>
  <si>
    <t>181-36-6219.61-999-491000</t>
  </si>
  <si>
    <t>EARL ALEXANDER</t>
  </si>
  <si>
    <t>RECYCLE SVC</t>
  </si>
  <si>
    <t>APPLE INC</t>
  </si>
  <si>
    <t>PO Created by Req: 121025</t>
  </si>
  <si>
    <t xml:space="preserve">ARTICULATE TECHNOLOGIES </t>
  </si>
  <si>
    <t>PO Created by Req: 121115</t>
  </si>
  <si>
    <t>DON A. ATCHISON</t>
  </si>
  <si>
    <t>181-36-6219.82-041-491000</t>
  </si>
  <si>
    <t>OFFICIALS</t>
  </si>
  <si>
    <t>ATHENS H.S.</t>
  </si>
  <si>
    <t>BAND SHOPPE</t>
  </si>
  <si>
    <t>PO Created by Req: 121013</t>
  </si>
  <si>
    <t>RICKY BILL'S LLC</t>
  </si>
  <si>
    <t>LUNCH</t>
  </si>
  <si>
    <t>199-36-6399.75-001-499000</t>
  </si>
  <si>
    <t>CELESTINE K BYRD</t>
  </si>
  <si>
    <t>BERNARD CAMARILLO</t>
  </si>
  <si>
    <t>461-36-6499.09-001-499000</t>
  </si>
  <si>
    <t>CAPSTONE PRESS</t>
  </si>
  <si>
    <t>PO Created by Req: 121012</t>
  </si>
  <si>
    <t>CARD SERVICES</t>
  </si>
  <si>
    <t>185-36-6399.00-999-499000</t>
  </si>
  <si>
    <t>CHARGES</t>
  </si>
  <si>
    <t>186-11-6399.00-001-411S00</t>
  </si>
  <si>
    <t>199-11-6399.52-001-422S00</t>
  </si>
  <si>
    <t>groceries</t>
  </si>
  <si>
    <t>instruction groceries</t>
  </si>
  <si>
    <t>199-13-6399.00-042-499000</t>
  </si>
  <si>
    <t>199-23-6399.00-103-499000</t>
  </si>
  <si>
    <t>199-36-6411.15-001-499000</t>
  </si>
  <si>
    <t>199-41-6411.00-701-499000</t>
  </si>
  <si>
    <t>199-53-6249.55-728-499000</t>
  </si>
  <si>
    <t>461-36-6499.05-850-499183</t>
  </si>
  <si>
    <t>PLANTS</t>
  </si>
  <si>
    <t>185-36-6398.61-999-491000</t>
  </si>
  <si>
    <t>PIZZAS</t>
  </si>
  <si>
    <t>LAURIE COLEMAN</t>
  </si>
  <si>
    <t>199-13-6411.00-999-423S00</t>
  </si>
  <si>
    <t>COLLIN STREET BAKERY</t>
  </si>
  <si>
    <t>DESSERT FOR PRESS BOX</t>
  </si>
  <si>
    <t>LAURA CONRAD</t>
  </si>
  <si>
    <t>211-13-6411.02-999-424S00</t>
  </si>
  <si>
    <t xml:space="preserve">CORSICANA EDUCATION </t>
  </si>
  <si>
    <t>461-36-6499.01-850-499000</t>
  </si>
  <si>
    <t>WATER</t>
  </si>
  <si>
    <t>CROCKETT CROSS COUNTRY</t>
  </si>
  <si>
    <t>JAZZ PANTS</t>
  </si>
  <si>
    <t>SHOW GEAR</t>
  </si>
  <si>
    <t>DENTON RYAN H.S.</t>
  </si>
  <si>
    <t>181-00-5752.51-001-400000</t>
  </si>
  <si>
    <t>GATE SPLIT</t>
  </si>
  <si>
    <t>PYMT STOPPED 1/31/14</t>
  </si>
  <si>
    <t>DORIS J DILLON</t>
  </si>
  <si>
    <t>199-21-6299.00-999-423S00</t>
  </si>
  <si>
    <t>BRAILLE INSTRUCTION</t>
  </si>
  <si>
    <t>PO Created by Req: 130019</t>
  </si>
  <si>
    <t>865-00-2191.25-001-400000</t>
  </si>
  <si>
    <t>PO Created by Req: 121037</t>
  </si>
  <si>
    <t>Registration</t>
  </si>
  <si>
    <t>EINSTRUCTION CORP.</t>
  </si>
  <si>
    <t>USB cables, Mobi batteries etc</t>
  </si>
  <si>
    <t>ELKHART CROSS COUNTRY</t>
  </si>
  <si>
    <t>EUSTACE CROSS COUNTRY</t>
  </si>
  <si>
    <t>FAIRMONT DALLAS</t>
  </si>
  <si>
    <t>FARMER BROTHERS</t>
  </si>
  <si>
    <t>COFFEE SERVICES</t>
  </si>
  <si>
    <t>COFFEE SVCS</t>
  </si>
  <si>
    <t>FIRST</t>
  </si>
  <si>
    <t>199-11-6399.80-001-422S00</t>
  </si>
  <si>
    <t>PO Created by Req: 121142</t>
  </si>
  <si>
    <t>PO Created by Req: 121078</t>
  </si>
  <si>
    <t>199-11-6399.00-001-422S00</t>
  </si>
  <si>
    <t>PO Created by Req: 121103</t>
  </si>
  <si>
    <t>PO Created by Req: 121091</t>
  </si>
  <si>
    <t>PO Created by Req: 121098</t>
  </si>
  <si>
    <t>199-23-6399.00-001-499000</t>
  </si>
  <si>
    <t>PO Created by Req: 121109</t>
  </si>
  <si>
    <t>PO Created by Req: 121129</t>
  </si>
  <si>
    <t>FLIPPEN GROUP</t>
  </si>
  <si>
    <t>199-11-6321.00-041-411000</t>
  </si>
  <si>
    <t>PO Created by Req: 121069</t>
  </si>
  <si>
    <t>DENISE GOODRICH</t>
  </si>
  <si>
    <t>spanish student policy handboo</t>
  </si>
  <si>
    <t>199-23-6399.00-041-499000</t>
  </si>
  <si>
    <t>PO Created by Req: 121050</t>
  </si>
  <si>
    <t>199-31-6399.00-041-499000</t>
  </si>
  <si>
    <t>PO Created by Req: 121071</t>
  </si>
  <si>
    <t xml:space="preserve">TRANSPORTATION </t>
  </si>
  <si>
    <t>PO Created by Req: 121023</t>
  </si>
  <si>
    <t>K. RICHTER CARDS</t>
  </si>
  <si>
    <t>GROTH MUSIC</t>
  </si>
  <si>
    <t>461-36-6499.05-850-499184</t>
  </si>
  <si>
    <t>PO Created by Req: 121076</t>
  </si>
  <si>
    <t xml:space="preserve">H.L. FLAKE SECURITY </t>
  </si>
  <si>
    <t>supplies</t>
  </si>
  <si>
    <t>ARVID E HALL</t>
  </si>
  <si>
    <t>STAN HANES</t>
  </si>
  <si>
    <t>181-36-6219.51-041-491000</t>
  </si>
  <si>
    <t>HARCOURT OUTLINES INC</t>
  </si>
  <si>
    <t>PENCILS &amp; ERASERS</t>
  </si>
  <si>
    <t>RASHELL HEIEN</t>
  </si>
  <si>
    <t xml:space="preserve">HERITAGE ONE ROOFING, </t>
  </si>
  <si>
    <t>ROOF REPAIRS</t>
  </si>
  <si>
    <t>TERESA HILL</t>
  </si>
  <si>
    <t>JACOBSON LAW FIRM, PC</t>
  </si>
  <si>
    <t>KARDWELL INTERNATIONAL</t>
  </si>
  <si>
    <t>WRIST BANDS</t>
  </si>
  <si>
    <t>HEATHER KING</t>
  </si>
  <si>
    <t>Mentoring Minds</t>
  </si>
  <si>
    <t>PO Created by Req: 121052</t>
  </si>
  <si>
    <t>MICHAEL MITCHELL</t>
  </si>
  <si>
    <t>KELLY MOORE</t>
  </si>
  <si>
    <t xml:space="preserve">MUNICIPAL SERVICES </t>
  </si>
  <si>
    <t>FEES</t>
  </si>
  <si>
    <t>JENNIFER NELSON</t>
  </si>
  <si>
    <t>DARLA NOLEN</t>
  </si>
  <si>
    <t>211-13-6411.01-041-430S00</t>
  </si>
  <si>
    <t>ORIENTAL TRADING CO.</t>
  </si>
  <si>
    <t>J.W.PEPPER &amp; SON, INC.</t>
  </si>
  <si>
    <t>199-11-6399.24-001-411000</t>
  </si>
  <si>
    <t>ADMISSION</t>
  </si>
  <si>
    <t>AARON RANEY</t>
  </si>
  <si>
    <t>CLINIC CAMP</t>
  </si>
  <si>
    <t>ELIZABETH REYNA</t>
  </si>
  <si>
    <t>211-13-6411.04-999-430S00</t>
  </si>
  <si>
    <t>PO Created by Req: 121038</t>
  </si>
  <si>
    <t xml:space="preserve">RUSSELL'S EDUCATIONAL </t>
  </si>
  <si>
    <t>PO Created by Req: 121117</t>
  </si>
  <si>
    <t>SCANTRON CORPORATION</t>
  </si>
  <si>
    <t>PO Created by Req: 121032</t>
  </si>
  <si>
    <t>199-11-6399.72-042-411000</t>
  </si>
  <si>
    <t>SCIENCE WORLD</t>
  </si>
  <si>
    <t>SCIENTIFIC MINDS</t>
  </si>
  <si>
    <t>211-11-6299.02-001-430000</t>
  </si>
  <si>
    <t>PO Created by Req: 121066</t>
  </si>
  <si>
    <t>211-11-6299.02-041-430000</t>
  </si>
  <si>
    <t>PO Created by Req: 121065</t>
  </si>
  <si>
    <t xml:space="preserve">SCRIPPS NATIONAL </t>
  </si>
  <si>
    <t>ENROLLMENT FEE</t>
  </si>
  <si>
    <t>SEARS</t>
  </si>
  <si>
    <t>WASHING MACHINE</t>
  </si>
  <si>
    <t>DANIEL SMITH JR</t>
  </si>
  <si>
    <t>SIGNS</t>
  </si>
  <si>
    <t>NANCY A SKRABANEK</t>
  </si>
  <si>
    <t>240-35-6299.00-999-499000</t>
  </si>
  <si>
    <t>CONSULTANT FEES</t>
  </si>
  <si>
    <t>SPIRIT CELEBRATION/CGA</t>
  </si>
  <si>
    <t>COMPETITION SQUAD</t>
  </si>
  <si>
    <t>LORIE STOVALL</t>
  </si>
  <si>
    <t>255-11-6411.00-999-430S00</t>
  </si>
  <si>
    <t>'STYLE TAILORS</t>
  </si>
  <si>
    <t>199-11-6399.65-001-411000</t>
  </si>
  <si>
    <t>HEM SVCS</t>
  </si>
  <si>
    <t>TACO SHOP</t>
  </si>
  <si>
    <t>199-36-6412.15-001-499000</t>
  </si>
  <si>
    <t>LUNCHES</t>
  </si>
  <si>
    <t>TASA/TASB CONVENTION</t>
  </si>
  <si>
    <t>181-36-6495.61-999-491000</t>
  </si>
  <si>
    <t>TCEA</t>
  </si>
  <si>
    <t>CONVENTION FEE</t>
  </si>
  <si>
    <t xml:space="preserve">TECHNOLOGY FOR </t>
  </si>
  <si>
    <t>PO Created by Req: 121055</t>
  </si>
  <si>
    <t>PO Created by Req: 121094</t>
  </si>
  <si>
    <t>PO Created by Req: 121028</t>
  </si>
  <si>
    <t xml:space="preserve">TEXAS DEPT OF PUBLIC </t>
  </si>
  <si>
    <t>CRIMINAL HISTORY</t>
  </si>
  <si>
    <t>THIRD AVENUE MARKET</t>
  </si>
  <si>
    <t>HAMBURGER PATTIES</t>
  </si>
  <si>
    <t>TTUISD</t>
  </si>
  <si>
    <t>199-31-6339.00-999-499000</t>
  </si>
  <si>
    <t>PO Created by Req: 121017</t>
  </si>
  <si>
    <t>199-52-6399.00-999-499000</t>
  </si>
  <si>
    <t>PO Created by Req: 121089</t>
  </si>
  <si>
    <t>UNIVERSITY HOTEL</t>
  </si>
  <si>
    <t>199-52-6411.00-999-499000</t>
  </si>
  <si>
    <t xml:space="preserve">WALSWORTH PUBLISHING </t>
  </si>
  <si>
    <t>YEARBOOKS</t>
  </si>
  <si>
    <t>SHENITA WALTER</t>
  </si>
  <si>
    <t>ALANDUS WEAVER</t>
  </si>
  <si>
    <t>199-21-6269.00-999-499000</t>
  </si>
  <si>
    <t>199-53-6269.55-728-499000</t>
  </si>
  <si>
    <t>DIANE ACOCK</t>
  </si>
  <si>
    <t>199-23-6411.00-103-499000</t>
  </si>
  <si>
    <t>LORI AGUILAR</t>
  </si>
  <si>
    <t>API, INC.</t>
  </si>
  <si>
    <t>PO Created by Req: 121100</t>
  </si>
  <si>
    <t>199-51-6259.55-999-499270</t>
  </si>
  <si>
    <t>199-51-6259.30-041-499075</t>
  </si>
  <si>
    <t>199-51-6259.30-101-499075</t>
  </si>
  <si>
    <t>199-51-6259.30-103-499075</t>
  </si>
  <si>
    <t>199-51-6259.30-999-499091</t>
  </si>
  <si>
    <t>AUDIO ELECTRONICS,INC.</t>
  </si>
  <si>
    <t>199-33-6399.00-999-499S00</t>
  </si>
  <si>
    <t>PO Created by Req: 121053</t>
  </si>
  <si>
    <t>B.E. PUBLISHING</t>
  </si>
  <si>
    <t>PO Created by Req: 121097</t>
  </si>
  <si>
    <t>BLACKSOXS</t>
  </si>
  <si>
    <t>865-00-2191.37-001-400000</t>
  </si>
  <si>
    <t>THE BOX OFFICE</t>
  </si>
  <si>
    <t>LION KING TICKETS</t>
  </si>
  <si>
    <t>DEBBIE BRIGGS</t>
  </si>
  <si>
    <t>199-33-6411.00-999-499S00</t>
  </si>
  <si>
    <t>CAREN BROWN-SMITH</t>
  </si>
  <si>
    <t>BSN SPORTS INC.</t>
  </si>
  <si>
    <t>181-36-6399.00-999-491000</t>
  </si>
  <si>
    <t>PO Created by Req: 121174</t>
  </si>
  <si>
    <t xml:space="preserve">CANTON ISD-GIRLS BB </t>
  </si>
  <si>
    <t>CARL WHITE AUTOPLEX</t>
  </si>
  <si>
    <t xml:space="preserve">CAROLINA BIOLOGICAL </t>
  </si>
  <si>
    <t>PO Created by Req: 121035</t>
  </si>
  <si>
    <t xml:space="preserve">CHAMBER THEATRE </t>
  </si>
  <si>
    <t>TICKETS</t>
  </si>
  <si>
    <t>DATE CANCELLED</t>
  </si>
  <si>
    <t>865-00-2191.48-001-400000</t>
  </si>
  <si>
    <t>CHICKEN EXPRESS</t>
  </si>
  <si>
    <t>CINTAS FIRST AID &amp; SAFETY</t>
  </si>
  <si>
    <t>199-51-6259.00-999-499010</t>
  </si>
  <si>
    <t>CARRIE NORMAN</t>
  </si>
  <si>
    <t>435-11-6299.00-999-423S00</t>
  </si>
  <si>
    <t>PO Created by Req: 121166</t>
  </si>
  <si>
    <t>COPY CENTER</t>
  </si>
  <si>
    <t>PO Created by Req: 121101</t>
  </si>
  <si>
    <t>OFELIA CORRINGTON</t>
  </si>
  <si>
    <t>199-41-6499.03-750-499000</t>
  </si>
  <si>
    <t>DRINKS-NEW EMPLOYEE</t>
  </si>
  <si>
    <t>CONVOCATION BREAKFAST</t>
  </si>
  <si>
    <t>199-51-6319.50-042-499075</t>
  </si>
  <si>
    <t>CASH DISCOUNT</t>
  </si>
  <si>
    <t>199-51-6319.50-999-499006</t>
  </si>
  <si>
    <t>PO Created by Req: 121135</t>
  </si>
  <si>
    <t>PRINTES</t>
  </si>
  <si>
    <t>199-23-6411.00-001-499000</t>
  </si>
  <si>
    <t>Registrations</t>
  </si>
  <si>
    <t>199-23-6411.00-105-499000</t>
  </si>
  <si>
    <t xml:space="preserve">EDUCATION SVC CENTER </t>
  </si>
  <si>
    <t>PO Created by Req: 121107</t>
  </si>
  <si>
    <t>ELITE ATHLETICS</t>
  </si>
  <si>
    <t>T SHIRT ADVERTISING</t>
  </si>
  <si>
    <t>EMBASSY SUITES</t>
  </si>
  <si>
    <t>435-21-6411.22-999-423S00</t>
  </si>
  <si>
    <t>FEDEX</t>
  </si>
  <si>
    <t>SHIPPING SVC</t>
  </si>
  <si>
    <t>FERGUSON</t>
  </si>
  <si>
    <t>DISPOSAL</t>
  </si>
  <si>
    <t>PO Created by Req: 121162</t>
  </si>
  <si>
    <t>199-11-6399.02-999-424S53</t>
  </si>
  <si>
    <t>PO Created by Req: 121058</t>
  </si>
  <si>
    <t>PO Created by Req: 121137</t>
  </si>
  <si>
    <t>GILFILLAN HARDWARE</t>
  </si>
  <si>
    <t>199-51-6319.50-999-499010</t>
  </si>
  <si>
    <t>SPEECH THERAPY SVCX</t>
  </si>
  <si>
    <t>211-11-6399.00-999-430SCR</t>
  </si>
  <si>
    <t>New TEKS booklets</t>
  </si>
  <si>
    <t>MARTHA HARTLEY</t>
  </si>
  <si>
    <t>211-13-6411.01-042-430S00</t>
  </si>
  <si>
    <t>BLADE HEALEY</t>
  </si>
  <si>
    <t>GAY LYN HENDRIK</t>
  </si>
  <si>
    <t>TISHA HUDDLESTON</t>
  </si>
  <si>
    <t>435-13-6411.00-999-423S00</t>
  </si>
  <si>
    <t>HYATT</t>
  </si>
  <si>
    <t>KUDER INC.</t>
  </si>
  <si>
    <t>RENEWAL</t>
  </si>
  <si>
    <t>LAMPASAS ISD</t>
  </si>
  <si>
    <t>LEGO EDUCATION</t>
  </si>
  <si>
    <t>PO Created by Req: 121140</t>
  </si>
  <si>
    <t>KENNETH MANGAN</t>
  </si>
  <si>
    <t>MARRIOTT</t>
  </si>
  <si>
    <t>199-13-6411.02-999-424S53</t>
  </si>
  <si>
    <t>199-36-6412.74-001-499000</t>
  </si>
  <si>
    <t>DENISE MCREYNOLDS</t>
  </si>
  <si>
    <t xml:space="preserve">NAVARRO COLLEGE BOOK </t>
  </si>
  <si>
    <t>NORTH TEXAS FILTER LLC</t>
  </si>
  <si>
    <t>FILTER SVCS</t>
  </si>
  <si>
    <t>FILTER SVC</t>
  </si>
  <si>
    <t>199-51-6249.00-042-499075</t>
  </si>
  <si>
    <t>199-51-6249.00-999-499000</t>
  </si>
  <si>
    <t>199-51-6249.00-999-499006</t>
  </si>
  <si>
    <t>199-51-6249.00-999-499008</t>
  </si>
  <si>
    <t>OAK RIDGE HS AFJROTC</t>
  </si>
  <si>
    <t xml:space="preserve">ON YOUR OWN COAST TO </t>
  </si>
  <si>
    <t>PO Created by Req: 121113</t>
  </si>
  <si>
    <t>435-11-6399.00-999-423S00</t>
  </si>
  <si>
    <t>CHERYL PRATT</t>
  </si>
  <si>
    <t>461-36-6499.00-850-499081</t>
  </si>
  <si>
    <t>INX LLC</t>
  </si>
  <si>
    <t>199-11-6399.55-728-499000</t>
  </si>
  <si>
    <t>PO Created by Req: 121043</t>
  </si>
  <si>
    <t>PO Created by Req: 121026</t>
  </si>
  <si>
    <t>PO Created by Req: 121102</t>
  </si>
  <si>
    <t>PO Created by Req: 121086</t>
  </si>
  <si>
    <t>Relampit</t>
  </si>
  <si>
    <t>PO Created by Req: 121064</t>
  </si>
  <si>
    <t>PO Created by Req: 121056</t>
  </si>
  <si>
    <t>KARI RICHTER</t>
  </si>
  <si>
    <t>SAFETY GEAR ONLINE</t>
  </si>
  <si>
    <t>PO Created by Req: 121144</t>
  </si>
  <si>
    <t>STUDENT PLANNERS</t>
  </si>
  <si>
    <t>SCHOOL SPECIALTY</t>
  </si>
  <si>
    <t>PO Created by Req: 130016</t>
  </si>
  <si>
    <t>PO Created by Req: 121105</t>
  </si>
  <si>
    <t>199-11-6399.14-041-411000</t>
  </si>
  <si>
    <t>CENTRICITY2 ESSENTIAL</t>
  </si>
  <si>
    <t>MARTI SHANER</t>
  </si>
  <si>
    <t>199-21-6399.00-999-4990CR</t>
  </si>
  <si>
    <t>211-21-6411.00-999-430S00</t>
  </si>
  <si>
    <t>SIX FLAGS OVER TEXAS</t>
  </si>
  <si>
    <t>CARTNEY SLAUGHTER</t>
  </si>
  <si>
    <t>CCAR</t>
  </si>
  <si>
    <t>199-11-6399.11-001-422S00</t>
  </si>
  <si>
    <t>PO Created by Req: 121047</t>
  </si>
  <si>
    <t>STANDARD STATIONERY</t>
  </si>
  <si>
    <t>PO Created by Req: 130018</t>
  </si>
  <si>
    <t>199-13-6399.00-999-421SGT</t>
  </si>
  <si>
    <t>ALTERATIONS</t>
  </si>
  <si>
    <t>TABE</t>
  </si>
  <si>
    <t>TALK TOOLS</t>
  </si>
  <si>
    <t>Speech / Beasley</t>
  </si>
  <si>
    <t>PO Created by Req: 121143</t>
  </si>
  <si>
    <t xml:space="preserve">TEXAS ASSN OF STUDENT </t>
  </si>
  <si>
    <t xml:space="preserve">TEXAS INTERPRETING SVCS., </t>
  </si>
  <si>
    <t>INTERPRETING SVCS</t>
  </si>
  <si>
    <t>THERESSA THACKER</t>
  </si>
  <si>
    <t>NAME PLATES</t>
  </si>
  <si>
    <t>U S POSTMASTER</t>
  </si>
  <si>
    <t>STAMPS</t>
  </si>
  <si>
    <t>VEX ROBOTICS INC.</t>
  </si>
  <si>
    <t>SHIPPING FOR GRANT KITS</t>
  </si>
  <si>
    <t>VICTORIAN SAMPLE FLORIST</t>
  </si>
  <si>
    <t>VITTERS TRACTOR, INC.</t>
  </si>
  <si>
    <t>GREGORY WATKINS</t>
  </si>
  <si>
    <t>SCOTT WELLS</t>
  </si>
  <si>
    <t>WHATABURGER</t>
  </si>
  <si>
    <t>WINTERS OIL PARTNERS CO</t>
  </si>
  <si>
    <t>199-34-6311.00-999-499000</t>
  </si>
  <si>
    <t>FUEL</t>
  </si>
  <si>
    <t>CINDY WOODY</t>
  </si>
  <si>
    <t>WYNNE MOTOR COACHES</t>
  </si>
  <si>
    <t>199-11-6494.00-103-411000</t>
  </si>
  <si>
    <t>CHARTER BUSES DEPOSIT</t>
  </si>
  <si>
    <t>BRENNA YORK</t>
  </si>
  <si>
    <t>MORPHOTRUST USA</t>
  </si>
  <si>
    <t>FINGERPRINT ACCOUNT</t>
  </si>
  <si>
    <t>199-11-6399.71-041-411000</t>
  </si>
  <si>
    <t>REGULATORS</t>
  </si>
  <si>
    <t>PLUMBING SVC</t>
  </si>
  <si>
    <t>ALERT SERVICES</t>
  </si>
  <si>
    <t>PO Created by Req: 121134</t>
  </si>
  <si>
    <t>PO Created by Req: 121153</t>
  </si>
  <si>
    <t>PO Created by Req: 121155</t>
  </si>
  <si>
    <t>GATORADE</t>
  </si>
  <si>
    <t>RECYCLE SERVICE</t>
  </si>
  <si>
    <t>ALPEN OPTICS</t>
  </si>
  <si>
    <t>PO Created by Req: 121110</t>
  </si>
  <si>
    <t>ANNA SANDERS</t>
  </si>
  <si>
    <t>199-51-6259.30-001-422075</t>
  </si>
  <si>
    <t>199-51-6259.30-001-499075</t>
  </si>
  <si>
    <t>199-51-6259.30-999-499006</t>
  </si>
  <si>
    <t>JERMAHL BATTEE</t>
  </si>
  <si>
    <t>GARY WAYNE BROWN</t>
  </si>
  <si>
    <t>PEST CONTROL</t>
  </si>
  <si>
    <t>BIG H TIRE SERVICE, INC.</t>
  </si>
  <si>
    <t>PLANT</t>
  </si>
  <si>
    <t>BLUE BELL CREAMERIES</t>
  </si>
  <si>
    <t>199-36-6499.75-001-499000</t>
  </si>
  <si>
    <t>ENTRY FEES</t>
  </si>
  <si>
    <t>STEPHEN BRISTOL</t>
  </si>
  <si>
    <t>199-36-6219.75-001-499000</t>
  </si>
  <si>
    <t>DEBATE JUDGE</t>
  </si>
  <si>
    <t>BRODHEAD GARRETT</t>
  </si>
  <si>
    <t>PO Created by Req: 121045</t>
  </si>
  <si>
    <t>TABITHA BROTHERTON</t>
  </si>
  <si>
    <t>PO Created by Req: 121167</t>
  </si>
  <si>
    <t>BIOAMP PROG</t>
  </si>
  <si>
    <t>CESD</t>
  </si>
  <si>
    <t>Registration for Dyslexia Conf</t>
  </si>
  <si>
    <t>211-31-6411.01-101-430S00</t>
  </si>
  <si>
    <t>CHANEY SERVICE CO.</t>
  </si>
  <si>
    <t>HEAT PUMP</t>
  </si>
  <si>
    <t>AC-5TON</t>
  </si>
  <si>
    <t>AC REPAIR</t>
  </si>
  <si>
    <t>AC</t>
  </si>
  <si>
    <t>AC - 5 TON</t>
  </si>
  <si>
    <t>FAN MOTOR</t>
  </si>
  <si>
    <t>AC REPLACEMENT</t>
  </si>
  <si>
    <t>199-51-6249.02-001-499075</t>
  </si>
  <si>
    <t xml:space="preserve">COMPRESSOR </t>
  </si>
  <si>
    <t xml:space="preserve">CINTAS DOCUMENT </t>
  </si>
  <si>
    <t>SHREDDING SVC</t>
  </si>
  <si>
    <t>COLLEGE BOARD</t>
  </si>
  <si>
    <t>senior report</t>
  </si>
  <si>
    <t>COLORADO BOXED BEEF CO.</t>
  </si>
  <si>
    <t>COMMODITIES</t>
  </si>
  <si>
    <t>FUEL CHARGE</t>
  </si>
  <si>
    <t xml:space="preserve">COMPLIANCE CONSORTIUM </t>
  </si>
  <si>
    <t xml:space="preserve">CORNISH MEDICAL </t>
  </si>
  <si>
    <t>PO Created by Req: 121136</t>
  </si>
  <si>
    <t>SERVICES</t>
  </si>
  <si>
    <t>UNIFORM CLEANING</t>
  </si>
  <si>
    <t>LAUNDRY OF CUP TOWELS</t>
  </si>
  <si>
    <t>LEGAL AD</t>
  </si>
  <si>
    <t>COUNTY ELECTRIC INC.</t>
  </si>
  <si>
    <t>RECEPTACLES</t>
  </si>
  <si>
    <t xml:space="preserve">TRANSFORMER CHANGE </t>
  </si>
  <si>
    <t>199-53-6639.55-728-499001</t>
  </si>
  <si>
    <t>SERVER TECH PROGRAM</t>
  </si>
  <si>
    <t>VINYL</t>
  </si>
  <si>
    <t>CERAMIC</t>
  </si>
  <si>
    <t>199-51-6319.00-999-499010</t>
  </si>
  <si>
    <t>240-35-6342.00-999-499000</t>
  </si>
  <si>
    <t>PAPER TOWELS, ETC</t>
  </si>
  <si>
    <t xml:space="preserve">DORIAN BUSINESS SYSTEMS, </t>
  </si>
  <si>
    <t>ALARM SVC</t>
  </si>
  <si>
    <t>240-35-6249.00-999-499000</t>
  </si>
  <si>
    <t>199-23-6411.00-102-499000</t>
  </si>
  <si>
    <t>WORKSHOP</t>
  </si>
  <si>
    <t>EDUCATIONAL ENTERPRISES</t>
  </si>
  <si>
    <t>ALL STATE CHOIR SET</t>
  </si>
  <si>
    <t>LURA L EDWARDS</t>
  </si>
  <si>
    <t>CAROLE ELKIN</t>
  </si>
  <si>
    <t>VOIDED 2/13</t>
  </si>
  <si>
    <t>ENNIS AUTO RECYCLERS</t>
  </si>
  <si>
    <t>FASTENAL COMPANY</t>
  </si>
  <si>
    <t xml:space="preserve">FIREMAN'S PEST CONTROL </t>
  </si>
  <si>
    <t>PO Created by Req: 121177</t>
  </si>
  <si>
    <t>PO Created by Req: 121210</t>
  </si>
  <si>
    <t>PO Created by Req: 121215</t>
  </si>
  <si>
    <t>PO Created by Req: 121201</t>
  </si>
  <si>
    <t xml:space="preserve">COUNTERFEIT DETECTR </t>
  </si>
  <si>
    <t>199-12-6399.00-999-499000</t>
  </si>
  <si>
    <t>PO Created by Req: 121085</t>
  </si>
  <si>
    <t>461-36-6499.12-041-499000</t>
  </si>
  <si>
    <t>SHOP SUPPLIES</t>
  </si>
  <si>
    <t>GLEN ROSE ATHLETICS</t>
  </si>
  <si>
    <t>GLOBAL INDUSTRIAL</t>
  </si>
  <si>
    <t>PO Created by Req: 121054</t>
  </si>
  <si>
    <t>PO Created by Req: 121163</t>
  </si>
  <si>
    <t>GOODHEART-WILLCOX</t>
  </si>
  <si>
    <t>PO Created by Req: 121099</t>
  </si>
  <si>
    <t>GOVCONNECTION,INC.</t>
  </si>
  <si>
    <t>PO Created by Req: 121200</t>
  </si>
  <si>
    <t>BOB GREEN</t>
  </si>
  <si>
    <t>PO Created by Req: 121077</t>
  </si>
  <si>
    <t>CAPRENTRY SVC</t>
  </si>
  <si>
    <t>HENRY SCHEIN</t>
  </si>
  <si>
    <t>PO Created by Req: 121133</t>
  </si>
  <si>
    <t>PORTABLE RADIOS</t>
  </si>
  <si>
    <t>HYDROTEX</t>
  </si>
  <si>
    <t>ID WHOLESALE SOUTH</t>
  </si>
  <si>
    <t>COLOR RIBBON</t>
  </si>
  <si>
    <t>LANYARDS</t>
  </si>
  <si>
    <t>INDECO SALES, INC.</t>
  </si>
  <si>
    <t>PO Created by Req: 121024</t>
  </si>
  <si>
    <t>PO Created by Req: 121019</t>
  </si>
  <si>
    <t>TABLES</t>
  </si>
  <si>
    <t>JEFF JENKINS</t>
  </si>
  <si>
    <t>BATS</t>
  </si>
  <si>
    <t>TOW SVC</t>
  </si>
  <si>
    <t>THE LAB</t>
  </si>
  <si>
    <t>199-36-6219.00-999-499000</t>
  </si>
  <si>
    <t>DRUG SCREENING</t>
  </si>
  <si>
    <t>NON FOOD</t>
  </si>
  <si>
    <t>SABRINIA LANGLEY</t>
  </si>
  <si>
    <t>SHERI LEAMON</t>
  </si>
  <si>
    <t>PO Created by Req: 121046</t>
  </si>
  <si>
    <t>KEN LETTRE</t>
  </si>
  <si>
    <t>PHONE REPAIR</t>
  </si>
  <si>
    <t>INTERCOM REPAIR</t>
  </si>
  <si>
    <t>PHONE REPAIRS</t>
  </si>
  <si>
    <t>199-51-6249.00-999-499091</t>
  </si>
  <si>
    <t>PA SYSTEM REPAIR</t>
  </si>
  <si>
    <t>LONGHORN BUS SALES</t>
  </si>
  <si>
    <t>199-34-6631.00-999-499000</t>
  </si>
  <si>
    <t>BUSES</t>
  </si>
  <si>
    <t>Tx. Scottish Rite Hospital</t>
  </si>
  <si>
    <t>199-11-6399.02-999-424S50</t>
  </si>
  <si>
    <t>PO Created by Req: 121060</t>
  </si>
  <si>
    <t>JENNIFER MANN</t>
  </si>
  <si>
    <t>MARKS PLUMBING PARTS</t>
  </si>
  <si>
    <t>MCCOY'S</t>
  </si>
  <si>
    <t>MEDCO SPORTS MEDICINE</t>
  </si>
  <si>
    <t>PO Created by Req: 121156</t>
  </si>
  <si>
    <t>RUTH MEGGS</t>
  </si>
  <si>
    <t>199-13-6219.00-105-430S00</t>
  </si>
  <si>
    <t>CAMPUS INTERVENTION</t>
  </si>
  <si>
    <t>PO Created by Req: 121169</t>
  </si>
  <si>
    <t>PO Created by Req: 121087</t>
  </si>
  <si>
    <t>MUSICIAN'S FRIEND</t>
  </si>
  <si>
    <t>461-36-6499.05-850-499180</t>
  </si>
  <si>
    <t>PO Created by Req: 121145</t>
  </si>
  <si>
    <t>NAVARRO PIPE &amp; STEEL</t>
  </si>
  <si>
    <t>461-36-6499.05-850-499182</t>
  </si>
  <si>
    <t>LOCKSMITH</t>
  </si>
  <si>
    <t>865-00-2191.05-001-400000</t>
  </si>
  <si>
    <t>STEPHEN ONEAL</t>
  </si>
  <si>
    <t>STARCHER TICKET IN ERROR</t>
  </si>
  <si>
    <t>OWEN HARDWARE, INC.</t>
  </si>
  <si>
    <t>ELIZABETH ANN WYLIE</t>
  </si>
  <si>
    <t>POPCORN</t>
  </si>
  <si>
    <t>PERFORMANCE TRAILERS</t>
  </si>
  <si>
    <t>POWERCOATING PROJ</t>
  </si>
  <si>
    <t>PIPER-WEATHERFORD CO.</t>
  </si>
  <si>
    <t>ARTHUR PREVOST</t>
  </si>
  <si>
    <t>VOIDED 12/16</t>
  </si>
  <si>
    <t>PURVIS BEARING SERVICE</t>
  </si>
  <si>
    <t>PO Created by Req: 121127</t>
  </si>
  <si>
    <t>CHERI RAGSDALE</t>
  </si>
  <si>
    <t>REDNECK, INC.</t>
  </si>
  <si>
    <t>TRAILER PARTS</t>
  </si>
  <si>
    <t>199-53-6291.55-728-499000</t>
  </si>
  <si>
    <t>CONSULTING SVC</t>
  </si>
  <si>
    <t>RODNEY ROSS</t>
  </si>
  <si>
    <t>RUSH BUS CENTERS</t>
  </si>
  <si>
    <t>RUSH TRUCK CENTER</t>
  </si>
  <si>
    <t>JAMES RUSSELL</t>
  </si>
  <si>
    <t>SAFETY-KLEEN CORP</t>
  </si>
  <si>
    <t>PO Created by Req: 121062</t>
  </si>
  <si>
    <t>PO Created by Req: 121161</t>
  </si>
  <si>
    <t>PO Created by Req: 121088</t>
  </si>
  <si>
    <t>WASHER</t>
  </si>
  <si>
    <t>TERRY SETH</t>
  </si>
  <si>
    <t>TASB TRAVEL REIMB</t>
  </si>
  <si>
    <t>SHIFFLER EQUIPMENT SALES</t>
  </si>
  <si>
    <t xml:space="preserve">SMALL ENGINE SALE &amp; </t>
  </si>
  <si>
    <t>CHARLES L SMITH</t>
  </si>
  <si>
    <t>AMELIA SOLIS</t>
  </si>
  <si>
    <t>ROBIN STEVENS</t>
  </si>
  <si>
    <t>199-13-6411.00-103-499000</t>
  </si>
  <si>
    <t>STUDIES WEEKLY, INC.</t>
  </si>
  <si>
    <t>PO Created by Req: 121034</t>
  </si>
  <si>
    <t>SUNDANCE</t>
  </si>
  <si>
    <t>PO Created by Req: 121063</t>
  </si>
  <si>
    <t>STEVEN E SUTHERLIN</t>
  </si>
  <si>
    <t>TEAM GO FIGURE</t>
  </si>
  <si>
    <t>PO Created by Req: 121128</t>
  </si>
  <si>
    <t>TEXAS MOTION SPORTS</t>
  </si>
  <si>
    <t>FIELD PROPS</t>
  </si>
  <si>
    <t>TEXAS THESPIANS</t>
  </si>
  <si>
    <t>199-36-6411.74-001-499000</t>
  </si>
  <si>
    <t>CONVENTION</t>
  </si>
  <si>
    <t>MEAL</t>
  </si>
  <si>
    <t>TIRE DISPOSAL</t>
  </si>
  <si>
    <t>MOUNT &amp; BALANCE</t>
  </si>
  <si>
    <t>LAWN MOWER TIRE</t>
  </si>
  <si>
    <t>TROPICAL BEVERAGE</t>
  </si>
  <si>
    <t>DRINK MIX</t>
  </si>
  <si>
    <t>ULTIMATE OFFICE</t>
  </si>
  <si>
    <t>PO Created by Req: 121168</t>
  </si>
  <si>
    <t>199-34-6249.01-999-499000</t>
  </si>
  <si>
    <t>UNITED RENTALS, INC.</t>
  </si>
  <si>
    <t>BOOM</t>
  </si>
  <si>
    <t>RENTAL</t>
  </si>
  <si>
    <t>TERRENCE M WYATT</t>
  </si>
  <si>
    <t>199-13-6411.02-999-423S00</t>
  </si>
  <si>
    <t>ACCOUNTABILITY TRAINING</t>
  </si>
  <si>
    <t>OVERAGE CHARGES</t>
  </si>
  <si>
    <t>199-11-6269.00-001-422000</t>
  </si>
  <si>
    <t>TEAR DOWN BLDG</t>
  </si>
  <si>
    <t>LARRY ACOCK</t>
  </si>
  <si>
    <t>461-36-6499.06-999-499000</t>
  </si>
  <si>
    <t>PO Created by Req: 121164</t>
  </si>
  <si>
    <t>BOBBY AUGUST</t>
  </si>
  <si>
    <t>B&amp;H PHOTO-VIDEO</t>
  </si>
  <si>
    <t>PO Created by Req: 121096</t>
  </si>
  <si>
    <t>PO Created by Req: 121165</t>
  </si>
  <si>
    <t>SHANNON BELL</t>
  </si>
  <si>
    <t>BERRY CHRYSLER</t>
  </si>
  <si>
    <t>VALERIA BLAINE</t>
  </si>
  <si>
    <t>DECORATIONS FOR CAFE</t>
  </si>
  <si>
    <t>BRIGHT WHITE PAPER CO.</t>
  </si>
  <si>
    <t>PO Created by Req: 121208</t>
  </si>
  <si>
    <t>BENJAMIN S CAPPS</t>
  </si>
  <si>
    <t>REFUND ON STUDENT MEALS</t>
  </si>
  <si>
    <t>KELLY CATE</t>
  </si>
  <si>
    <t>CENGAGE LEARNING</t>
  </si>
  <si>
    <t>PO Created by Req: 121181</t>
  </si>
  <si>
    <t>CORSICANA CHILD NUTR-</t>
  </si>
  <si>
    <t>EGGS</t>
  </si>
  <si>
    <t xml:space="preserve">FLASHLIGHTS BATTERIES </t>
  </si>
  <si>
    <t>CPI</t>
  </si>
  <si>
    <t>ANNUAL MEMBERSHIP</t>
  </si>
  <si>
    <t>JAZZ PAWS</t>
  </si>
  <si>
    <t>DALLAS WIND SYMPHONY</t>
  </si>
  <si>
    <t>199-11-6499.15-001-411000</t>
  </si>
  <si>
    <t>DENIOR NIGHT CONCERT</t>
  </si>
  <si>
    <t>DAVIS &amp; STANTON</t>
  </si>
  <si>
    <t>DICKEY'S BBQ</t>
  </si>
  <si>
    <t>CHECK EQUIPMENT</t>
  </si>
  <si>
    <t>SAAH NEW USER</t>
  </si>
  <si>
    <t>PO Created by Req: 121235</t>
  </si>
  <si>
    <t xml:space="preserve">ENGLISH COLOR &amp; SUPPLY, </t>
  </si>
  <si>
    <t>PO Created by Req: 121186</t>
  </si>
  <si>
    <t>EXCEL GARDEN-</t>
  </si>
  <si>
    <t>PO Created by Req: 121213</t>
  </si>
  <si>
    <t>ANNETTE FAULK</t>
  </si>
  <si>
    <t>FBLA-PBL</t>
  </si>
  <si>
    <t>865-00-2191.40-001-400000</t>
  </si>
  <si>
    <t xml:space="preserve">NATIONAL MEMBERSHIP </t>
  </si>
  <si>
    <t>Counterfeit Pens</t>
  </si>
  <si>
    <t>PO Created by Req: 121217</t>
  </si>
  <si>
    <t>PO Created by Req: 121228</t>
  </si>
  <si>
    <t xml:space="preserve">WORKSTATION&amp; FILE </t>
  </si>
  <si>
    <t>Office Supplies</t>
  </si>
  <si>
    <t>DIANE FROST</t>
  </si>
  <si>
    <t xml:space="preserve">MASTER BLDG SCHEDULE </t>
  </si>
  <si>
    <t>FUDDRUCKERS</t>
  </si>
  <si>
    <t>CONTEST FOOD</t>
  </si>
  <si>
    <t>GREEN LIGHT GROUP TOURS</t>
  </si>
  <si>
    <t>BAND TRIP</t>
  </si>
  <si>
    <t>GREEN PLANET INC.</t>
  </si>
  <si>
    <t>199-11-6399.72-001-411000</t>
  </si>
  <si>
    <t>HAZMAT PICK UP</t>
  </si>
  <si>
    <t xml:space="preserve">BREAKFAST FOR COMP </t>
  </si>
  <si>
    <t>HILLTOP SAND &amp; GRAVEL</t>
  </si>
  <si>
    <t>PEA GRAVEL</t>
  </si>
  <si>
    <t xml:space="preserve">HOWARD TECHNOLOGY </t>
  </si>
  <si>
    <t>PO Created by Req: 121176</t>
  </si>
  <si>
    <t>IN STEP DRILL TEAM PROPS</t>
  </si>
  <si>
    <t>199-36-6399.16-001-491000</t>
  </si>
  <si>
    <t>CONTEST POMS</t>
  </si>
  <si>
    <t>JL LINDSEY ENTERPRISES</t>
  </si>
  <si>
    <t>PO Created by Req: 121049</t>
  </si>
  <si>
    <t>JUNIOR LIBRARY GUILD</t>
  </si>
  <si>
    <t>199-12-6329.00-101-499000</t>
  </si>
  <si>
    <t>199-12-6329.00-105-499000</t>
  </si>
  <si>
    <t>LAMAR H.S.</t>
  </si>
  <si>
    <t>WILLIAM V. MACGILL &amp; CO.</t>
  </si>
  <si>
    <t>PO Created by Req: 121194</t>
  </si>
  <si>
    <t>PO Created by Req: 121178</t>
  </si>
  <si>
    <t xml:space="preserve">MATTHEW BENDER &amp; CO., </t>
  </si>
  <si>
    <t>TRAFFIC LAW BOOKS</t>
  </si>
  <si>
    <t>MAYPEARL ISD</t>
  </si>
  <si>
    <t xml:space="preserve">McCORMICK'S ENTERPRISES, </t>
  </si>
  <si>
    <t>PO Created by Req: 121092</t>
  </si>
  <si>
    <t>LATOYA MILLER</t>
  </si>
  <si>
    <t>199-11-6411.00-999-423SHB</t>
  </si>
  <si>
    <t xml:space="preserve">NAVARRO CENTRAL </t>
  </si>
  <si>
    <t>1ST QUARTER</t>
  </si>
  <si>
    <t>COURTNEY NELSON</t>
  </si>
  <si>
    <t>NORTH TEXAS FUTURE CITY</t>
  </si>
  <si>
    <t>199-11-6499.00-041-411000</t>
  </si>
  <si>
    <t>SCHOOL REGISTRATION</t>
  </si>
  <si>
    <t>CURTIS OAKLEY</t>
  </si>
  <si>
    <t>199-36-6412.15-041-499000</t>
  </si>
  <si>
    <t>PENDERS MUSIC CO</t>
  </si>
  <si>
    <t>199-11-6399.15-041-411000</t>
  </si>
  <si>
    <t>ALLAN D. PERKINS</t>
  </si>
  <si>
    <t>PIANO TUNING</t>
  </si>
  <si>
    <t>POPPLERS MUSIC,INC.</t>
  </si>
  <si>
    <t>461-36-6399.24-105-499000</t>
  </si>
  <si>
    <t>PO Created by Req: 121193</t>
  </si>
  <si>
    <t>PO Created by Req: 121104</t>
  </si>
  <si>
    <t>NARCOTIC DETECTION</t>
  </si>
  <si>
    <t>PO Created by Req: 121211</t>
  </si>
  <si>
    <t>199-23-6399.00-107-499000</t>
  </si>
  <si>
    <t>PO Created by Req: 121218</t>
  </si>
  <si>
    <t xml:space="preserve">SCHOOL ADMINISTRATORS </t>
  </si>
  <si>
    <t>PO Created by Req: 121202</t>
  </si>
  <si>
    <t>SCHOOL HEALTH</t>
  </si>
  <si>
    <t>PO Created by Req: 121204</t>
  </si>
  <si>
    <t>School Outfitters.com</t>
  </si>
  <si>
    <t>211-13-6399.01-999-430SCR</t>
  </si>
  <si>
    <t>PO Created by Req: 121212</t>
  </si>
  <si>
    <t>KAYLA SIMMINGTON</t>
  </si>
  <si>
    <t>SIXTH FLOOR MUSEUM</t>
  </si>
  <si>
    <t>461-36-6499.05-041-499000</t>
  </si>
  <si>
    <t xml:space="preserve">SUMMIT INTEGRATION </t>
  </si>
  <si>
    <t>PO Created by Req: 121027</t>
  </si>
  <si>
    <t>Sunrise Hitek</t>
  </si>
  <si>
    <t>PO Created by Req: 121042</t>
  </si>
  <si>
    <t>TALLEY CHEMICAL</t>
  </si>
  <si>
    <t>PO Created by Req: 130022</t>
  </si>
  <si>
    <t>dusters</t>
  </si>
  <si>
    <t>TASP</t>
  </si>
  <si>
    <t>PO Created by Req: 121057</t>
  </si>
  <si>
    <t xml:space="preserve">TEXAS ASSOC OF SCHOOL </t>
  </si>
  <si>
    <t xml:space="preserve">TEXAS EDUCATIONAL </t>
  </si>
  <si>
    <t>199-36-6399.00-001-499000</t>
  </si>
  <si>
    <t>PO Created by Req: 121116</t>
  </si>
  <si>
    <t>TEXAS FCCLA</t>
  </si>
  <si>
    <t>FCCLA AFFILIATION</t>
  </si>
  <si>
    <t xml:space="preserve">TEXAS H.S. BASEBALL </t>
  </si>
  <si>
    <t>DUES</t>
  </si>
  <si>
    <t xml:space="preserve">TEXAS RENAISSANCE </t>
  </si>
  <si>
    <t>865-00-2191.23-001-400000</t>
  </si>
  <si>
    <t>FOOD VOUCHERS</t>
  </si>
  <si>
    <t xml:space="preserve">TEXAS SOUTHWEST </t>
  </si>
  <si>
    <t>PO Created by Req: 121187</t>
  </si>
  <si>
    <t xml:space="preserve">TEXAS STATE BILLING SVCS </t>
  </si>
  <si>
    <t>199-31-6219.23-999-499000</t>
  </si>
  <si>
    <t>MEDICAID</t>
  </si>
  <si>
    <t>TMEA - REGION 8</t>
  </si>
  <si>
    <t>199-36-6499.15-041-499000</t>
  </si>
  <si>
    <t>CAMP AWARDS</t>
  </si>
  <si>
    <t>TSNAP</t>
  </si>
  <si>
    <t>199-21-6499.00-999-4990CR</t>
  </si>
  <si>
    <t>UNIFIED CONNECTIONS</t>
  </si>
  <si>
    <t>CONTRACTED SVCS</t>
  </si>
  <si>
    <t>ALLISON M VRZALIK</t>
  </si>
  <si>
    <t>VANESSA WILLIAMS</t>
  </si>
  <si>
    <t>JOE YOUNG</t>
  </si>
  <si>
    <t>199-21-6411.00-999-423S00</t>
  </si>
  <si>
    <t>ALAMO DISTRIBUTION LLC</t>
  </si>
  <si>
    <t>PO Created by Req: 121207</t>
  </si>
  <si>
    <t>ALL FOR KIDS</t>
  </si>
  <si>
    <t>YO-YO'S</t>
  </si>
  <si>
    <t>AndyMark</t>
  </si>
  <si>
    <t>PO Created by Req: 121106</t>
  </si>
  <si>
    <t>ASW ENTERPRISES</t>
  </si>
  <si>
    <t>PO Created by Req: 121231</t>
  </si>
  <si>
    <t>199-51-6259.55-999-499000</t>
  </si>
  <si>
    <t>WRONG AMOUNT</t>
  </si>
  <si>
    <t>STADIUM MEALS</t>
  </si>
  <si>
    <t>BLICK ART MATERIALS</t>
  </si>
  <si>
    <t>PO Created by Req: 121147</t>
  </si>
  <si>
    <t xml:space="preserve">BLOOMING GROVE BOOSTER </t>
  </si>
  <si>
    <t>199-11-6399.00-999-424S50</t>
  </si>
  <si>
    <t>199-11-6399.02-999-423S00</t>
  </si>
  <si>
    <t>Groceries</t>
  </si>
  <si>
    <t>groceries FCS</t>
  </si>
  <si>
    <t>gr</t>
  </si>
  <si>
    <t>groceries for instruction</t>
  </si>
  <si>
    <t>199-11-6399.74-001-411000</t>
  </si>
  <si>
    <t>drama budget</t>
  </si>
  <si>
    <t>199-11-6499.74-001-411000</t>
  </si>
  <si>
    <t>199-53-6411.00-728-499000</t>
  </si>
  <si>
    <t>199-53-6411.55-728-499000</t>
  </si>
  <si>
    <t>211-13-6411.01-001-430S00</t>
  </si>
  <si>
    <t>211-13-6411.01-105-430S00</t>
  </si>
  <si>
    <t>211-31-6411.04-999-430S00</t>
  </si>
  <si>
    <t>480-11-6399.00-107-411000</t>
  </si>
  <si>
    <t>CAMPUS GRANTS</t>
  </si>
  <si>
    <t>CARSON-DELLROSA</t>
  </si>
  <si>
    <t>PO Created by Req: 121227</t>
  </si>
  <si>
    <t>181-36-6399.51-001-491000</t>
  </si>
  <si>
    <t>NAME PLATES &amp; SEWING</t>
  </si>
  <si>
    <t>461-36-6399.05-999-499000</t>
  </si>
  <si>
    <t>EMBROIDER HATS</t>
  </si>
  <si>
    <t>REFRESHMENTS</t>
  </si>
  <si>
    <t>199-13-6411.00-999-499000</t>
  </si>
  <si>
    <t xml:space="preserve">CORSICANA NAPA AUTO </t>
  </si>
  <si>
    <t xml:space="preserve">DEPARTMENT OF </t>
  </si>
  <si>
    <t>REPAIRS AT COLLINS</t>
  </si>
  <si>
    <t>199-21-6411.00-001-422S00</t>
  </si>
  <si>
    <t>FAIRFIELD BOOSTER CLUB</t>
  </si>
  <si>
    <t>TOURNAMENT</t>
  </si>
  <si>
    <t>COFFEE</t>
  </si>
  <si>
    <t>FERRIS ALL SPORTS CLUB</t>
  </si>
  <si>
    <t>199-11-6399.28-001-411000</t>
  </si>
  <si>
    <t>PO Created by Req: 121238</t>
  </si>
  <si>
    <t>PO Created by Req: 121250</t>
  </si>
  <si>
    <t>PO Created by Req: 121245</t>
  </si>
  <si>
    <t>PO Created by Req: 121252</t>
  </si>
  <si>
    <t>FOUR SEASONS</t>
  </si>
  <si>
    <t>GOLDEN CIRCLE TREE CARE</t>
  </si>
  <si>
    <t>TREE REMOVAL</t>
  </si>
  <si>
    <t>PO Created by Req: 121209</t>
  </si>
  <si>
    <t>199-23-6399.00-105-499000</t>
  </si>
  <si>
    <t>PO Created by Req: 121021</t>
  </si>
  <si>
    <t>HAMPTON INN</t>
  </si>
  <si>
    <t>263-13-6411.04-999-425S00</t>
  </si>
  <si>
    <t xml:space="preserve">HEARTLAND PAYMENT </t>
  </si>
  <si>
    <t>MENU PLANNING ETC</t>
  </si>
  <si>
    <t>HOLIDAY INN EXPRESS</t>
  </si>
  <si>
    <t>181-36-6412.61-001-491000</t>
  </si>
  <si>
    <t>STEPHANIE HOWELL</t>
  </si>
  <si>
    <t>ID CARDS</t>
  </si>
  <si>
    <t>PO Created by Req: 121206</t>
  </si>
  <si>
    <t>J&amp;S Audio Visual, Inc.</t>
  </si>
  <si>
    <t>PO Created by Req: 121253</t>
  </si>
  <si>
    <t>STEVE KIRKPATRICK</t>
  </si>
  <si>
    <t>LOCKEROOM ART</t>
  </si>
  <si>
    <t>LORA KRANTZ</t>
  </si>
  <si>
    <t xml:space="preserve">LONGHORN INTERNATIONAL </t>
  </si>
  <si>
    <t xml:space="preserve">Magazine Subscription Service </t>
  </si>
  <si>
    <t>199-11-6329.00-001-422S00</t>
  </si>
  <si>
    <t>MAGAZINE BID</t>
  </si>
  <si>
    <t>199-11-6399.20-001-411000</t>
  </si>
  <si>
    <t>199-12-6329.00-001-499000</t>
  </si>
  <si>
    <t>199-12-6329.00-041-499000</t>
  </si>
  <si>
    <t>199-12-6329.00-102-499000</t>
  </si>
  <si>
    <t>199-12-6329.00-107-499000</t>
  </si>
  <si>
    <t>ANGEL MARTINEZ</t>
  </si>
  <si>
    <t>LYNELL MCKISSACK</t>
  </si>
  <si>
    <t>PO Created by Req: 121130</t>
  </si>
  <si>
    <t>REV ED MONK</t>
  </si>
  <si>
    <t>NAVARRO COUNTY NAACP</t>
  </si>
  <si>
    <t>FREEDOM BANQUET</t>
  </si>
  <si>
    <t xml:space="preserve">NCA CHAMPIONSHIP </t>
  </si>
  <si>
    <t>199-36-6499.18-001-491000</t>
  </si>
  <si>
    <t>ORANGEFIELD ISD</t>
  </si>
  <si>
    <t>PAXTON/PATTERSON LLC</t>
  </si>
  <si>
    <t>PO Created by Req: 121095</t>
  </si>
  <si>
    <t>MUSIC</t>
  </si>
  <si>
    <t>PITNEY BOWES INC.</t>
  </si>
  <si>
    <t>MAIL MACHINE SUPPLIES</t>
  </si>
  <si>
    <t>POSITIVE PROMOTIONS, INC.</t>
  </si>
  <si>
    <t>PO Created by Req: 121216</t>
  </si>
  <si>
    <t>DANIELE QUINN</t>
  </si>
  <si>
    <t>Santillana</t>
  </si>
  <si>
    <t>461-36-6499.05-850-499185</t>
  </si>
  <si>
    <t>PO Created by Req: 121205</t>
  </si>
  <si>
    <t>SCHOLASTIC BOOK FAIRS</t>
  </si>
  <si>
    <t>BOOK FAIR</t>
  </si>
  <si>
    <t>Lizzie ONeal</t>
  </si>
  <si>
    <t>SCHOOLDUDE.COM</t>
  </si>
  <si>
    <t>RENEWAL SVC</t>
  </si>
  <si>
    <t>SHERATON</t>
  </si>
  <si>
    <t>Space Center Houston</t>
  </si>
  <si>
    <t>461-36-6499.05-105-499000</t>
  </si>
  <si>
    <t>ADMISSION TICKETS</t>
  </si>
  <si>
    <t>199-53-6399.55-728-499002</t>
  </si>
  <si>
    <t>FANNI PROJECT</t>
  </si>
  <si>
    <t>211-11-6249.00-999-330S00</t>
  </si>
  <si>
    <t>FANNIN PROJECT</t>
  </si>
  <si>
    <t>224-13-6299.00-999-323S00</t>
  </si>
  <si>
    <t>255-21-6399.00-999-399000</t>
  </si>
  <si>
    <t>263-31-6399.00-999-325S00</t>
  </si>
  <si>
    <t>270-53-6639.55-728-399001</t>
  </si>
  <si>
    <t>TERRY DOUGLAS</t>
  </si>
  <si>
    <t>KARLA SWANSON</t>
  </si>
  <si>
    <t xml:space="preserve">POLICY ON LINE INTERNET </t>
  </si>
  <si>
    <t>TENNIS EXPRESS</t>
  </si>
  <si>
    <t>SHOES &amp; STRING MACHINE</t>
  </si>
  <si>
    <t>MEMBER DUES</t>
  </si>
  <si>
    <t xml:space="preserve">TEXAS ASSN OF SCHOOL </t>
  </si>
  <si>
    <t>REGISTRATION-FAULK</t>
  </si>
  <si>
    <t xml:space="preserve">TEXAS WORKFORCE </t>
  </si>
  <si>
    <t>199-41-6145.00-750-499P00</t>
  </si>
  <si>
    <t>UNEMPLOYMENT</t>
  </si>
  <si>
    <t>240-35-6145.00-999-499000</t>
  </si>
  <si>
    <t>TONYA THOMAS</t>
  </si>
  <si>
    <t>GIFT</t>
  </si>
  <si>
    <t>TYLER ALL SAINTS</t>
  </si>
  <si>
    <t xml:space="preserve">UIL AREA D MARCHING </t>
  </si>
  <si>
    <t>MARCHING CONTEST</t>
  </si>
  <si>
    <t>BUS DEPOSIT</t>
  </si>
  <si>
    <t>806 TECHNOLOGIES</t>
  </si>
  <si>
    <t>211-11-6399.00-999-430S00</t>
  </si>
  <si>
    <t>SOFTWARE</t>
  </si>
  <si>
    <t>ACHIEVEMENT PRODUCTS</t>
  </si>
  <si>
    <t>Barbara Arnett / PPCD</t>
  </si>
  <si>
    <t>AMERICAN CANCER SOCIETY</t>
  </si>
  <si>
    <t>DONATION</t>
  </si>
  <si>
    <t>AMPLIFY EDUCATION,INC.</t>
  </si>
  <si>
    <t>199-13-6239.55-728-499000</t>
  </si>
  <si>
    <t>PO Created by Req: 121111</t>
  </si>
  <si>
    <t>211-11-6249.00-999-430S00</t>
  </si>
  <si>
    <t>AREA 8 FFA</t>
  </si>
  <si>
    <t>DISTRICT DUES</t>
  </si>
  <si>
    <t>DIANA L BALES</t>
  </si>
  <si>
    <t>185-36-6219.00-001-491000</t>
  </si>
  <si>
    <t>BRYAN ADAMS H.S. GOLF</t>
  </si>
  <si>
    <t>THELMA CANADY</t>
  </si>
  <si>
    <t>TEXTBOOK REIMB</t>
  </si>
  <si>
    <t>199-11-6399.72-001-411SAP</t>
  </si>
  <si>
    <t>PO Created by Req: 121261</t>
  </si>
  <si>
    <t xml:space="preserve">CURRICULUM ASSOCIATES, </t>
  </si>
  <si>
    <t>PO Created by Req: 121272</t>
  </si>
  <si>
    <t>865-00-2191.47-001-400000</t>
  </si>
  <si>
    <t xml:space="preserve">DALLAS ARBORETUM ED </t>
  </si>
  <si>
    <t>DALLAS ZOO</t>
  </si>
  <si>
    <t>JOSE A DAVILA</t>
  </si>
  <si>
    <t>ROUTINE</t>
  </si>
  <si>
    <t>CORNERSTONE POLOS</t>
  </si>
  <si>
    <t xml:space="preserve">DEANAN GOURMET </t>
  </si>
  <si>
    <t>SETH DOUGLAS</t>
  </si>
  <si>
    <t>SBDC CERT</t>
  </si>
  <si>
    <t xml:space="preserve">EDUCATIONAL THEATRE </t>
  </si>
  <si>
    <t>PO Created by Req: 121119</t>
  </si>
  <si>
    <t>PO Created by Req: 121270</t>
  </si>
  <si>
    <t>PO Created by Req: 121259</t>
  </si>
  <si>
    <t>PO Created by Req: 121223</t>
  </si>
  <si>
    <t>PAMELA FOX</t>
  </si>
  <si>
    <t>PYMT STOPPED 1/14</t>
  </si>
  <si>
    <t>PO Created by Req: 121183</t>
  </si>
  <si>
    <t>RONALD GREER</t>
  </si>
  <si>
    <t>LARRY HAILEY</t>
  </si>
  <si>
    <t>PO Created by Req: 121260</t>
  </si>
  <si>
    <t>199-11-6499.65-001-411000</t>
  </si>
  <si>
    <t>BRENDA HENDERSON</t>
  </si>
  <si>
    <t>VOIDED 11/14/2013</t>
  </si>
  <si>
    <t>TIM HENDRIX</t>
  </si>
  <si>
    <t>HOLIDAY INN</t>
  </si>
  <si>
    <t>JARRETT PUBLISHING CO.</t>
  </si>
  <si>
    <t>PO Created by Req: 121249</t>
  </si>
  <si>
    <t>JOHN TYLER H.S.</t>
  </si>
  <si>
    <t>TICKET SALES</t>
  </si>
  <si>
    <t>LARRY JOHNSON</t>
  </si>
  <si>
    <t>CHARLOTTE JOHNSTON</t>
  </si>
  <si>
    <t>K9 SPORTS</t>
  </si>
  <si>
    <t>KIRBY RESTAURANT SUPPLY</t>
  </si>
  <si>
    <t>PO Created by Req: 121080</t>
  </si>
  <si>
    <t>COY LANCASTER</t>
  </si>
  <si>
    <t>LINDALE ISD</t>
  </si>
  <si>
    <t>LINGUI SYSTEMS</t>
  </si>
  <si>
    <t>JOHN B. MATTHEWS, JR.</t>
  </si>
  <si>
    <t>JEREMY MCKISSACK</t>
  </si>
  <si>
    <t>199-11-6219.24-001-411000</t>
  </si>
  <si>
    <t>ACCOMPANIST</t>
  </si>
  <si>
    <t xml:space="preserve">PATTERSON MEDICAL </t>
  </si>
  <si>
    <t>PO Created by Req: 121157</t>
  </si>
  <si>
    <t>PO Created by Req: 121151</t>
  </si>
  <si>
    <t>PO Created by Req: 121158</t>
  </si>
  <si>
    <t>MICROSOFT CORP.</t>
  </si>
  <si>
    <t>410-11-6399.00-728-499000</t>
  </si>
  <si>
    <t>COVERS</t>
  </si>
  <si>
    <t>DORONDA NEWBILL</t>
  </si>
  <si>
    <t>KAOCHA NEWBILL</t>
  </si>
  <si>
    <t>OLE WEST STEAKHOUSE</t>
  </si>
  <si>
    <t>PBS DISTRIBUTION</t>
  </si>
  <si>
    <t>PO Created by Req: 121114</t>
  </si>
  <si>
    <t>pc/nametag</t>
  </si>
  <si>
    <t>PO Created by Req: 121118</t>
  </si>
  <si>
    <t>CHARLES MIKE PEEK</t>
  </si>
  <si>
    <t>199-11-6399.24-041-411000</t>
  </si>
  <si>
    <t>199-36-6499.24-041-499000</t>
  </si>
  <si>
    <t>BREAKFAST FOR STAFF</t>
  </si>
  <si>
    <t xml:space="preserve">PRECISION BUSINESS </t>
  </si>
  <si>
    <t>PO Created by Req: 121302</t>
  </si>
  <si>
    <t>CABLING MATERIALS</t>
  </si>
  <si>
    <t>PHYLLIS REAGAN</t>
  </si>
  <si>
    <t>REALLY GOOD STUFF</t>
  </si>
  <si>
    <t>PO Created by Req: 121033</t>
  </si>
  <si>
    <t>RED ENGINE PARTY</t>
  </si>
  <si>
    <t>BOUNCE HOUSE</t>
  </si>
  <si>
    <t>SAFETY VISION, LP</t>
  </si>
  <si>
    <t>PO Created by Req: 121146</t>
  </si>
  <si>
    <t>CINDY SANDERS</t>
  </si>
  <si>
    <t>199-11-6399.30-001-411000</t>
  </si>
  <si>
    <t>PO Created by Req: 121219</t>
  </si>
  <si>
    <t>JIM A SCHMIDT</t>
  </si>
  <si>
    <t xml:space="preserve">SCHOLASTIC &amp; SPORTS </t>
  </si>
  <si>
    <t>JACKETS</t>
  </si>
  <si>
    <t>MAGAZINES</t>
  </si>
  <si>
    <t>SCHOLASTIC NEWS</t>
  </si>
  <si>
    <t>PO Created by Req: 121271</t>
  </si>
  <si>
    <t>PO Created by Req: 121274</t>
  </si>
  <si>
    <t>CONSULTANT</t>
  </si>
  <si>
    <t>ANTHONY SMALL</t>
  </si>
  <si>
    <t>CARLA STANFORD</t>
  </si>
  <si>
    <t>JONATHAN SULLIVAN</t>
  </si>
  <si>
    <t>SUPERIOR FUNDRAISING</t>
  </si>
  <si>
    <t>CARDS</t>
  </si>
  <si>
    <t>TEACHER'S DISCOVERY</t>
  </si>
  <si>
    <t>PO Created by Req: 121220</t>
  </si>
  <si>
    <t>TERRELL ISD</t>
  </si>
  <si>
    <t>TEST WISE</t>
  </si>
  <si>
    <t>199-11-6499.00-001-431000</t>
  </si>
  <si>
    <t>STUDENT FEES</t>
  </si>
  <si>
    <t>TEXAS FFA ASSOCIATION</t>
  </si>
  <si>
    <t>STATE DUES</t>
  </si>
  <si>
    <t>TUNEIN</t>
  </si>
  <si>
    <t>PO Created by Req: 121225</t>
  </si>
  <si>
    <t>WALLY'S PARTY FACTORY</t>
  </si>
  <si>
    <t>JERRY WELLMAN</t>
  </si>
  <si>
    <t>KIMBERLY WELLS-BAKER</t>
  </si>
  <si>
    <t xml:space="preserve">LAKE HIGHLANDS WILDCAT </t>
  </si>
  <si>
    <t>DENIECE WOODARD</t>
  </si>
  <si>
    <t>461-36-6499.04-105-499000</t>
  </si>
  <si>
    <t>CHARTER</t>
  </si>
  <si>
    <t>KELLY YOUNG</t>
  </si>
  <si>
    <t>GRANITE &amp; TILE OUTLET II</t>
  </si>
  <si>
    <t>GRANITE</t>
  </si>
  <si>
    <t>181-36-6399.88-001-491000</t>
  </si>
  <si>
    <t>199-33-6411.00-999-499SLN</t>
  </si>
  <si>
    <t>PO Created by Req: 121247</t>
  </si>
  <si>
    <t>CAREER CRUISING</t>
  </si>
  <si>
    <t xml:space="preserve">SPRINGBOARD </t>
  </si>
  <si>
    <t>CFBISD ATHLETICS</t>
  </si>
  <si>
    <t>VOID 4/24/14</t>
  </si>
  <si>
    <t>CK CLEARED BANK ACCOUNT</t>
  </si>
  <si>
    <t>MATH WORKSHOP</t>
  </si>
  <si>
    <t>COUNTRY INN &amp; SUITES</t>
  </si>
  <si>
    <t>199-36-6412.15-001-499B00</t>
  </si>
  <si>
    <t xml:space="preserve">WORKOUT EQUIPMENT </t>
  </si>
  <si>
    <t>HOODIES</t>
  </si>
  <si>
    <t>MARGARET CUTRER</t>
  </si>
  <si>
    <t>211-31-6411.01-041-430S00</t>
  </si>
  <si>
    <t>SARAH DOCKERY</t>
  </si>
  <si>
    <t>DRAMATIC PUBLISHING</t>
  </si>
  <si>
    <t>SCRIPT</t>
  </si>
  <si>
    <t>DUNCANVILLE ATHLETICS</t>
  </si>
  <si>
    <t>KICK OFF CLASSIC</t>
  </si>
  <si>
    <t>199-13-6499.00-107-499000</t>
  </si>
  <si>
    <t>EFS FUNDRAISERS</t>
  </si>
  <si>
    <t>461-36-6499.02-101-499000</t>
  </si>
  <si>
    <t>Y TIES</t>
  </si>
  <si>
    <t>MICHAEL FINKLEA</t>
  </si>
  <si>
    <t>PO Created by Req: 121297</t>
  </si>
  <si>
    <t>SHONNA FRANKLIN</t>
  </si>
  <si>
    <t xml:space="preserve">FRIENDS OF PUBLIC </t>
  </si>
  <si>
    <t>GEORGETOWN AUTO TECH</t>
  </si>
  <si>
    <t>COMPETITION</t>
  </si>
  <si>
    <t>HARRIS RATINGS WEEKLY</t>
  </si>
  <si>
    <t>NEWSLETTERS</t>
  </si>
  <si>
    <t>MARGARET HOSKINS</t>
  </si>
  <si>
    <t>SCHOOL NEWS PAPERS</t>
  </si>
  <si>
    <t>J P JOHNSON</t>
  </si>
  <si>
    <t>KOLTER ENTERPRISES,LLC</t>
  </si>
  <si>
    <t>PO Created by Req: 121121</t>
  </si>
  <si>
    <t>KONE, INC.</t>
  </si>
  <si>
    <t>ELEVATOR REPAIR</t>
  </si>
  <si>
    <t>BOBBY JOHNSTON</t>
  </si>
  <si>
    <t>EXHAUST PIPE</t>
  </si>
  <si>
    <t>LA QUINTA</t>
  </si>
  <si>
    <t xml:space="preserve">LINEBARGER GOGGAN BLAIR </t>
  </si>
  <si>
    <t>199-99-6213.01-703-499000</t>
  </si>
  <si>
    <t xml:space="preserve">FINAL BILL - PROP VALUE </t>
  </si>
  <si>
    <t>MAGNUSON HOTEL</t>
  </si>
  <si>
    <t>BILL MALOY</t>
  </si>
  <si>
    <t>SEAT REPAIRS</t>
  </si>
  <si>
    <t>MAREDY FUNDRAISING</t>
  </si>
  <si>
    <t>865-00-2191.17-001-400000</t>
  </si>
  <si>
    <t>199-36-6412.00-999-499000</t>
  </si>
  <si>
    <t>NAVARRO COLLEGE</t>
  </si>
  <si>
    <t>199-11-6229.00-001-431000</t>
  </si>
  <si>
    <t>FALL TUITION</t>
  </si>
  <si>
    <t xml:space="preserve">NORTH TEXAS TOLLWAY </t>
  </si>
  <si>
    <t>VOID-PRINT CHKS 636.77</t>
  </si>
  <si>
    <t>VOID-PRINT CHKS 631.03</t>
  </si>
  <si>
    <t>VOID-PRINT CHKS 15.9</t>
  </si>
  <si>
    <t>PALESTINE BOYS SOCCER</t>
  </si>
  <si>
    <t>VOID-PRINT CHKS 300</t>
  </si>
  <si>
    <t>PINE TREE SOCCER</t>
  </si>
  <si>
    <t>VOID-PRINT CHKS 525</t>
  </si>
  <si>
    <t>VOID-PRINT CHKS 1628.2</t>
  </si>
  <si>
    <t>VOID-PRINT CHKS 768.04</t>
  </si>
  <si>
    <t>VOID-PRINT CHKS 1650</t>
  </si>
  <si>
    <t>VOID-PRINT CHKS 2646.4</t>
  </si>
  <si>
    <t>VOID-PRINT CHKS 1300</t>
  </si>
  <si>
    <t>VOID-PRINT CHKS 713</t>
  </si>
  <si>
    <t>VOID-PRINT CHKS 260</t>
  </si>
  <si>
    <t>211-23-6411.00-001-430S00</t>
  </si>
  <si>
    <t>VOID-PRINT CHKS 980</t>
  </si>
  <si>
    <t xml:space="preserve">TAYLOR PUBLISHING </t>
  </si>
  <si>
    <t>VOID-PRINT CHKS 400</t>
  </si>
  <si>
    <t>TCASE</t>
  </si>
  <si>
    <t>VOID-PRINT CHKS 280</t>
  </si>
  <si>
    <t>TEP,INC.</t>
  </si>
  <si>
    <t>VOID-PRINT CHKS 41.2</t>
  </si>
  <si>
    <t>TEXAS COUNSELING ASSN</t>
  </si>
  <si>
    <t>199-31-6399.00-105-499000</t>
  </si>
  <si>
    <t>VOID-PRINT CHKS 105</t>
  </si>
  <si>
    <t>VOID-PRINT CHKS 160</t>
  </si>
  <si>
    <t>THSADA</t>
  </si>
  <si>
    <t>VOID-PRINT CHKS 125</t>
  </si>
  <si>
    <t>VOID-PRINT CHKS 540</t>
  </si>
  <si>
    <t>VOID-PRINT CHKS 76</t>
  </si>
  <si>
    <t>VOID-PRINT CHKS 134.34</t>
  </si>
  <si>
    <t>VOID-PRINT CHKS 25.34</t>
  </si>
  <si>
    <t>VOID-PRINT CHKS 177.13</t>
  </si>
  <si>
    <t>VOID-PRINT CHKS 427.29</t>
  </si>
  <si>
    <t>VOID-PRINT CHKS 101.27</t>
  </si>
  <si>
    <t>VOID-PRINT CHKS 62.57</t>
  </si>
  <si>
    <t>VOID-PRINT CHKS 130.16</t>
  </si>
  <si>
    <t>VOID-PRINT CHKS 27.7</t>
  </si>
  <si>
    <t>VOID-PRINT CHKS 50.56</t>
  </si>
  <si>
    <t>VOID-PRINT CHKS 154.76</t>
  </si>
  <si>
    <t>VOID-PRINT CHKS 1888.87</t>
  </si>
  <si>
    <t>VOID-PRINT CHKS 4424.93</t>
  </si>
  <si>
    <t>VOID-PRINT CHKS 314.04</t>
  </si>
  <si>
    <t>VOID-PRINT CHKS 108.56</t>
  </si>
  <si>
    <t>VOID-PRINT CHKS 53.37</t>
  </si>
  <si>
    <t>VOID-PRINT CHKS 45</t>
  </si>
  <si>
    <t>199-11-6494.00-001-422000</t>
  </si>
  <si>
    <t>VOID-PRINT CHKS 54.27</t>
  </si>
  <si>
    <t>VOID-PRINT CHKS 435</t>
  </si>
  <si>
    <t>VOID-PRINT CHKS 104.15</t>
  </si>
  <si>
    <t>VOID-PRINT CHKS 195.15</t>
  </si>
  <si>
    <t>WHITEHOUSE HS</t>
  </si>
  <si>
    <t>VOID-PRINT CHKS 244</t>
  </si>
  <si>
    <t>VOID-PRINT CHKS 31288.31</t>
  </si>
  <si>
    <t>VOID-PRINT CHKS 579</t>
  </si>
  <si>
    <t xml:space="preserve">WORLD'S FINEST </t>
  </si>
  <si>
    <t>VOID-PRINT CHKS 360</t>
  </si>
  <si>
    <t>VOID-PRINT CHKS 154.75</t>
  </si>
  <si>
    <t>199-11-6412.00-107-411000</t>
  </si>
  <si>
    <t>VOID-PRINT CHKS 3512.3</t>
  </si>
  <si>
    <t>VOID-PRINT CHKS 139.19</t>
  </si>
  <si>
    <t>VOID-PRINT CHKS 391.37</t>
  </si>
  <si>
    <t>VOID-PRINT CHKS 2093.38</t>
  </si>
  <si>
    <t>VOID-PRINT CHKS 196.46</t>
  </si>
  <si>
    <t>VOID-PRINT CHKS 670.6</t>
  </si>
  <si>
    <t>VOID-PRINT CHKS 582.95</t>
  </si>
  <si>
    <t>VOID-PRINT CHKS 65.5</t>
  </si>
  <si>
    <t>VOID-PRINT CHKS 133.9</t>
  </si>
  <si>
    <t>VOID-PRINT CHKS 82.75</t>
  </si>
  <si>
    <t>VOID-PRINT CHKS 65.48</t>
  </si>
  <si>
    <t>VOID-PRINT CHKS 133.91</t>
  </si>
  <si>
    <t>DEDUCTIBLE</t>
  </si>
  <si>
    <t>TECH CONSULTING</t>
  </si>
  <si>
    <t>CABLING</t>
  </si>
  <si>
    <t>PO Created by Req: 121221</t>
  </si>
  <si>
    <t>DEPOSIT FOR YEAR BOOKS</t>
  </si>
  <si>
    <t>PO Created by Req: 121251</t>
  </si>
  <si>
    <t>Registration for Convention</t>
  </si>
  <si>
    <t>DUES &amp; FEES</t>
  </si>
  <si>
    <t>CANDY</t>
  </si>
  <si>
    <t>BUS</t>
  </si>
  <si>
    <t>STRIPE PARKING LOT</t>
  </si>
  <si>
    <t>A+ COMPUTER SCIENCE</t>
  </si>
  <si>
    <t>PO Created by Req: 121090</t>
  </si>
  <si>
    <t>AACA PARTS &amp; SUPPLIES</t>
  </si>
  <si>
    <t>BUS NUMBERS</t>
  </si>
  <si>
    <t>WELCOME IMAGE</t>
  </si>
  <si>
    <t>ADVANCE PIERRE FOODS</t>
  </si>
  <si>
    <t>MEATS</t>
  </si>
  <si>
    <t>PO Created by Req: 121184</t>
  </si>
  <si>
    <t>YOYO'S</t>
  </si>
  <si>
    <t>AMERICAN TRAINCO INC.</t>
  </si>
  <si>
    <t>SEMINAR</t>
  </si>
  <si>
    <t>186-11-6639.01-001-411S00</t>
  </si>
  <si>
    <t>PO Created by Req: 121326</t>
  </si>
  <si>
    <t>B &amp; B ATHLETIC SUPPLY</t>
  </si>
  <si>
    <t>PO Created by Req: 121256</t>
  </si>
  <si>
    <t>PO Created by Req: 121273</t>
  </si>
  <si>
    <t>BAUDVILLE</t>
  </si>
  <si>
    <t>PO Created by Req: 121304</t>
  </si>
  <si>
    <t>DEBRA BERRY</t>
  </si>
  <si>
    <t>plants</t>
  </si>
  <si>
    <t>CAMELLIA BOWEN</t>
  </si>
  <si>
    <t>BATTERERY REIMB</t>
  </si>
  <si>
    <t>DRUM HEADS</t>
  </si>
  <si>
    <t>REEDS &amp; MIXERS</t>
  </si>
  <si>
    <t>STICKS</t>
  </si>
  <si>
    <t>STRAP</t>
  </si>
  <si>
    <t>199-11-6399.15-042-411000</t>
  </si>
  <si>
    <t>JEFF BROWN</t>
  </si>
  <si>
    <t>CINDY BRUTON</t>
  </si>
  <si>
    <t>WARM UPS</t>
  </si>
  <si>
    <t>GAME FOOD</t>
  </si>
  <si>
    <t>CECS ROBOTICS ACTIVITIES</t>
  </si>
  <si>
    <t>REGISTRATION FEE</t>
  </si>
  <si>
    <t>BIOAMP PROGRAM</t>
  </si>
  <si>
    <t>FURNACE REPLACEMENT</t>
  </si>
  <si>
    <t>BLOWER ASSEMBLY</t>
  </si>
  <si>
    <t>MOTOR</t>
  </si>
  <si>
    <t>FAN MOTORS</t>
  </si>
  <si>
    <t>CONNECTORS</t>
  </si>
  <si>
    <t>DOCUMENT DESTROYED</t>
  </si>
  <si>
    <t>PO Created by Req: 121059</t>
  </si>
  <si>
    <t>JANICE CLOUD</t>
  </si>
  <si>
    <t>199-11-6412.00-102-411000</t>
  </si>
  <si>
    <t>COBURN SUPPLY CO., INC.</t>
  </si>
  <si>
    <t>FOOD - COMMODITIES</t>
  </si>
  <si>
    <t>DELIVERY FEE</t>
  </si>
  <si>
    <t>JANITA CONGER</t>
  </si>
  <si>
    <t>199-11-6399.76-001-422S00</t>
  </si>
  <si>
    <t>PO Created by Req: 121280</t>
  </si>
  <si>
    <t>199-52-6499.00-999-499000</t>
  </si>
  <si>
    <t>DATA CABLES</t>
  </si>
  <si>
    <t>199-53-6639.55-728-499000</t>
  </si>
  <si>
    <t>SERVER TECH PROG</t>
  </si>
  <si>
    <t>865-00-2191.10-001-400000</t>
  </si>
  <si>
    <t>865-00-2191.51-001-400000</t>
  </si>
  <si>
    <t>ALVIN MULLICAN</t>
  </si>
  <si>
    <t>DUMPSTER FENCE</t>
  </si>
  <si>
    <t>PATRICIA DANIELS</t>
  </si>
  <si>
    <t>LYDIA DAVALOS</t>
  </si>
  <si>
    <t>DELEGARD TOOL OF TEXAS</t>
  </si>
  <si>
    <t>PO Created by Req: 121276</t>
  </si>
  <si>
    <t>DEMCO</t>
  </si>
  <si>
    <t>PO Created by Req: 121312</t>
  </si>
  <si>
    <t>PO Created by Req: 121319</t>
  </si>
  <si>
    <t>MICHAEL DIERKE</t>
  </si>
  <si>
    <t xml:space="preserve">PAPER TOWELS, DETERGENT </t>
  </si>
  <si>
    <t>JILLIAN DOUGLAS</t>
  </si>
  <si>
    <t>RHONDA DULWORTH</t>
  </si>
  <si>
    <t>TABLE CLOTHES</t>
  </si>
  <si>
    <t>RICHARD A DUNKLIN</t>
  </si>
  <si>
    <t>MONITOR SVC</t>
  </si>
  <si>
    <t>eCAMPUS</t>
  </si>
  <si>
    <t>199-11-6499.00-001-411000</t>
  </si>
  <si>
    <t>TARDY ELIMINATOR</t>
  </si>
  <si>
    <t xml:space="preserve">SOLENOID VALVE </t>
  </si>
  <si>
    <t xml:space="preserve">EWELL EDUCATIONAL </t>
  </si>
  <si>
    <t>AET ANNUAL MEMBERSHIP</t>
  </si>
  <si>
    <t>PO Created by Req: 121323</t>
  </si>
  <si>
    <t>PO Created by Req: 121301</t>
  </si>
  <si>
    <t>PO Created by Req: 121330</t>
  </si>
  <si>
    <t>PO Created by Req: 121381</t>
  </si>
  <si>
    <t>PO Created by Req: 121344</t>
  </si>
  <si>
    <t>PO Created by Req: 121365</t>
  </si>
  <si>
    <t>PO Created by Req: 121288</t>
  </si>
  <si>
    <t>PO Created by Req: 121372</t>
  </si>
  <si>
    <t>RETURNED ITEMS</t>
  </si>
  <si>
    <t>PO Created by Req: 121306</t>
  </si>
  <si>
    <t>BRADLEY FORD</t>
  </si>
  <si>
    <t>JAN FORD</t>
  </si>
  <si>
    <t>FSP BOOKS &amp; VIDEOS</t>
  </si>
  <si>
    <t>PO Created by Req: 121293</t>
  </si>
  <si>
    <t>KASSIE GAINES</t>
  </si>
  <si>
    <t>199-13-6411.00-101-499000</t>
  </si>
  <si>
    <t>GALE</t>
  </si>
  <si>
    <t>211-12-6299.00-999-430S00</t>
  </si>
  <si>
    <t>SUBSCRIPTION</t>
  </si>
  <si>
    <t>JACOB GILLETTE</t>
  </si>
  <si>
    <t>PO Created by Req: 121230</t>
  </si>
  <si>
    <t>GRAINGER</t>
  </si>
  <si>
    <t>SPEECH THERAPY</t>
  </si>
  <si>
    <t>PO Created by Req: 121296</t>
  </si>
  <si>
    <t>NAMEPLATE &amp; HOLDER</t>
  </si>
  <si>
    <t>BRISKET</t>
  </si>
  <si>
    <t>CARPENTRY SVCS</t>
  </si>
  <si>
    <t>DEE HAFFNER</t>
  </si>
  <si>
    <t>KAY LYNN HARRIS</t>
  </si>
  <si>
    <t>HARTMAN PUBLISHING</t>
  </si>
  <si>
    <t>199-11-6399.79-001-422S00</t>
  </si>
  <si>
    <t>PO Created by Req: 121286</t>
  </si>
  <si>
    <t>HAILEY HERRIN</t>
  </si>
  <si>
    <t>HOBART SERVICE</t>
  </si>
  <si>
    <t>HEATER HOT BOX ETC</t>
  </si>
  <si>
    <t xml:space="preserve">HOWARD FIRE </t>
  </si>
  <si>
    <t>EXTINGUISHER SVC</t>
  </si>
  <si>
    <t>263-13-6411.02-999-425S00</t>
  </si>
  <si>
    <t>317-11-6411.00-999-423S00</t>
  </si>
  <si>
    <t>IDEA-B DEAF PRESCHOOL</t>
  </si>
  <si>
    <t>ID COLOR RIBBON</t>
  </si>
  <si>
    <t>PO Created by Req: 121267</t>
  </si>
  <si>
    <t>PO Created by Req: 121081</t>
  </si>
  <si>
    <t>PO Created by Req: 121067</t>
  </si>
  <si>
    <t xml:space="preserve">JENNIE-O TURKEY STORE </t>
  </si>
  <si>
    <t>MEAT</t>
  </si>
  <si>
    <t>181-36-6399.22-001-491000</t>
  </si>
  <si>
    <t>PO Created by Req: 121254</t>
  </si>
  <si>
    <t>MIKE JONES</t>
  </si>
  <si>
    <t xml:space="preserve">KINNEY BONDED </t>
  </si>
  <si>
    <t>PO Created by Req: 121031</t>
  </si>
  <si>
    <t>KLC Video Security</t>
  </si>
  <si>
    <t xml:space="preserve">ISONAS ACCESS CONTROL </t>
  </si>
  <si>
    <t>JASON KNIGHT</t>
  </si>
  <si>
    <t>PO Created by Req: 121275</t>
  </si>
  <si>
    <t xml:space="preserve">LEARNING FORWARD </t>
  </si>
  <si>
    <t>PO Created by Req: 121317</t>
  </si>
  <si>
    <t>LEXIS NEXIS</t>
  </si>
  <si>
    <t>PO Created by Req: 121246</t>
  </si>
  <si>
    <t>PHONE INSTALLATION</t>
  </si>
  <si>
    <t>LOLLIPOPS</t>
  </si>
  <si>
    <t>CONSULTING SVCS</t>
  </si>
  <si>
    <t xml:space="preserve">MESQUITE CHAMPIONSHIP </t>
  </si>
  <si>
    <t>199-11-6412.00-101-411000</t>
  </si>
  <si>
    <t>MICHAEL FOODS, INC.</t>
  </si>
  <si>
    <t>FRENCH TOAST STICKS</t>
  </si>
  <si>
    <t>DEMETRICE MITCHELL</t>
  </si>
  <si>
    <t>NORCOSTCO</t>
  </si>
  <si>
    <t>PO Created by Req: 121222</t>
  </si>
  <si>
    <t>LACEY OGBURN</t>
  </si>
  <si>
    <t>PASCO Scientific</t>
  </si>
  <si>
    <t>PO Created by Req: 121315</t>
  </si>
  <si>
    <t>PCMALLGOV</t>
  </si>
  <si>
    <t>PO Created by Req: 121349</t>
  </si>
  <si>
    <t>PO Created by Req: 121112</t>
  </si>
  <si>
    <t>BENJAMIN PEREZ</t>
  </si>
  <si>
    <t>PIZZA HUT</t>
  </si>
  <si>
    <t>POCKET NURSE</t>
  </si>
  <si>
    <t>PO Created by Req: 121289</t>
  </si>
  <si>
    <t>TARA PODJENSKI</t>
  </si>
  <si>
    <t>NATASHA POLK</t>
  </si>
  <si>
    <t>199-36-6399.24-999-499000</t>
  </si>
  <si>
    <t>PO Created by Req: 121191</t>
  </si>
  <si>
    <t>PURCHASE OF RETURN ITEM</t>
  </si>
  <si>
    <t>RETURNED ITEM</t>
  </si>
  <si>
    <t>PO Created by Req: 121257</t>
  </si>
  <si>
    <t>PROJECT MANAGEMENT</t>
  </si>
  <si>
    <t>ANNUAL LICENSE</t>
  </si>
  <si>
    <t>UCSS</t>
  </si>
  <si>
    <t>PROCOMPUTING</t>
  </si>
  <si>
    <t>PO Created by Req: 121321</t>
  </si>
  <si>
    <t>NARCOTIC DETECTION SVC</t>
  </si>
  <si>
    <t>RAINBOW BOOK CO.</t>
  </si>
  <si>
    <t>PO Created by Req: 121229</t>
  </si>
  <si>
    <t>RANDY RATLIFF</t>
  </si>
  <si>
    <t>PO Created by Req: 121240</t>
  </si>
  <si>
    <t>ROY BENSON</t>
  </si>
  <si>
    <t>GENE ROBERSON</t>
  </si>
  <si>
    <t>ROY FRENCH TEXACO</t>
  </si>
  <si>
    <t>BRACKET</t>
  </si>
  <si>
    <t>RELAYS</t>
  </si>
  <si>
    <t>FAN CLUTCH</t>
  </si>
  <si>
    <t>SAMMONS PRESTON</t>
  </si>
  <si>
    <t>Kelly Cate</t>
  </si>
  <si>
    <t>199-11-6399.14-001-411000</t>
  </si>
  <si>
    <t>PO Created by Req: 121189</t>
  </si>
  <si>
    <t>PO Created by Req: 121290</t>
  </si>
  <si>
    <t>PO Created by Req: 121291</t>
  </si>
  <si>
    <t>RAYMOND L SCHMINKEY</t>
  </si>
  <si>
    <t>PATRICIA SMITH</t>
  </si>
  <si>
    <t xml:space="preserve">SOUTHWASTE DISPOSAL, </t>
  </si>
  <si>
    <t>GREASE TRAP</t>
  </si>
  <si>
    <t>STEVEN SPIVEY</t>
  </si>
  <si>
    <t xml:space="preserve">STEPHEN F. AUSTIN </t>
  </si>
  <si>
    <t>JOB FAIR</t>
  </si>
  <si>
    <t>SULLIVAN SUPPLY SOUTH,</t>
  </si>
  <si>
    <t>SYMBOL ART LLC</t>
  </si>
  <si>
    <t>PO Created by Req: 121016</t>
  </si>
  <si>
    <t>TAPPS</t>
  </si>
  <si>
    <t>185-00-5752.00-000-400000</t>
  </si>
  <si>
    <t>STATE VB TOURNEY</t>
  </si>
  <si>
    <t xml:space="preserve">BOARD POLICY MANUAL </t>
  </si>
  <si>
    <t>PO Created by Req: 121266</t>
  </si>
  <si>
    <t>MOUNT</t>
  </si>
  <si>
    <t>KANDI TRANTHAM</t>
  </si>
  <si>
    <t>FLAG DISPLAY PLATE</t>
  </si>
  <si>
    <t>PO Created by Req: 121332</t>
  </si>
  <si>
    <t>STORAGE FILE BOXES</t>
  </si>
  <si>
    <t>CUBE BOX</t>
  </si>
  <si>
    <t>SWEEPING COMPOUND</t>
  </si>
  <si>
    <t>DRY ERASE BOARD</t>
  </si>
  <si>
    <t>UNIFIED CONNEXIONS</t>
  </si>
  <si>
    <t xml:space="preserve">UNITED COMMUNICATIONS </t>
  </si>
  <si>
    <t>PO Created by Req: 121138</t>
  </si>
  <si>
    <t>BLADE</t>
  </si>
  <si>
    <t xml:space="preserve">UNIVERSAL TIME EQUIPMENT </t>
  </si>
  <si>
    <t>199-41-6211.00-750-423S00</t>
  </si>
  <si>
    <t xml:space="preserve">WATERFORD PUBLISHING </t>
  </si>
  <si>
    <t>TEXAS BIRDS</t>
  </si>
  <si>
    <t>WATERWORKS</t>
  </si>
  <si>
    <t>WEBER STATE UNIVERSITY</t>
  </si>
  <si>
    <t>AUTO CONTEXT</t>
  </si>
  <si>
    <t>MARY WHITENER</t>
  </si>
  <si>
    <t>X-GRAIN SPORTSWEAR</t>
  </si>
  <si>
    <t>SOFTBALL SUPLIES</t>
  </si>
  <si>
    <t>ALPEN OUTDOOR CORP</t>
  </si>
  <si>
    <t>BINOCULARS</t>
  </si>
  <si>
    <t>ANIMAL CARE CLINIC</t>
  </si>
  <si>
    <t>VET SUPPLIES</t>
  </si>
  <si>
    <t>PO Created by Req: 121382</t>
  </si>
  <si>
    <t>FRANK E. ARCHIE</t>
  </si>
  <si>
    <t>181-36-6219.20-001-491000</t>
  </si>
  <si>
    <t>AT &amp; T MOBILITY</t>
  </si>
  <si>
    <t>199-51-6259.55-999-499001</t>
  </si>
  <si>
    <t>IPAD PURCHASE</t>
  </si>
  <si>
    <t>PO Created by Req: 121018</t>
  </si>
  <si>
    <t>PO Created by Req: 121132</t>
  </si>
  <si>
    <t>PO Created by Req: 121131</t>
  </si>
  <si>
    <t>CAROLYN BARTON</t>
  </si>
  <si>
    <t>STEPHANIE BLAND</t>
  </si>
  <si>
    <t>CORRIE BOOKER</t>
  </si>
  <si>
    <t>MEREDITH BOYDE</t>
  </si>
  <si>
    <t>PO Created by Req: 121353</t>
  </si>
  <si>
    <t>PIZZA</t>
  </si>
  <si>
    <t>COR-TEX</t>
  </si>
  <si>
    <t>PO Created by Req: 121188</t>
  </si>
  <si>
    <t xml:space="preserve">CORSICANA WELDING </t>
  </si>
  <si>
    <t>PO Created by Req: 121340</t>
  </si>
  <si>
    <t>DAIRY QUEEN</t>
  </si>
  <si>
    <t>DAKTRONICS, INC.</t>
  </si>
  <si>
    <t>461-36-6499.50-999-499000</t>
  </si>
  <si>
    <t>SERVICE AGREEMENT 10/13-</t>
  </si>
  <si>
    <t xml:space="preserve">DARBY GREENHOUSES &amp; </t>
  </si>
  <si>
    <t>865-00-2191.28-001-400000</t>
  </si>
  <si>
    <t>POINSETTIAS</t>
  </si>
  <si>
    <t>PO Created by Req: 121277</t>
  </si>
  <si>
    <t>DOUBLE D STEAKHOUSE</t>
  </si>
  <si>
    <t>ENNIS ISD ATHLETICS</t>
  </si>
  <si>
    <t>EPI</t>
  </si>
  <si>
    <t>PO Created by Req: 121368</t>
  </si>
  <si>
    <t xml:space="preserve">FCCLA LOCK BOX </t>
  </si>
  <si>
    <t>199-11-6411.52-001-422S00</t>
  </si>
  <si>
    <t xml:space="preserve">FIRST SOUTHWEST ASSET </t>
  </si>
  <si>
    <t>ARBITRAGE FEE</t>
  </si>
  <si>
    <t>PO Created by Req: 121399</t>
  </si>
  <si>
    <t>199-21-6399.02-999-423S00</t>
  </si>
  <si>
    <t>Stan Jones @ Collins</t>
  </si>
  <si>
    <t>JOHN SCOTT FLEMING</t>
  </si>
  <si>
    <t>FLINN SCIENTIFIC</t>
  </si>
  <si>
    <t>PO Created by Req: 121350</t>
  </si>
  <si>
    <t>FROZEN TIGER</t>
  </si>
  <si>
    <t>ANTHONY D. NEWSOME</t>
  </si>
  <si>
    <t>865-00-2191.06-001-400000</t>
  </si>
  <si>
    <t>DUNK BOOTH</t>
  </si>
  <si>
    <t>CARPET AT LEE</t>
  </si>
  <si>
    <t xml:space="preserve">GREAT AMERI. </t>
  </si>
  <si>
    <t>MAGNETS</t>
  </si>
  <si>
    <t>TRIP CANCELLED</t>
  </si>
  <si>
    <t xml:space="preserve">HARMONY LIVING CENTERS </t>
  </si>
  <si>
    <t>DAY SERVICES</t>
  </si>
  <si>
    <t>TIM HAYASHI</t>
  </si>
  <si>
    <t>COSTUMES</t>
  </si>
  <si>
    <t>PO Created by Req: 121347</t>
  </si>
  <si>
    <t>PO Created by Req: 121175</t>
  </si>
  <si>
    <t>HOUSTON LIVESTOCK SHOW</t>
  </si>
  <si>
    <t>KEVIN JOHNSON</t>
  </si>
  <si>
    <t>MARK JOLLY</t>
  </si>
  <si>
    <t>TRACEY JORDAN</t>
  </si>
  <si>
    <t>REUNB</t>
  </si>
  <si>
    <t>SEAN KAYS</t>
  </si>
  <si>
    <t>PROXIMITY KEY FOBS</t>
  </si>
  <si>
    <t>PO Created by Req: 121279</t>
  </si>
  <si>
    <t>PO Created by Req: 121320</t>
  </si>
  <si>
    <t>a.e. IDEAS LL.C</t>
  </si>
  <si>
    <t>PO Created by Req: 121408</t>
  </si>
  <si>
    <t>NASCO</t>
  </si>
  <si>
    <t>PO Created by Req: 121366</t>
  </si>
  <si>
    <t>199-31-6339.02-999-424S50</t>
  </si>
  <si>
    <t>PO Created by Req: 121333</t>
  </si>
  <si>
    <t>MAILING MACHINE</t>
  </si>
  <si>
    <t>PO Created by Req: 121370</t>
  </si>
  <si>
    <t>GRAIG ROBINSON</t>
  </si>
  <si>
    <t>RODEO AUSTIN</t>
  </si>
  <si>
    <t>SAM HOUSTON STATE UNIV</t>
  </si>
  <si>
    <t xml:space="preserve">SAN ANTONIO LIVESTOCK </t>
  </si>
  <si>
    <t>Late item sent</t>
  </si>
  <si>
    <t>PO Created by Req: 121369</t>
  </si>
  <si>
    <t>PO Created by Req: 121367</t>
  </si>
  <si>
    <t>PO Created by Req: 121364</t>
  </si>
  <si>
    <t>ERIC SIMMS</t>
  </si>
  <si>
    <t>ROSS SMITH</t>
  </si>
  <si>
    <t>ROBIN SMITHART</t>
  </si>
  <si>
    <t>KHUSHAL KRIPALANI</t>
  </si>
  <si>
    <t>DUPLICATE PAYMENT</t>
  </si>
  <si>
    <t>TABC</t>
  </si>
  <si>
    <t>TACSAP</t>
  </si>
  <si>
    <t>211-31-6411.01-001-430S00</t>
  </si>
  <si>
    <t>PO Created by Req: 121303</t>
  </si>
  <si>
    <t>PO Created by Req: 121384</t>
  </si>
  <si>
    <t>TUITION</t>
  </si>
  <si>
    <t xml:space="preserve">TEXAS HIGH SCHOOL </t>
  </si>
  <si>
    <t>MEMBER FEES</t>
  </si>
  <si>
    <t xml:space="preserve">TEXAS STATE HISTORY </t>
  </si>
  <si>
    <t xml:space="preserve">TEXAS TENNIS COACHES </t>
  </si>
  <si>
    <t>PLAQUE</t>
  </si>
  <si>
    <t>PLAQUES</t>
  </si>
  <si>
    <t>PO Created by Req: 121386</t>
  </si>
  <si>
    <t xml:space="preserve">UNIV INTERSCHOLASTIC </t>
  </si>
  <si>
    <t>PO Created by Req: 121093</t>
  </si>
  <si>
    <t>VOID</t>
  </si>
  <si>
    <t>199-23-6411.00-001-431000</t>
  </si>
  <si>
    <t>KENNETH GRAY WHICKER III</t>
  </si>
  <si>
    <t>BILLY WHITE</t>
  </si>
  <si>
    <t xml:space="preserve">WORLD BOOK SCHOOL </t>
  </si>
  <si>
    <t>AMERICA TEAM SPORTS</t>
  </si>
  <si>
    <t>PO Created by Req: 121295</t>
  </si>
  <si>
    <t>RANDALL BARGER</t>
  </si>
  <si>
    <t>INSTALLATION</t>
  </si>
  <si>
    <t>KARMEN BETTS</t>
  </si>
  <si>
    <t>211-12-6411.00-999-430S00</t>
  </si>
  <si>
    <t>CARL BURCH</t>
  </si>
  <si>
    <t>KEVIN SCOTT BURKES</t>
  </si>
  <si>
    <t>FCS groceries</t>
  </si>
  <si>
    <t>FCS Curl supplies</t>
  </si>
  <si>
    <t>groceries fcs</t>
  </si>
  <si>
    <t>Culinary instruction</t>
  </si>
  <si>
    <t>199-11-6399.52-041-411000</t>
  </si>
  <si>
    <t>Science Supplies</t>
  </si>
  <si>
    <t>199-23-6399.00-042-499000</t>
  </si>
  <si>
    <t>199-31-6399.00-001-499000</t>
  </si>
  <si>
    <t>270-11-6499.00-699-430S00</t>
  </si>
  <si>
    <t>pa system</t>
  </si>
  <si>
    <t>ELIZABETH COLLIER</t>
  </si>
  <si>
    <t>EMBROIDERY</t>
  </si>
  <si>
    <t xml:space="preserve">EAST TEXAS SPORTS </t>
  </si>
  <si>
    <t>PO Created by Req: 121171</t>
  </si>
  <si>
    <t>MARK GLENN</t>
  </si>
  <si>
    <t>NAMEPLATES</t>
  </si>
  <si>
    <t>PO Created by Req: 121308</t>
  </si>
  <si>
    <t>PO Created by Req: 121170</t>
  </si>
  <si>
    <t>RADIO REPAIR</t>
  </si>
  <si>
    <t>BRITTANY LASSITER</t>
  </si>
  <si>
    <t>DON MARTINEZ</t>
  </si>
  <si>
    <t>AUGUST NAUMANN</t>
  </si>
  <si>
    <t>HOLIDAY &amp; TOUR MUSIC</t>
  </si>
  <si>
    <t>199-31-6339.02-999-424S53</t>
  </si>
  <si>
    <t>PO Created by Req: 121335</t>
  </si>
  <si>
    <t>SOLARWINDS</t>
  </si>
  <si>
    <t>PO Created by Req: 121426</t>
  </si>
  <si>
    <t>SPORTS HEALTH</t>
  </si>
  <si>
    <t>PO Created by Req: 121154</t>
  </si>
  <si>
    <t>DIRECTORIES</t>
  </si>
  <si>
    <t>199-23-6495.00-101-499000</t>
  </si>
  <si>
    <t>PO Created by Req: 121262</t>
  </si>
  <si>
    <t>199-31-6411.00-041-499000</t>
  </si>
  <si>
    <t>CONFERENCE</t>
  </si>
  <si>
    <t>199-31-6411.00-042-499000</t>
  </si>
  <si>
    <t>199-31-6411.00-101-499000</t>
  </si>
  <si>
    <t>199-31-6411.00-102-499000</t>
  </si>
  <si>
    <t>199-31-6411.00-103-499000</t>
  </si>
  <si>
    <t>199-31-6411.00-105-499000</t>
  </si>
  <si>
    <t>199-31-6411.00-107-499000</t>
  </si>
  <si>
    <t>SENIOR NIGHT FLOWERS</t>
  </si>
  <si>
    <t xml:space="preserve">AUTOMATED PRECISION </t>
  </si>
  <si>
    <t>PO Created by Req: 121020</t>
  </si>
  <si>
    <t>181-36-6399.21-001-491000</t>
  </si>
  <si>
    <t>PO Created by Req: 121075</t>
  </si>
  <si>
    <t>RONNIE BETHEA</t>
  </si>
  <si>
    <t>BILLY BETTS</t>
  </si>
  <si>
    <t>TERESA BLACKMON</t>
  </si>
  <si>
    <t>JAMES BRADSHAW</t>
  </si>
  <si>
    <t>SHAWN BREWER</t>
  </si>
  <si>
    <t>GEORGE BRYAN</t>
  </si>
  <si>
    <t xml:space="preserve">CLARENCE ANTHONY </t>
  </si>
  <si>
    <t xml:space="preserve">C&amp;G Wholesale Public Safety </t>
  </si>
  <si>
    <t>PO Created by Req: 121313</t>
  </si>
  <si>
    <t>CHRISTOPHER CANTRELL</t>
  </si>
  <si>
    <t>MARCHING DRILL</t>
  </si>
  <si>
    <t>RED BOW</t>
  </si>
  <si>
    <t>199-11-6321.00-001-422S00</t>
  </si>
  <si>
    <t>PO Created by Req: 121395</t>
  </si>
  <si>
    <t xml:space="preserve">CLAY EWELL EDUCATIONAL </t>
  </si>
  <si>
    <t>199-11-6411.78-001-422S00</t>
  </si>
  <si>
    <t>CREAMER</t>
  </si>
  <si>
    <t>OFFICE SUPPLIES</t>
  </si>
  <si>
    <t>HEALTH CARDS</t>
  </si>
  <si>
    <t>BARRY LYNN COX</t>
  </si>
  <si>
    <t>RODNEY DAVIS</t>
  </si>
  <si>
    <t xml:space="preserve">DEVELOPMENTAL </t>
  </si>
  <si>
    <t>SHEA EDMONDS</t>
  </si>
  <si>
    <t>Registaitons</t>
  </si>
  <si>
    <t>PO Created by Req: 121430</t>
  </si>
  <si>
    <t xml:space="preserve">ESC REGION 20 - REGISTRAT </t>
  </si>
  <si>
    <t>SHIPPING CHARGES</t>
  </si>
  <si>
    <t>PO Created by Req: 121435</t>
  </si>
  <si>
    <t>PO Created by Req: 121420</t>
  </si>
  <si>
    <t xml:space="preserve">FOLLETT LIBRARY </t>
  </si>
  <si>
    <t>PO Created by Req: 121224</t>
  </si>
  <si>
    <t>FREY SCIENTIFIC CO</t>
  </si>
  <si>
    <t>PO Created by Req: 121371</t>
  </si>
  <si>
    <t>DEBBIE FULLER</t>
  </si>
  <si>
    <t>FUN AND FUNCTION</t>
  </si>
  <si>
    <t>PO Created by Req: 121424</t>
  </si>
  <si>
    <t>PO Created by Req: 121341</t>
  </si>
  <si>
    <t>resubmit to change account #</t>
  </si>
  <si>
    <t>199-23-6499.00-107-499000</t>
  </si>
  <si>
    <t>PO Created by Req: 121404</t>
  </si>
  <si>
    <t>PO Created by Req: 121449</t>
  </si>
  <si>
    <t>SHERMAN GRIFFIN</t>
  </si>
  <si>
    <t>DEREK GURNELL</t>
  </si>
  <si>
    <t>LINDELL HALE JR.</t>
  </si>
  <si>
    <t>JACK HARPER</t>
  </si>
  <si>
    <t>MICHAEL HILL</t>
  </si>
  <si>
    <t>HILTON</t>
  </si>
  <si>
    <t>THERESA HINES</t>
  </si>
  <si>
    <t>LETITIA HUGHES</t>
  </si>
  <si>
    <t>PO Created by Req: 121423</t>
  </si>
  <si>
    <t>DARLENE JACKSON</t>
  </si>
  <si>
    <t>PO Created by Req: 121406</t>
  </si>
  <si>
    <t>1ST QUARTER PROP VALUE</t>
  </si>
  <si>
    <t>Nurse supplies</t>
  </si>
  <si>
    <t>KRISTEN MAULDIN</t>
  </si>
  <si>
    <t>CONNAILUS MCCOWAN</t>
  </si>
  <si>
    <t>CURTIS MCMINN</t>
  </si>
  <si>
    <t>MUSCIAN'S FRIEND</t>
  </si>
  <si>
    <t>PO Created by Req: 121442</t>
  </si>
  <si>
    <t>WRONG ITEMS SENT</t>
  </si>
  <si>
    <t xml:space="preserve">NATIONAL FFA </t>
  </si>
  <si>
    <t>FFA JACKETS</t>
  </si>
  <si>
    <t>Nat'l Educational Systems</t>
  </si>
  <si>
    <t>PO Created by Req: 121407</t>
  </si>
  <si>
    <t xml:space="preserve">NELSON-PUTMAN PROPANE </t>
  </si>
  <si>
    <t>BOTTLE GAS</t>
  </si>
  <si>
    <t>JOE NIMOCK</t>
  </si>
  <si>
    <t>ROBERT W NORWOOD</t>
  </si>
  <si>
    <t>OLSEN FEED &amp; SUPPLY</t>
  </si>
  <si>
    <t>RYE GRASS</t>
  </si>
  <si>
    <t>FERTILIZER</t>
  </si>
  <si>
    <t>GREGORY T. PAYNE</t>
  </si>
  <si>
    <t>199-31-6339.00-999-423S00</t>
  </si>
  <si>
    <t>Diag. Testing Materials</t>
  </si>
  <si>
    <t>FUNFEST MARCH</t>
  </si>
  <si>
    <t>SCORES</t>
  </si>
  <si>
    <t>CLAUD PERSON</t>
  </si>
  <si>
    <t>JACK A GOLD</t>
  </si>
  <si>
    <t>DRYER REPAIR</t>
  </si>
  <si>
    <t>RED HAT RENTALS</t>
  </si>
  <si>
    <t>PARKING LOT LIGHTS</t>
  </si>
  <si>
    <t>REMEDIA PUBLICATIONS</t>
  </si>
  <si>
    <t>Instructional Supplies</t>
  </si>
  <si>
    <t>DIANA RIVERO</t>
  </si>
  <si>
    <t>ROLLAC SHUTTER OF TEXAS</t>
  </si>
  <si>
    <t>PO Created by Req: 121437</t>
  </si>
  <si>
    <t>PO Created by Req: 121373</t>
  </si>
  <si>
    <t>PO Created by Req: 121396</t>
  </si>
  <si>
    <t>TVS FOR LOCKER ROOM</t>
  </si>
  <si>
    <t>ANTHONY SIMMONS</t>
  </si>
  <si>
    <t>JOE SPIGNER</t>
  </si>
  <si>
    <t>STAGE ACCENTS</t>
  </si>
  <si>
    <t>CHOIR UNIFORMS</t>
  </si>
  <si>
    <t>JOSEPH SULLIVAN</t>
  </si>
  <si>
    <t>PO Created by Req: 121236</t>
  </si>
  <si>
    <t>PO Created by Req: 121239</t>
  </si>
  <si>
    <t>PO Created by Req: 121241</t>
  </si>
  <si>
    <t>PO Created by Req: 121242</t>
  </si>
  <si>
    <t>U.S. BANK</t>
  </si>
  <si>
    <t>599-71-6599.00-999-499000</t>
  </si>
  <si>
    <t>MARK VITTERS</t>
  </si>
  <si>
    <t>NANCY WALKER</t>
  </si>
  <si>
    <t>TAMMY WILLIAMS</t>
  </si>
  <si>
    <t>FINGER SPLINTS</t>
  </si>
  <si>
    <t>BRANDON MICHAEL BAKER</t>
  </si>
  <si>
    <t>BAYLOR UNIVERSITY</t>
  </si>
  <si>
    <t>BOSE CORPORATION</t>
  </si>
  <si>
    <t>PO Created by Req: 121192</t>
  </si>
  <si>
    <t>LASHARYN COMBS</t>
  </si>
  <si>
    <t>DRUG SCREEN</t>
  </si>
  <si>
    <t>TASHA EVANS</t>
  </si>
  <si>
    <t>199-36-6499.16-001-491000</t>
  </si>
  <si>
    <t>JUDGE</t>
  </si>
  <si>
    <t>CANCELLED- BAD WEATHER</t>
  </si>
  <si>
    <t>ANNIE FOSTER</t>
  </si>
  <si>
    <t>CRUSHED BASE</t>
  </si>
  <si>
    <t>SUSAN D HUNTER</t>
  </si>
  <si>
    <t>RHONDA JACKSON</t>
  </si>
  <si>
    <t>MAESTRO THEATRE</t>
  </si>
  <si>
    <t>199-36-6499.74-001-499000</t>
  </si>
  <si>
    <t>ELISE SMITH</t>
  </si>
  <si>
    <t xml:space="preserve">SOUTHERN STYLE </t>
  </si>
  <si>
    <t>DUFFLE BAGS</t>
  </si>
  <si>
    <t>MEMBERSHIP FEE</t>
  </si>
  <si>
    <t>THE INTERP STORE</t>
  </si>
  <si>
    <t>PO Created by Req: 121418</t>
  </si>
  <si>
    <t>CLAUDIA VERA</t>
  </si>
  <si>
    <t>FINAL PAYMENT</t>
  </si>
  <si>
    <t>ACTION POWERSPORTS</t>
  </si>
  <si>
    <t>CLASS OFFICE PHOTOS</t>
  </si>
  <si>
    <t>SERVICE CALL</t>
  </si>
  <si>
    <t>ANDERSON, MARX &amp; BOHL P.</t>
  </si>
  <si>
    <t>199-41-6212.00-750-499000</t>
  </si>
  <si>
    <t>AUDIT</t>
  </si>
  <si>
    <t>PO Created by Req: 121392</t>
  </si>
  <si>
    <t>AUSTIN TURF &amp; TRACTOR</t>
  </si>
  <si>
    <t>DAVID BALLI</t>
  </si>
  <si>
    <t>BARCELONA SPORTS</t>
  </si>
  <si>
    <t>JACKET</t>
  </si>
  <si>
    <t>LARRY BASSETT</t>
  </si>
  <si>
    <t>FLOWERES</t>
  </si>
  <si>
    <t>BOUND TO STAY BOUND, INC.</t>
  </si>
  <si>
    <t>199-12-6329.00-103-499000</t>
  </si>
  <si>
    <t>PO Created by Req: 121307</t>
  </si>
  <si>
    <t>181-51-6319.61-999-499000</t>
  </si>
  <si>
    <t>PO Created by Req: 121409</t>
  </si>
  <si>
    <t>CARTHAGE ISD</t>
  </si>
  <si>
    <t>PLAYOFF</t>
  </si>
  <si>
    <t>PO Created by Req: 121391</t>
  </si>
  <si>
    <t>HEATER REPAIR</t>
  </si>
  <si>
    <t>THERMO LINKS</t>
  </si>
  <si>
    <t>AIR BLOWER ASSEMBLY</t>
  </si>
  <si>
    <t>SHIRTS &amp; HOODIES</t>
  </si>
  <si>
    <t>SHREDDING</t>
  </si>
  <si>
    <t>SZT ENTERPRISES</t>
  </si>
  <si>
    <t>TABLE CLOTHS</t>
  </si>
  <si>
    <t>SPECIALS</t>
  </si>
  <si>
    <t>POWER SURGE STRIP</t>
  </si>
  <si>
    <t>FOOD HANDLERS CARD</t>
  </si>
  <si>
    <t>199-36-6399.00-999-499000</t>
  </si>
  <si>
    <t>LAUNDRY SVC</t>
  </si>
  <si>
    <t>LAWN MAINT ADS</t>
  </si>
  <si>
    <t>461-36-6499.05-850-499188</t>
  </si>
  <si>
    <t>REIMB GRANT</t>
  </si>
  <si>
    <t>PO Created by Req: 121182</t>
  </si>
  <si>
    <t>PO Created by Req: 121185</t>
  </si>
  <si>
    <t xml:space="preserve">CORSICANA-NAVARRO </t>
  </si>
  <si>
    <t>HEALTH INSPECTIONS</t>
  </si>
  <si>
    <t>PHONE LINE</t>
  </si>
  <si>
    <t>FLAT METAL</t>
  </si>
  <si>
    <t>CROCKETT HOTEL</t>
  </si>
  <si>
    <t>POLOS</t>
  </si>
  <si>
    <t>WINTER WEAR</t>
  </si>
  <si>
    <t>DAKTRONICS,INC</t>
  </si>
  <si>
    <t>PO Created by Req: 121433</t>
  </si>
  <si>
    <t>RUTH DANIELS</t>
  </si>
  <si>
    <t xml:space="preserve">REFUND ON LUNCH </t>
  </si>
  <si>
    <t>PO Created by Req: 121385</t>
  </si>
  <si>
    <t>DELL COMPUTER CORP.</t>
  </si>
  <si>
    <t>PO Created by Req: 121318</t>
  </si>
  <si>
    <t>PO Created by Req: 121447</t>
  </si>
  <si>
    <t>SOFT DRINKS</t>
  </si>
  <si>
    <t>199-13-6411.00-102-499000</t>
  </si>
  <si>
    <t>199-13-6411.00-107-499000</t>
  </si>
  <si>
    <t xml:space="preserve">CERT FOOD MANAGER </t>
  </si>
  <si>
    <t>MULTI REGION PURCH COOP</t>
  </si>
  <si>
    <t>ELSABER ENTERPRISES</t>
  </si>
  <si>
    <t>199-11-6399.00-999-425S40</t>
  </si>
  <si>
    <t>Supples / ESL/Bil</t>
  </si>
  <si>
    <t>199-11-6399.00-999-425S41</t>
  </si>
  <si>
    <t>JENNIFER FARMER</t>
  </si>
  <si>
    <t>211-11-6411.00-999-430S00</t>
  </si>
  <si>
    <t>FIRST BAPTIST CHURCH</t>
  </si>
  <si>
    <t>CHURCH USAGE FEE</t>
  </si>
  <si>
    <t>PO Created by Req: 121466</t>
  </si>
  <si>
    <t>PO Created by Req: 121478</t>
  </si>
  <si>
    <t>PO Created by Req: 121355</t>
  </si>
  <si>
    <t>199-12-6329.00-042-499000</t>
  </si>
  <si>
    <t>PO Created by Req: 121463</t>
  </si>
  <si>
    <t>PO Created by Req: 121445</t>
  </si>
  <si>
    <t>PO Created by Req: 121352</t>
  </si>
  <si>
    <t>PO Created by Req: 121427</t>
  </si>
  <si>
    <t>SAMUEL FRENCH</t>
  </si>
  <si>
    <t>PO Created by Req: 121190</t>
  </si>
  <si>
    <t>PO Created by Req: 121342</t>
  </si>
  <si>
    <t>GVRL HOSTING FEE</t>
  </si>
  <si>
    <t>LAMINATOR WORK ORDER</t>
  </si>
  <si>
    <t>JESSE GONZALES</t>
  </si>
  <si>
    <t>KATIE GONZALES</t>
  </si>
  <si>
    <t>PO Created by Req: 121458</t>
  </si>
  <si>
    <t>CHRISTMAS CARDS</t>
  </si>
  <si>
    <t>PENCILS</t>
  </si>
  <si>
    <t>JOHN HATLEY</t>
  </si>
  <si>
    <t>BASE SWITCH</t>
  </si>
  <si>
    <t>TAIL LIGHTS</t>
  </si>
  <si>
    <t>ACTUATOR</t>
  </si>
  <si>
    <t>COMMON BASE</t>
  </si>
  <si>
    <t>TODD HELMER</t>
  </si>
  <si>
    <t>PO Created by Req: 121173</t>
  </si>
  <si>
    <t>THERMAL SWITCH</t>
  </si>
  <si>
    <t>IDENTISYS</t>
  </si>
  <si>
    <t>PO Created by Req: 121316</t>
  </si>
  <si>
    <t>JACKSONVILLE ISD</t>
  </si>
  <si>
    <t>PRESALE TICKETS</t>
  </si>
  <si>
    <t>JUST FUNDRAISING</t>
  </si>
  <si>
    <t>ALIGN</t>
  </si>
  <si>
    <t>KP GRAPHIC SOLUTIONS</t>
  </si>
  <si>
    <t>SWEATERS</t>
  </si>
  <si>
    <t>KEITH LAURANT</t>
  </si>
  <si>
    <t>PO Created by Req: 121444</t>
  </si>
  <si>
    <t>DECORATIONS</t>
  </si>
  <si>
    <t>Speech / Leslie Rose</t>
  </si>
  <si>
    <t>ALARM SYS MONITORING</t>
  </si>
  <si>
    <t>TELEPHONE LINE REPAIRS</t>
  </si>
  <si>
    <t>TELEPHONE REPAIRS</t>
  </si>
  <si>
    <t>ALARM SYS REPAIR</t>
  </si>
  <si>
    <t>MORGAN LUERA</t>
  </si>
  <si>
    <t>199-36-6219.16-001-491000</t>
  </si>
  <si>
    <t>BRITTANY MATHIS</t>
  </si>
  <si>
    <t>PO Created by Req: 121390</t>
  </si>
  <si>
    <t>CONTRACT SSVCS</t>
  </si>
  <si>
    <t>PO Created by Req: 121439</t>
  </si>
  <si>
    <t>ALDON JOHN MILLER</t>
  </si>
  <si>
    <t>MOTIVATORS</t>
  </si>
  <si>
    <t>PO Created by Req: 121436</t>
  </si>
  <si>
    <t>TARZAN</t>
  </si>
  <si>
    <t>APPLESAUCE &amp; FRUIT CUPS</t>
  </si>
  <si>
    <t>NAVASOTA ISD</t>
  </si>
  <si>
    <t>KEY BLANKS</t>
  </si>
  <si>
    <t>NEUTRON INDUSTRIES</t>
  </si>
  <si>
    <t>DON NEWTON</t>
  </si>
  <si>
    <t>HERBERT O'NEIL</t>
  </si>
  <si>
    <t>PO Created by Req: 121459</t>
  </si>
  <si>
    <t>480-11-6399.00-102-430011</t>
  </si>
  <si>
    <t>PO Created by Req: 121440</t>
  </si>
  <si>
    <t>PO Created by Req: 121379</t>
  </si>
  <si>
    <t>199-36-6499.24-042-499000</t>
  </si>
  <si>
    <t>199-23-6399.00-102-499000</t>
  </si>
  <si>
    <t>PO Created by Req: 121464</t>
  </si>
  <si>
    <t>PHASES</t>
  </si>
  <si>
    <t>PO Created by Req: 121414</t>
  </si>
  <si>
    <t>PROCHEM OF DFW, INC.</t>
  </si>
  <si>
    <t>RAINBOW INTERNATIONAL</t>
  </si>
  <si>
    <t>CLEAN HALLWAYS</t>
  </si>
  <si>
    <t xml:space="preserve">READY BODIES,LEARNING </t>
  </si>
  <si>
    <t>263-31-6399.02-999-425S00</t>
  </si>
  <si>
    <t>PO Created by Req: 121438</t>
  </si>
  <si>
    <t>KHRISTYN REFFITT</t>
  </si>
  <si>
    <t>PO Created by Req: 121413</t>
  </si>
  <si>
    <t>RICE UNIVERSITY</t>
  </si>
  <si>
    <t>PO Created by Req: 121419</t>
  </si>
  <si>
    <t>ELVENN RICHARDSON</t>
  </si>
  <si>
    <t>RIDDELL/ALL AMERICAN</t>
  </si>
  <si>
    <t>PO Created by Req: 121474</t>
  </si>
  <si>
    <t>ANTHONY ROBERTS</t>
  </si>
  <si>
    <t>PO Created by Req: 121405</t>
  </si>
  <si>
    <t xml:space="preserve">SCHOOL NEWSPAPERS </t>
  </si>
  <si>
    <t>ANNUAL FEES</t>
  </si>
  <si>
    <t>PO Created by Req: 121377</t>
  </si>
  <si>
    <t>PO Created by Req: 121375</t>
  </si>
  <si>
    <t>UPDATE 98</t>
  </si>
  <si>
    <t>LARRY TAYLOR</t>
  </si>
  <si>
    <t>CHRISTI TEKELL</t>
  </si>
  <si>
    <t>THE TENNIS SHOP</t>
  </si>
  <si>
    <t>181-36-6399.87-001-491000</t>
  </si>
  <si>
    <t>PO Created by Req: 121150</t>
  </si>
  <si>
    <t>TETA, INC.</t>
  </si>
  <si>
    <t>TEXAS BALL INC.</t>
  </si>
  <si>
    <t xml:space="preserve">TEXAS THEATRE </t>
  </si>
  <si>
    <t>THE PENWORTHY COMPANY</t>
  </si>
  <si>
    <t>PO Created by Req: 121431</t>
  </si>
  <si>
    <t>BRUCE J TIFF</t>
  </si>
  <si>
    <t>TIRE</t>
  </si>
  <si>
    <t>SUE TOLBERT</t>
  </si>
  <si>
    <t>VOIDED 4/3/14</t>
  </si>
  <si>
    <t>JAMES R TOMLINSON</t>
  </si>
  <si>
    <t>PO Created by Req: 121292</t>
  </si>
  <si>
    <t>DOOR NAMEPLATE</t>
  </si>
  <si>
    <t>PO Created by Req: 121446</t>
  </si>
  <si>
    <t>PO Created by Req: 121346</t>
  </si>
  <si>
    <t>PO Created by Req: 121343</t>
  </si>
  <si>
    <t>TYLER RV CENTER INC</t>
  </si>
  <si>
    <t>PO Created by Req: 121387</t>
  </si>
  <si>
    <t>PO Created by Req: 121226</t>
  </si>
  <si>
    <t>PO Created by Req: 121283</t>
  </si>
  <si>
    <t>PO Created by Req: 121294</t>
  </si>
  <si>
    <t xml:space="preserve">WAREHOUSE LIVING ARTS </t>
  </si>
  <si>
    <t>RENTALS FOR TARZAN</t>
  </si>
  <si>
    <t xml:space="preserve">WESTERN PSYCHOLOGICAL </t>
  </si>
  <si>
    <t>199-31-6399.00-999-423S00</t>
  </si>
  <si>
    <t>Testing Materials Diags</t>
  </si>
  <si>
    <t>PYMT STOPPED 1/9</t>
  </si>
  <si>
    <t>GUY RANDOLPH WILSON</t>
  </si>
  <si>
    <t>WORLD AFFAIRS COUNCIL</t>
  </si>
  <si>
    <t>WQ TEAMS</t>
  </si>
  <si>
    <t>WYLIE EAST H.S. AFJROTC</t>
  </si>
  <si>
    <t>I PAD</t>
  </si>
  <si>
    <t>Instruction-Mitchell</t>
  </si>
  <si>
    <t>Culinary Arts</t>
  </si>
  <si>
    <t>FCS Groceries</t>
  </si>
  <si>
    <t>PO Created by Req: 121500</t>
  </si>
  <si>
    <t>199-36-6399.74-001-499000</t>
  </si>
  <si>
    <t>199-51-6411.00-999-499000</t>
  </si>
  <si>
    <t>211-31-6399.00-107-430S00</t>
  </si>
  <si>
    <t>PO Created by Req: 121455</t>
  </si>
  <si>
    <t>Pac10</t>
  </si>
  <si>
    <t>865-00-2191.36-001-400000</t>
  </si>
  <si>
    <t>CICI'S TO-GO</t>
  </si>
  <si>
    <t>THE COOK CENTER</t>
  </si>
  <si>
    <t>199-23-6399.00-101-499000</t>
  </si>
  <si>
    <t>PO Created by Req: 121483</t>
  </si>
  <si>
    <t>PO Created by Req: 121472</t>
  </si>
  <si>
    <t>TRAYCIE GROCE</t>
  </si>
  <si>
    <t>EMILY HINES</t>
  </si>
  <si>
    <t>SNACKS</t>
  </si>
  <si>
    <t>Materials/Shannon Bell</t>
  </si>
  <si>
    <t>PO Created by Req: 121475</t>
  </si>
  <si>
    <t xml:space="preserve">UNIVERSITY OF TEX AT </t>
  </si>
  <si>
    <t>TEACHER FAIR</t>
  </si>
  <si>
    <t>NELSON ADEUMOH</t>
  </si>
  <si>
    <t>181-36-6219.20-041-491000</t>
  </si>
  <si>
    <t>TYRONE ALLEN</t>
  </si>
  <si>
    <t>ALLIANCE TECHNOLOGY</t>
  </si>
  <si>
    <t>PO Created by Req: 121471</t>
  </si>
  <si>
    <t>PO Created by Req: 121490</t>
  </si>
  <si>
    <t>MARC ASHLEY</t>
  </si>
  <si>
    <t>JAMES ROBERT ATCHISON</t>
  </si>
  <si>
    <t>CHRISTOPHER BAILEY</t>
  </si>
  <si>
    <t>THEODIS L BARNES SR.</t>
  </si>
  <si>
    <t>LAURA BARRERA</t>
  </si>
  <si>
    <t>PO Created by Req: 121015</t>
  </si>
  <si>
    <t>EDDIE CHATMAN</t>
  </si>
  <si>
    <t>ERNEST COBBINS</t>
  </si>
  <si>
    <t>CARI COCHRAN</t>
  </si>
  <si>
    <t>TOMMY COPELAND</t>
  </si>
  <si>
    <t>SUPPLY REIMB</t>
  </si>
  <si>
    <t>ADS</t>
  </si>
  <si>
    <t>PO Created by Req: 121499</t>
  </si>
  <si>
    <t>ALEX DIAMANTOPOULOS</t>
  </si>
  <si>
    <t>SCRIPTS</t>
  </si>
  <si>
    <t>PO Created by Req: 121482</t>
  </si>
  <si>
    <t>MICHAEL FISCHER</t>
  </si>
  <si>
    <t>CALENDAR REFILL</t>
  </si>
  <si>
    <t>PO Created by Req: 121505</t>
  </si>
  <si>
    <t>PO Created by Req: 121506</t>
  </si>
  <si>
    <t xml:space="preserve">FORNEY QUARTERBACK </t>
  </si>
  <si>
    <t>BENJAMIN GOODRICH</t>
  </si>
  <si>
    <t>829-61-6499.00-999-4990BT</t>
  </si>
  <si>
    <t>SCHOLARSHIP</t>
  </si>
  <si>
    <t xml:space="preserve">LEPORIS-BREITHAUPT </t>
  </si>
  <si>
    <t>PO Created by Req: 121339</t>
  </si>
  <si>
    <t>PO Created by Req: 121508</t>
  </si>
  <si>
    <t>EDWARD GRIFFIN</t>
  </si>
  <si>
    <t>PO Created by Req: 121394</t>
  </si>
  <si>
    <t>ANDREW JONES</t>
  </si>
  <si>
    <t>STAN JONES</t>
  </si>
  <si>
    <t>PO Created by Req: 121310</t>
  </si>
  <si>
    <t>PO Created by Req: 121311</t>
  </si>
  <si>
    <t>KILGORE ISD</t>
  </si>
  <si>
    <t>SARAH MCBRIDE</t>
  </si>
  <si>
    <t>CONTRACT SVCS</t>
  </si>
  <si>
    <t>CHRISTINA LUNA NANCE</t>
  </si>
  <si>
    <t xml:space="preserve">NAVARRO ELEMENTARY - </t>
  </si>
  <si>
    <t>PETTY CASH</t>
  </si>
  <si>
    <t>NSYNC SERVICES</t>
  </si>
  <si>
    <t>PO Created by Req: 121501</t>
  </si>
  <si>
    <t>PO Created by Req: 121434</t>
  </si>
  <si>
    <t>GREGG OBERG</t>
  </si>
  <si>
    <t>OFFICE DEPOT</t>
  </si>
  <si>
    <t>SHIPPING CHGS</t>
  </si>
  <si>
    <t xml:space="preserve">PARRISH-HARE ELECTRIC </t>
  </si>
  <si>
    <t>2% 10TH</t>
  </si>
  <si>
    <t>PO Created by Req: 121428</t>
  </si>
  <si>
    <t>PO Created by Req: 121429</t>
  </si>
  <si>
    <t>PITSCO EDUCATION</t>
  </si>
  <si>
    <t>PO Created by Req: 121443</t>
  </si>
  <si>
    <t>CINDY POWELL</t>
  </si>
  <si>
    <t>PO Created by Req: 121462</t>
  </si>
  <si>
    <t>PO Created by Req: 121141</t>
  </si>
  <si>
    <t>PO Created by Req: 121139</t>
  </si>
  <si>
    <t>PURCHASE POWER</t>
  </si>
  <si>
    <t>POSTAGE</t>
  </si>
  <si>
    <t>RADISSON</t>
  </si>
  <si>
    <t>CONSULTING</t>
  </si>
  <si>
    <t>GREG RICHARDSON</t>
  </si>
  <si>
    <t>NORMAN RICHARDSON</t>
  </si>
  <si>
    <t>CYNTHIA RUSH</t>
  </si>
  <si>
    <t>PO Created by Req: 121484</t>
  </si>
  <si>
    <t>ALFRED SMITH</t>
  </si>
  <si>
    <t>NICHOLAS STANSELL</t>
  </si>
  <si>
    <t xml:space="preserve">STEPHENVILLE H.S. </t>
  </si>
  <si>
    <t>PO Created by Req: 121248</t>
  </si>
  <si>
    <t>SUPER 8</t>
  </si>
  <si>
    <t>GATE PROCEEDS</t>
  </si>
  <si>
    <t>TASPA</t>
  </si>
  <si>
    <t>211-23-6411.00-107-430S00</t>
  </si>
  <si>
    <t xml:space="preserve">TEXAS ASSN FOR </t>
  </si>
  <si>
    <t>LEADERSHIP ACADEMY-</t>
  </si>
  <si>
    <t>GIFTS</t>
  </si>
  <si>
    <t xml:space="preserve">UNIVERSITY OF TEXAS - </t>
  </si>
  <si>
    <t>STATE TOURNEY</t>
  </si>
  <si>
    <t>Worthington Direct</t>
  </si>
  <si>
    <t>PO Created by Req: 121398</t>
  </si>
  <si>
    <t>CHARTER BUS</t>
  </si>
  <si>
    <t>OVERAGE</t>
  </si>
  <si>
    <t xml:space="preserve">CENTRAL TEXAS FRAME &amp; </t>
  </si>
  <si>
    <t>BUS REPAIR</t>
  </si>
  <si>
    <t>RECYCLING</t>
  </si>
  <si>
    <t>ASNE FOUNDATION</t>
  </si>
  <si>
    <t>PO Created by Req: 121538</t>
  </si>
  <si>
    <t>181-36-6399.82-041-491000</t>
  </si>
  <si>
    <t>PO Created by Req: 121172</t>
  </si>
  <si>
    <t>FALL SPORTS BANQUET</t>
  </si>
  <si>
    <t>BOYTE SAND &amp; GRAVEL</t>
  </si>
  <si>
    <t>CONCRETE SAND</t>
  </si>
  <si>
    <t xml:space="preserve">CENTRAL TEXAS BUSINESS </t>
  </si>
  <si>
    <t>AEROSOL</t>
  </si>
  <si>
    <t>FUEL FEE</t>
  </si>
  <si>
    <t>199-31-6399.00-103-499000</t>
  </si>
  <si>
    <t>PO Created by Req: 121524</t>
  </si>
  <si>
    <t>INKCART</t>
  </si>
  <si>
    <t>CHANNEL</t>
  </si>
  <si>
    <t>AD FOR 80 BITES</t>
  </si>
  <si>
    <t>COURTYARD</t>
  </si>
  <si>
    <t>OVERPAY ON CK 113238</t>
  </si>
  <si>
    <t>PADFOLIOS</t>
  </si>
  <si>
    <t>PENS</t>
  </si>
  <si>
    <t>PO Created by Req: 121510</t>
  </si>
  <si>
    <t xml:space="preserve">DFW SCIENCE </t>
  </si>
  <si>
    <t>POT &amp; PAN DETERGENT ETC</t>
  </si>
  <si>
    <t>FRANCES DODDS</t>
  </si>
  <si>
    <t>DOLLAR RENT A CAR</t>
  </si>
  <si>
    <t>199-11-6411.11-001-422S00</t>
  </si>
  <si>
    <t xml:space="preserve">EAST TX FIRE PROTECTION, </t>
  </si>
  <si>
    <t>ANNUAL INSPECTION</t>
  </si>
  <si>
    <t>repairs</t>
  </si>
  <si>
    <t xml:space="preserve">ENNIS BASEBALL BOOSTER </t>
  </si>
  <si>
    <t>PO Created by Req: 121522</t>
  </si>
  <si>
    <t>199-11-6399.27-041-411000</t>
  </si>
  <si>
    <t>PO Created by Req: 121518</t>
  </si>
  <si>
    <t>199-11-6399.27-041-411A00</t>
  </si>
  <si>
    <t>PO Created by Req: 121516</t>
  </si>
  <si>
    <t>PO Created by Req: 121532</t>
  </si>
  <si>
    <t>PO Created by Req: 121531</t>
  </si>
  <si>
    <t>PO Created by Req: 121453</t>
  </si>
  <si>
    <t>STEPHANIE FORD</t>
  </si>
  <si>
    <t xml:space="preserve">FORD/AAA STUDENT AUTO </t>
  </si>
  <si>
    <t>APPLICATION FEE</t>
  </si>
  <si>
    <t>PO Created by Req: 121417</t>
  </si>
  <si>
    <t xml:space="preserve">FRESH COUNTRY </t>
  </si>
  <si>
    <t>GOPHER SPORT</t>
  </si>
  <si>
    <t>199-11-6399.64-042-411000</t>
  </si>
  <si>
    <t>PO Created by Req: 121469</t>
  </si>
  <si>
    <t>80 BITES TICKETS</t>
  </si>
  <si>
    <t>LA MANSION</t>
  </si>
  <si>
    <t>CHRISTMAS DECORATIONS</t>
  </si>
  <si>
    <t>ALARM REPAIR</t>
  </si>
  <si>
    <t xml:space="preserve">MALAKOFF HIGH SCHOOL </t>
  </si>
  <si>
    <t xml:space="preserve">NAVARRO COUNTY YOUTH </t>
  </si>
  <si>
    <t>PRIMUS BLANKS</t>
  </si>
  <si>
    <t>OLEN WILLIAMS, INC.</t>
  </si>
  <si>
    <t xml:space="preserve">REPAIR BASKETBALL </t>
  </si>
  <si>
    <t>PO Created by Req: 121517</t>
  </si>
  <si>
    <t>OSBOURN, BRE</t>
  </si>
  <si>
    <t>WINDOW REPAIR</t>
  </si>
  <si>
    <t xml:space="preserve">PREMIER SPEAKERS </t>
  </si>
  <si>
    <t>255-13-6299.00-999-430S00</t>
  </si>
  <si>
    <t>CHANGE ORDER COLLINS</t>
  </si>
  <si>
    <t>RED OAK BASEBALL</t>
  </si>
  <si>
    <t>RIVERSTAR FARMS</t>
  </si>
  <si>
    <t>JESUS RODRIGUEZ</t>
  </si>
  <si>
    <t>PAULETTE ROUNDTREE</t>
  </si>
  <si>
    <t>RYAN DUGOUT CLUB</t>
  </si>
  <si>
    <t>461-36-6499.05-850-499181</t>
  </si>
  <si>
    <t>PO Created by Req: 121214</t>
  </si>
  <si>
    <t>PO Created by Req: 121492</t>
  </si>
  <si>
    <t>SEITZ FUNDRAISING</t>
  </si>
  <si>
    <t>SKILLS USA INC</t>
  </si>
  <si>
    <t xml:space="preserve">SOUTHEASTERN </t>
  </si>
  <si>
    <t>199-11-6399.02-999-423SDE</t>
  </si>
  <si>
    <t>PO Created by Req: 121322</t>
  </si>
  <si>
    <t>JONATHAN SYLTIE</t>
  </si>
  <si>
    <t>SUBSTITUTION FEE</t>
  </si>
  <si>
    <t xml:space="preserve">TEXAS COMPTROLLER OF </t>
  </si>
  <si>
    <t>199-41-6495.00-750-499000</t>
  </si>
  <si>
    <t>COOP SERVICES</t>
  </si>
  <si>
    <t>THOMSON WEST</t>
  </si>
  <si>
    <t>TX FAMILY CODE</t>
  </si>
  <si>
    <t>FLATS</t>
  </si>
  <si>
    <t>MOUNT &amp; STEM</t>
  </si>
  <si>
    <t>CLIPBOARDS/MOUSE PADS</t>
  </si>
  <si>
    <t>WAXAHACHIE BASEBALL</t>
  </si>
  <si>
    <t>WEST ISD</t>
  </si>
  <si>
    <t>WESTIN</t>
  </si>
  <si>
    <t>JENNIFER &amp; JIMMY WOLVER</t>
  </si>
  <si>
    <t>461-36-6499.01-101-499000</t>
  </si>
  <si>
    <t>MILDRED I.S.D.</t>
  </si>
  <si>
    <t>PO Created by Req: 121374</t>
  </si>
  <si>
    <t>PO Created by Req: 121491</t>
  </si>
  <si>
    <t>PO Created by Req: 121488</t>
  </si>
  <si>
    <t>BEN BAKER</t>
  </si>
  <si>
    <t>BARBERS HILL HS THEATRE</t>
  </si>
  <si>
    <t>CLINIC FEE</t>
  </si>
  <si>
    <t>BELTON TENNIS</t>
  </si>
  <si>
    <t>MICHAEL J BUSTOS</t>
  </si>
  <si>
    <t>ENBROIDERY</t>
  </si>
  <si>
    <t>PIZZA FOR OPEN HOUSE</t>
  </si>
  <si>
    <t>COURTNEY CLABORN</t>
  </si>
  <si>
    <t>CHOREOGRAPHY</t>
  </si>
  <si>
    <t>PO Created by Req: 121521</t>
  </si>
  <si>
    <t>COOKIES</t>
  </si>
  <si>
    <t>COSTUME CLEANING</t>
  </si>
  <si>
    <t>TERRY COOPER</t>
  </si>
  <si>
    <t xml:space="preserve">REFUND ON STUDENT </t>
  </si>
  <si>
    <t>PYMT STOPPED 5/1/14</t>
  </si>
  <si>
    <t>MEALS FOR TRAINING ETC</t>
  </si>
  <si>
    <t>COTTON PATCH</t>
  </si>
  <si>
    <t>GIFT CARDS</t>
  </si>
  <si>
    <t xml:space="preserve">Curriculum Ctr. for Family </t>
  </si>
  <si>
    <t>PO Created by Req: 121502</t>
  </si>
  <si>
    <t>DFW COACHES CLINIC</t>
  </si>
  <si>
    <t>COACHING CLINIC</t>
  </si>
  <si>
    <t xml:space="preserve">DRAMATISTS PLAY SERVICE, </t>
  </si>
  <si>
    <t>PO Created by Req: 121422</t>
  </si>
  <si>
    <t>DARRYL DUFFIE</t>
  </si>
  <si>
    <t>PROJECT SUPPLIES</t>
  </si>
  <si>
    <t>ENNIS ISD TENNIS CENTER</t>
  </si>
  <si>
    <t>FLAGHOUSE</t>
  </si>
  <si>
    <t>PO Created by Req: 121533</t>
  </si>
  <si>
    <t>199-11-6399.27-001-411000</t>
  </si>
  <si>
    <t>PO Created by Req: 121559</t>
  </si>
  <si>
    <t>PO Created by Req: 121520</t>
  </si>
  <si>
    <t>GAMES 2 U SOUTHLAKE</t>
  </si>
  <si>
    <t>GANDY INK</t>
  </si>
  <si>
    <t>ROGELIO GARCIA</t>
  </si>
  <si>
    <t>TRIP PAYMENT</t>
  </si>
  <si>
    <t>PO Created by Req: 121497</t>
  </si>
  <si>
    <t>BUSINESS CARDS</t>
  </si>
  <si>
    <t>GTM SPORTSWEAR</t>
  </si>
  <si>
    <t>181-36-6399.42-001-491000</t>
  </si>
  <si>
    <t>PO Created by Req: 121450</t>
  </si>
  <si>
    <t>HOTEL INDIGO</t>
  </si>
  <si>
    <t>199-11-6411.15-042-411000</t>
  </si>
  <si>
    <t>199-11-6411.15-001-411000</t>
  </si>
  <si>
    <t>CODY JOHNSON</t>
  </si>
  <si>
    <t>TRISTON JONES</t>
  </si>
  <si>
    <t xml:space="preserve">LONE STAR COACHING </t>
  </si>
  <si>
    <t>CLINIC</t>
  </si>
  <si>
    <t>LONGVIEW TENNIS BOOSTER</t>
  </si>
  <si>
    <t>AMY MCMATH</t>
  </si>
  <si>
    <t>PO Created by Req: 121551</t>
  </si>
  <si>
    <t xml:space="preserve">MEXIA BLACKCATS BOOSTER </t>
  </si>
  <si>
    <t>MICROTEL INNS &amp; SUITES</t>
  </si>
  <si>
    <t>MIDWAY HS TENNIS</t>
  </si>
  <si>
    <t>TEXTBOOKS</t>
  </si>
  <si>
    <t>PO Created by Req: 121526</t>
  </si>
  <si>
    <t>PO Created by Req: 121537</t>
  </si>
  <si>
    <t>PO Created by Req: 121534</t>
  </si>
  <si>
    <t>SOLO MUSIC</t>
  </si>
  <si>
    <t>4TH GRADE FIELD TRIP</t>
  </si>
  <si>
    <t>PYMT STOPPED 5/6/14</t>
  </si>
  <si>
    <t>NARCOTIC DETECTION SVCS</t>
  </si>
  <si>
    <t xml:space="preserve">RACCOON TENNIS BOOSTER </t>
  </si>
  <si>
    <t xml:space="preserve">RED OAK QUARTERBACK </t>
  </si>
  <si>
    <t>SHORTAGES ORDER</t>
  </si>
  <si>
    <t>199-11-6399.26-041-411000</t>
  </si>
  <si>
    <t>PO Created by Req: 121378</t>
  </si>
  <si>
    <t>PO Created by Req: 121400</t>
  </si>
  <si>
    <t>PO Created by Req: 121523</t>
  </si>
  <si>
    <t>PO Created by Req: 121486</t>
  </si>
  <si>
    <t>SEGUIN H.S. GIRLS TRACK</t>
  </si>
  <si>
    <t>DAVID SHELBY</t>
  </si>
  <si>
    <t>GEORGE SIGGERS</t>
  </si>
  <si>
    <t>VOIDED 5/2014</t>
  </si>
  <si>
    <t>SPORTS ATTACK</t>
  </si>
  <si>
    <t>181-36-6399.11-001-491000</t>
  </si>
  <si>
    <t>PO Created by Req: 121546</t>
  </si>
  <si>
    <t>STARFALL EDUCATION</t>
  </si>
  <si>
    <t>PO Created by Req: 121527</t>
  </si>
  <si>
    <t>PO Created by Req: 121540</t>
  </si>
  <si>
    <t>CANCELLATION FEE</t>
  </si>
  <si>
    <t>MIDWINTER CONF.</t>
  </si>
  <si>
    <t>THSPA</t>
  </si>
  <si>
    <t>ANNUAL DUES</t>
  </si>
  <si>
    <t>THSWPA</t>
  </si>
  <si>
    <t>RETIREMENT CLOCKS</t>
  </si>
  <si>
    <t xml:space="preserve">TYLER JUNIOR COLLEGE </t>
  </si>
  <si>
    <t>PO Created by Req: 121509</t>
  </si>
  <si>
    <t>GAME FEES</t>
  </si>
  <si>
    <t>SPORTS SUPPLY GROUP</t>
  </si>
  <si>
    <t>PO Created by Req: 121451</t>
  </si>
  <si>
    <t>GREGORY D WADE</t>
  </si>
  <si>
    <t>WAXAHACHIE QBC</t>
  </si>
  <si>
    <t>WHITEHOUSE ATHLETICS</t>
  </si>
  <si>
    <t>DARIEL WILLIAMS</t>
  </si>
  <si>
    <t>AATF NORTH TEXAS</t>
  </si>
  <si>
    <t>ALISIA M. GREER</t>
  </si>
  <si>
    <t>RECEPTION</t>
  </si>
  <si>
    <t>JERRY ALBANO</t>
  </si>
  <si>
    <t>181-36-6219.30-001-491000</t>
  </si>
  <si>
    <t>FRANK ANTONELLI</t>
  </si>
  <si>
    <t>PO Created by Req: 121554</t>
  </si>
  <si>
    <t>PO Created by Req: 121570</t>
  </si>
  <si>
    <t>PO Created by Req: 121489</t>
  </si>
  <si>
    <t>PO Created by Req: 121553</t>
  </si>
  <si>
    <t>BEAM Conference</t>
  </si>
  <si>
    <t>J.BRANDT CO.</t>
  </si>
  <si>
    <t>PO Created by Req: 121461</t>
  </si>
  <si>
    <t>BRINSON FORD, INC.</t>
  </si>
  <si>
    <t>PO Created by Req: 121588</t>
  </si>
  <si>
    <t>BROAD REACH</t>
  </si>
  <si>
    <t>PO Created by Req: 121432</t>
  </si>
  <si>
    <t>BYRON BUCKLEY</t>
  </si>
  <si>
    <t>MARKUS BURKHALTER</t>
  </si>
  <si>
    <t>CANDY WAREHOUSE.COM</t>
  </si>
  <si>
    <t>PO Created by Req: 121547</t>
  </si>
  <si>
    <t>PO Created by Req: 121556</t>
  </si>
  <si>
    <t>PO Created by Req: 121562</t>
  </si>
  <si>
    <t>Instruction</t>
  </si>
  <si>
    <t>PO Created by Req: 121477</t>
  </si>
  <si>
    <t>481-61-6499.50-999-499000</t>
  </si>
  <si>
    <t xml:space="preserve">DONATIONS &amp; </t>
  </si>
  <si>
    <t>487-11-6399.00-042-499000</t>
  </si>
  <si>
    <t>CAREER EDUCATORS</t>
  </si>
  <si>
    <t>CAREER DAY PHOTOS</t>
  </si>
  <si>
    <t xml:space="preserve">CARGO CRAFT OF TEXAS, </t>
  </si>
  <si>
    <t>CDW COMPUTER CENTERS</t>
  </si>
  <si>
    <t>PO Created by Req: 121487</t>
  </si>
  <si>
    <t>CHILDREN'S PLUS</t>
  </si>
  <si>
    <t>PO Created by Req: 121465</t>
  </si>
  <si>
    <t>ISSUE ERROR</t>
  </si>
  <si>
    <t>199-13-6499.00-041-499000</t>
  </si>
  <si>
    <t>PAULA COOKSEY</t>
  </si>
  <si>
    <t>KEVIN COURTNEY</t>
  </si>
  <si>
    <t>CALVIN CROCKETT</t>
  </si>
  <si>
    <t>CTASC DISTRICT 6</t>
  </si>
  <si>
    <t>PO Created by Req: 121568</t>
  </si>
  <si>
    <t xml:space="preserve">D&amp;H DISTRIBUTING </t>
  </si>
  <si>
    <t>PO Created by Req: 121560</t>
  </si>
  <si>
    <t>JAMES DAVIS JR.</t>
  </si>
  <si>
    <t xml:space="preserve">DENTON RYAN ISD </t>
  </si>
  <si>
    <t>DIRECT ENERGY BUSINESS</t>
  </si>
  <si>
    <t>MOVE CABINETS</t>
  </si>
  <si>
    <t>EXTINGUISHER MAINT</t>
  </si>
  <si>
    <t>AWARDS</t>
  </si>
  <si>
    <t>STUDENT ASSESSMENT</t>
  </si>
  <si>
    <t>DAVID L EDWARDS</t>
  </si>
  <si>
    <t>186-13-6219.00-001-499S00</t>
  </si>
  <si>
    <t>SPEAKER</t>
  </si>
  <si>
    <t>MOTOR REPAIR</t>
  </si>
  <si>
    <t>PO Created by Req: 121572</t>
  </si>
  <si>
    <t>PO Created by Req: 121585</t>
  </si>
  <si>
    <t>Storage / Cynthia Garcia</t>
  </si>
  <si>
    <t>PO Created by Req: 121548</t>
  </si>
  <si>
    <t>PO Created by Req: 121480</t>
  </si>
  <si>
    <t>GAYLORD TEXAN</t>
  </si>
  <si>
    <t>CARLA GENTRY</t>
  </si>
  <si>
    <t>GILLESPIE GRAPHICS, INC.</t>
  </si>
  <si>
    <t>INVENTORY TAGS</t>
  </si>
  <si>
    <t>263-31-6399.03-999-425S00</t>
  </si>
  <si>
    <t>PO Created by Req: 121580</t>
  </si>
  <si>
    <t>OVERPAY</t>
  </si>
  <si>
    <t>199-11-6411.15-041-411000</t>
  </si>
  <si>
    <t>DEWAYNE IKNER</t>
  </si>
  <si>
    <t>EDU-SAFE LLC</t>
  </si>
  <si>
    <t>PROXIMITY CARDS</t>
  </si>
  <si>
    <t>GARY LINDSEY</t>
  </si>
  <si>
    <t>WACO</t>
  </si>
  <si>
    <t>MATH WARM-UPS</t>
  </si>
  <si>
    <t>PO Created by Req: 121573</t>
  </si>
  <si>
    <t>REIMG</t>
  </si>
  <si>
    <t>MUSIC IN MOTION</t>
  </si>
  <si>
    <t>PO Created by Req: 121550</t>
  </si>
  <si>
    <t>2ND QUARTER</t>
  </si>
  <si>
    <t>TONI NILES</t>
  </si>
  <si>
    <t>PO Created by Req: 121563</t>
  </si>
  <si>
    <t>CARL PADILLA</t>
  </si>
  <si>
    <t>DANIELLE PALEY</t>
  </si>
  <si>
    <t>MARIO PATTERSON</t>
  </si>
  <si>
    <t>435-11-6411.22-999-423S00</t>
  </si>
  <si>
    <t xml:space="preserve">COLLINS RETRO LOCK CHG </t>
  </si>
  <si>
    <t>PO Created by Req: 121282</t>
  </si>
  <si>
    <t>PO Created by Req: 121536</t>
  </si>
  <si>
    <t>PO Created by Req: 121327</t>
  </si>
  <si>
    <t>LIFT RENTAL</t>
  </si>
  <si>
    <t>C.J. RICHARDSON</t>
  </si>
  <si>
    <t>SANTILLANA</t>
  </si>
  <si>
    <t>PO Created by Req: 121337</t>
  </si>
  <si>
    <t>JAMES B SHARP JR</t>
  </si>
  <si>
    <t xml:space="preserve">SKILLS USA TEXAS DISTRICT </t>
  </si>
  <si>
    <t>SPECTRUM CORPORATION</t>
  </si>
  <si>
    <t>TEXAS ASCD</t>
  </si>
  <si>
    <t xml:space="preserve">TEXAS DEPT OF </t>
  </si>
  <si>
    <t>SPRAYING LICENSE</t>
  </si>
  <si>
    <t>TEXAS LIBRARY ASSN</t>
  </si>
  <si>
    <t>MEDICAID PROCESSING</t>
  </si>
  <si>
    <t>HEATHER THORNTON</t>
  </si>
  <si>
    <t>WARD'S SCIENCE</t>
  </si>
  <si>
    <t>PO Created by Req: 121351</t>
  </si>
  <si>
    <t>WOODBURN PRESS</t>
  </si>
  <si>
    <t>PO Created by Req: 121555</t>
  </si>
  <si>
    <t>181-36-6399.12-001-491000</t>
  </si>
  <si>
    <t>PO Created by Req: 121411</t>
  </si>
  <si>
    <t>VOIDED 3/7</t>
  </si>
  <si>
    <t xml:space="preserve">BATTS AUDIO,VIDEO,&amp; </t>
  </si>
  <si>
    <t>199-51-6639.00-999-499000</t>
  </si>
  <si>
    <t>PO Created by Req: 121507</t>
  </si>
  <si>
    <t xml:space="preserve">JONES SCHOOL SUPPLY CO., </t>
  </si>
  <si>
    <t>PO Created by Req: 121504</t>
  </si>
  <si>
    <t>199-31-6339.00-999-421SGT</t>
  </si>
  <si>
    <t>PO Created by Req: 121503</t>
  </si>
  <si>
    <t>WEST MUSIC</t>
  </si>
  <si>
    <t>PO Created by Req: 121485</t>
  </si>
  <si>
    <t>199-36-6411.00-999-499000</t>
  </si>
  <si>
    <t>181-36-6497.61-001-491000</t>
  </si>
  <si>
    <t>PO Created by Req: 121467</t>
  </si>
  <si>
    <t>PO Created by Req: 121565</t>
  </si>
  <si>
    <t>ROTC JACKETS</t>
  </si>
  <si>
    <t>AFJROTC BOOSTER CLUB</t>
  </si>
  <si>
    <t>HATS</t>
  </si>
  <si>
    <t>ARC OF TEXAS</t>
  </si>
  <si>
    <t>SOCKS</t>
  </si>
  <si>
    <t>199-11-6399.16-041-411000</t>
  </si>
  <si>
    <t>PO Created by Req: 121581</t>
  </si>
  <si>
    <t>199-11-6399.20-041-411000</t>
  </si>
  <si>
    <t>BELIEVE PRODUCTIONS, INC.</t>
  </si>
  <si>
    <t>PAULA FARMER</t>
  </si>
  <si>
    <t>SCREENED LOGO SHEETS</t>
  </si>
  <si>
    <t>MICAH COOPER</t>
  </si>
  <si>
    <t>MOLLY CORRINGTON</t>
  </si>
  <si>
    <t xml:space="preserve">CORSICANA EMERGENCY </t>
  </si>
  <si>
    <t>TRAFFIC CONTROL</t>
  </si>
  <si>
    <t>SHELTERED INSTRUCTION</t>
  </si>
  <si>
    <t>ENNIS H.S.</t>
  </si>
  <si>
    <t>199-36-6499.00-001-499000</t>
  </si>
  <si>
    <t>PO Created by Req: 121600</t>
  </si>
  <si>
    <t>PO Created by Req: 121601</t>
  </si>
  <si>
    <t>BAND SHIRTS</t>
  </si>
  <si>
    <t>ALEXIS GEORGE</t>
  </si>
  <si>
    <t>SPEECH THERAPY SVC</t>
  </si>
  <si>
    <t>PO Created by Req: 121549</t>
  </si>
  <si>
    <t>NAME TAG &amp; PLATE</t>
  </si>
  <si>
    <t xml:space="preserve">HIGH SCHOOL VASE REGION </t>
  </si>
  <si>
    <t>ON COMMAND</t>
  </si>
  <si>
    <t>MARKERS</t>
  </si>
  <si>
    <t>PO Created by Req: 121575</t>
  </si>
  <si>
    <t>PO Created by Req: 121380</t>
  </si>
  <si>
    <t>LINDA SHARP</t>
  </si>
  <si>
    <t>JAMES SINCLAIR</t>
  </si>
  <si>
    <t xml:space="preserve">TCU OFFICE OF EXTENDED </t>
  </si>
  <si>
    <t>199-13-6411.00-001-421SAP</t>
  </si>
  <si>
    <t>PO Created by Req: 121542</t>
  </si>
  <si>
    <t>PO Created by Req: 121582</t>
  </si>
  <si>
    <t xml:space="preserve">TEXAS DEPARTMENT OF </t>
  </si>
  <si>
    <t>TEXAS TIER TWO CHEM</t>
  </si>
  <si>
    <t>VENUS ATHLETICS</t>
  </si>
  <si>
    <t>WAXAHACHIE H.S. GOLF</t>
  </si>
  <si>
    <t>VOIDED 3/20/14</t>
  </si>
  <si>
    <t>HEATHER WHITE</t>
  </si>
  <si>
    <t>MICHAEL SCHMIDT</t>
  </si>
  <si>
    <t>PRINTS</t>
  </si>
  <si>
    <t>WILBERT RAY ADAMS</t>
  </si>
  <si>
    <t>SEWER LINE REPAIR</t>
  </si>
  <si>
    <t>LEAK REPAIR</t>
  </si>
  <si>
    <t>ELDA ALLEN</t>
  </si>
  <si>
    <t>HERSCHEL D. ALLEN</t>
  </si>
  <si>
    <t xml:space="preserve">AMERICAN DANCE/DRILL </t>
  </si>
  <si>
    <t>AUDIT REPORT</t>
  </si>
  <si>
    <t>PO Created by Req: 121587</t>
  </si>
  <si>
    <t>ALMA ARREDONDO</t>
  </si>
  <si>
    <t>HEATH AUTREY</t>
  </si>
  <si>
    <t>ANDREW BANNER</t>
  </si>
  <si>
    <t>PO Created by Req: 121305</t>
  </si>
  <si>
    <t>CATERING</t>
  </si>
  <si>
    <t>CORSAGES</t>
  </si>
  <si>
    <t>PO Created by Req: 121356</t>
  </si>
  <si>
    <t>BRYAN ADAMS H.S.</t>
  </si>
  <si>
    <t>NCS PEARSON,INC.</t>
  </si>
  <si>
    <t>PO Created by Req: 121336</t>
  </si>
  <si>
    <t>AC UNITS</t>
  </si>
  <si>
    <t>CHEERS ETC., INC.</t>
  </si>
  <si>
    <t xml:space="preserve">SCHOOL </t>
  </si>
  <si>
    <t>PO Created by Req: 121543</t>
  </si>
  <si>
    <t>COMMERCIAL LIGHTING</t>
  </si>
  <si>
    <t>ROBIN CORBETT</t>
  </si>
  <si>
    <t xml:space="preserve">CORSICANA A/C &amp; SHEET </t>
  </si>
  <si>
    <t>GAS VALVES</t>
  </si>
  <si>
    <t>DETERGENT, ETC</t>
  </si>
  <si>
    <t>JODY DRAGOO</t>
  </si>
  <si>
    <t>ERIC ARMIN, INC.</t>
  </si>
  <si>
    <t>PO Created by Req: 121545</t>
  </si>
  <si>
    <t>SBDC CERTIFICATE</t>
  </si>
  <si>
    <t xml:space="preserve">FAITH CHRISTIAN SCHOOL </t>
  </si>
  <si>
    <t>PO Created by Req: 121598</t>
  </si>
  <si>
    <t>PO Created by Req: 121614</t>
  </si>
  <si>
    <t>PO Created by Req: 121566</t>
  </si>
  <si>
    <t>JONATHAN GUADIAN</t>
  </si>
  <si>
    <t>MARTHA SUE HAGAR</t>
  </si>
  <si>
    <t>CONSULTANT SVCS</t>
  </si>
  <si>
    <t>HAPPY FEET</t>
  </si>
  <si>
    <t>BOOTS</t>
  </si>
  <si>
    <t>BILLY HARLAN</t>
  </si>
  <si>
    <t>DAY SVCS</t>
  </si>
  <si>
    <t>RICKEY R. HERRON SR.</t>
  </si>
  <si>
    <t>KRISTY HOLLINGSWORTH</t>
  </si>
  <si>
    <t>UHF ACCESS CHARGE</t>
  </si>
  <si>
    <t>BUS RADIOS</t>
  </si>
  <si>
    <t>JANET JOHNSON</t>
  </si>
  <si>
    <t>DISHERS, BLADE ASSEMBLY</t>
  </si>
  <si>
    <t>PO Created by Req: 121515</t>
  </si>
  <si>
    <t>PO Created by Req: 121592</t>
  </si>
  <si>
    <t>NUTRITION-COMM MEETING</t>
  </si>
  <si>
    <t>MICHELLE MCGEHEE</t>
  </si>
  <si>
    <t>SHOW CREATURE KITS</t>
  </si>
  <si>
    <t>CONTRACT SVC</t>
  </si>
  <si>
    <t>MOMAR</t>
  </si>
  <si>
    <t>PO Created by Req: 121558</t>
  </si>
  <si>
    <t>PO Created by Req: 121314</t>
  </si>
  <si>
    <t>PETTY CASH REIMB</t>
  </si>
  <si>
    <t>VOID 2/20/14</t>
  </si>
  <si>
    <t>RICKEY NELSON</t>
  </si>
  <si>
    <t>PO Created by Req: 121604</t>
  </si>
  <si>
    <t>PERFECTION LEARNING</t>
  </si>
  <si>
    <t>199-11-6399.27-001-411SAP</t>
  </si>
  <si>
    <t>PO Created by Req: 121611</t>
  </si>
  <si>
    <t>PSAT/NMSQT</t>
  </si>
  <si>
    <t>199-31-6219.00-001-431000</t>
  </si>
  <si>
    <t>PO Created by Req: 121331</t>
  </si>
  <si>
    <t>WASHER REPAIR</t>
  </si>
  <si>
    <t>ASHLEY RAY</t>
  </si>
  <si>
    <t>BROOKE ROBERTS</t>
  </si>
  <si>
    <t>PO Created by Req: 121596</t>
  </si>
  <si>
    <t>PO Created by Req: 121544</t>
  </si>
  <si>
    <t>LANDON MATFORD SHEHEE</t>
  </si>
  <si>
    <t>SHI GOVERNMENT</t>
  </si>
  <si>
    <t>PO Created by Req: 121561</t>
  </si>
  <si>
    <t>PO Created by Req: 121244</t>
  </si>
  <si>
    <t>PO Created by Req: 121619</t>
  </si>
  <si>
    <t xml:space="preserve">TEACHER CREATED </t>
  </si>
  <si>
    <t>PO Created by Req: 121599</t>
  </si>
  <si>
    <t>TIMBERVIEW BOOSTER CLUB</t>
  </si>
  <si>
    <t>VOIDED 2/27</t>
  </si>
  <si>
    <t>CHRIS TOBOLA</t>
  </si>
  <si>
    <t>UT ARLINGTON APSI</t>
  </si>
  <si>
    <t>PO Created by Req: 121618</t>
  </si>
  <si>
    <t xml:space="preserve">WACO REGIONAL TENNIS &amp; </t>
  </si>
  <si>
    <t>COURT FEES</t>
  </si>
  <si>
    <t>MARTHA MAE WALTER</t>
  </si>
  <si>
    <t>WARREN TIRE &amp; WHEEL INC</t>
  </si>
  <si>
    <t>GOOSENECK</t>
  </si>
  <si>
    <t>BED LINER</t>
  </si>
  <si>
    <t>CHARGER BUS</t>
  </si>
  <si>
    <t>PULLOVERS</t>
  </si>
  <si>
    <t>YOUTHLIGHT</t>
  </si>
  <si>
    <t>PO Created by Req: 121525</t>
  </si>
  <si>
    <t>STEVE HOFFMAN</t>
  </si>
  <si>
    <t>RANDY MCCAIN</t>
  </si>
  <si>
    <t xml:space="preserve">ABBA ARCHITECTURAL </t>
  </si>
  <si>
    <t>RECEIVER</t>
  </si>
  <si>
    <t>University of Texas at Dallas</t>
  </si>
  <si>
    <t>PO Created by Req: 121617</t>
  </si>
  <si>
    <t>ARBOR SCIENTIFIC</t>
  </si>
  <si>
    <t>PO Created by Req: 121616</t>
  </si>
  <si>
    <t>181-36-6399.21-041-491000</t>
  </si>
  <si>
    <t>PO Created by Req: 121586</t>
  </si>
  <si>
    <t>CLEATS</t>
  </si>
  <si>
    <t>DAVID BARNSHAW</t>
  </si>
  <si>
    <t>CHARLES E COOK</t>
  </si>
  <si>
    <t>PO Created by Req: 121631</t>
  </si>
  <si>
    <t xml:space="preserve">CANDLES &amp; MOORE MFG, </t>
  </si>
  <si>
    <t>PO Created by Req: 121567</t>
  </si>
  <si>
    <t>PO Created by Req: 121632</t>
  </si>
  <si>
    <t>PO Created by Req: 121557</t>
  </si>
  <si>
    <t>199-11-6399.64-102-411000</t>
  </si>
  <si>
    <t>COMFORT SUITES</t>
  </si>
  <si>
    <t>WORKOUT CLOTHES</t>
  </si>
  <si>
    <t>PO Created by Req: 121615</t>
  </si>
  <si>
    <t>PO Created by Req: 121594</t>
  </si>
  <si>
    <t>DOUBLE TROUBLE DUDS</t>
  </si>
  <si>
    <t>ECHO TOURS &amp; CHARTER</t>
  </si>
  <si>
    <t>SOLO CD'S</t>
  </si>
  <si>
    <t>KRISTE ELMORE</t>
  </si>
  <si>
    <t>EZ FLEX MATS</t>
  </si>
  <si>
    <t>CHEER MATS</t>
  </si>
  <si>
    <t>PO Created by Req: 121641</t>
  </si>
  <si>
    <t>PO Created by Req: 121653</t>
  </si>
  <si>
    <t>PO Created by Req: 121649</t>
  </si>
  <si>
    <t>PO Created by Req: 121639</t>
  </si>
  <si>
    <t>PO Created by Req: 121638</t>
  </si>
  <si>
    <t>PO Created by Req: 121663</t>
  </si>
  <si>
    <t>INK TANKS</t>
  </si>
  <si>
    <t>MISTY FLETES</t>
  </si>
  <si>
    <t>ROYALTY FEES</t>
  </si>
  <si>
    <t xml:space="preserve">FRISCO ROUGHRIDERS </t>
  </si>
  <si>
    <t>GUIDED TOURS</t>
  </si>
  <si>
    <t>CASEY GORDON</t>
  </si>
  <si>
    <t>LAWRENCE GREEN</t>
  </si>
  <si>
    <t>HAROLD C HALL</t>
  </si>
  <si>
    <t>199-36-6219.74-001-499000</t>
  </si>
  <si>
    <t>MILK FOR MARCH</t>
  </si>
  <si>
    <t>199-36-6412.00-001-422S00</t>
  </si>
  <si>
    <t>PO Created by Req: 121642</t>
  </si>
  <si>
    <t>PO Created by Req: 121613</t>
  </si>
  <si>
    <t>PO Created by Req: 121359</t>
  </si>
  <si>
    <t>PO Created by Req: 121448</t>
  </si>
  <si>
    <t>PO Created by Req: 121324</t>
  </si>
  <si>
    <t>181-36-6399.32-001-491000</t>
  </si>
  <si>
    <t>PO Created by Req: 121357</t>
  </si>
  <si>
    <t>PO Created by Req: 121149</t>
  </si>
  <si>
    <t xml:space="preserve">LAKE RIDGE HS GOLF </t>
  </si>
  <si>
    <t xml:space="preserve">LAW OFFICES OF KENNETH G </t>
  </si>
  <si>
    <t>H-1B PETITIONS</t>
  </si>
  <si>
    <t>PO Created by Req: 121389</t>
  </si>
  <si>
    <t>PO Created by Req: 121287</t>
  </si>
  <si>
    <t>ANN LEWIS</t>
  </si>
  <si>
    <t>SANDRA MACKEY</t>
  </si>
  <si>
    <t>CINDY MCCARY</t>
  </si>
  <si>
    <t>WILLIAM MCDOWELL</t>
  </si>
  <si>
    <t>MARYLIN MCNEEL</t>
  </si>
  <si>
    <t>199-36-6219.24-999-499000</t>
  </si>
  <si>
    <t>NETCHEMIA</t>
  </si>
  <si>
    <t>TALENT-ED</t>
  </si>
  <si>
    <t>OLD FASHION CANDY CO.</t>
  </si>
  <si>
    <t>PO Created by Req: 121621</t>
  </si>
  <si>
    <t>PO Created by Req: 121481</t>
  </si>
  <si>
    <t xml:space="preserve">EDWARD M. POLK </t>
  </si>
  <si>
    <t>NOTARY - T THOMAS</t>
  </si>
  <si>
    <t>RENEWAL POLICY</t>
  </si>
  <si>
    <t>PO Created by Req: 121651</t>
  </si>
  <si>
    <t>DONALD REEDY</t>
  </si>
  <si>
    <t>181-36-6219.12-001-491000</t>
  </si>
  <si>
    <t>DOMINIC SANFILIPPO</t>
  </si>
  <si>
    <t>PO Created by Req: 121496</t>
  </si>
  <si>
    <t>RENEE SETSER</t>
  </si>
  <si>
    <t>BRITTANY SKINNER</t>
  </si>
  <si>
    <t>WENDY STEELE</t>
  </si>
  <si>
    <t>PO Created by Req: 121574</t>
  </si>
  <si>
    <t>PO Created by Req: 121535</t>
  </si>
  <si>
    <t>JENNIFER SUTTON</t>
  </si>
  <si>
    <t>BILLY TALLANT</t>
  </si>
  <si>
    <t>TECHNICAL PERSPECTIVES,</t>
  </si>
  <si>
    <t>PO Created by Req: 121626</t>
  </si>
  <si>
    <t>PO Created by Req: 121634</t>
  </si>
  <si>
    <t xml:space="preserve">Texas Computer Education </t>
  </si>
  <si>
    <t>PO Created by Req: 121393</t>
  </si>
  <si>
    <t>TEXAS FBLA</t>
  </si>
  <si>
    <t>VOIDED 2/20/14</t>
  </si>
  <si>
    <t xml:space="preserve">THOMPSON PRINT </t>
  </si>
  <si>
    <t>FINANCE CHECKS</t>
  </si>
  <si>
    <t>SCOTT TIPTON</t>
  </si>
  <si>
    <t>ROY TOTEN</t>
  </si>
  <si>
    <t>TENNIS RESINS</t>
  </si>
  <si>
    <t>VINTAGE CHARM</t>
  </si>
  <si>
    <t>BILLBOARDS</t>
  </si>
  <si>
    <t>WACO SOFTBALL UMPIRES</t>
  </si>
  <si>
    <t>WALKER ENTERPRISES</t>
  </si>
  <si>
    <t>PO Created by Req: 121564</t>
  </si>
  <si>
    <t xml:space="preserve">WELLS FARGO BANK </t>
  </si>
  <si>
    <t>COMPUTER LEASE</t>
  </si>
  <si>
    <t>LEASE/PURCHASE DATA CTR</t>
  </si>
  <si>
    <t>DATA CTR PROJECT</t>
  </si>
  <si>
    <t>PAINT DUGOUTS</t>
  </si>
  <si>
    <t>LAURINDA ABBIE</t>
  </si>
  <si>
    <t>199-36-6411.71-041-499000</t>
  </si>
  <si>
    <t>STEPHEN D. ALMUETE</t>
  </si>
  <si>
    <t>CHERYL BAXTER</t>
  </si>
  <si>
    <t>ORIGINAL BELL</t>
  </si>
  <si>
    <t>JASON BRADBERRY</t>
  </si>
  <si>
    <t>KEITH BROWN</t>
  </si>
  <si>
    <t>PO Created by Req: 121513</t>
  </si>
  <si>
    <t>CATHERINE BURLING</t>
  </si>
  <si>
    <t>211-21-6411.01-999-424S00</t>
  </si>
  <si>
    <t>pizzas</t>
  </si>
  <si>
    <t>SHREDDING SERVICE</t>
  </si>
  <si>
    <t xml:space="preserve">CITY OF RICHLAND GENERAL </t>
  </si>
  <si>
    <t>CLEBURNE GOLF LINKS</t>
  </si>
  <si>
    <t>PO Created by Req: 121677</t>
  </si>
  <si>
    <t>340-11-6399.00-999-423S00</t>
  </si>
  <si>
    <t xml:space="preserve">IDEA-H DEAF EARLY </t>
  </si>
  <si>
    <t>CORSICANA ROTARY CLUB</t>
  </si>
  <si>
    <t>JACI COY</t>
  </si>
  <si>
    <t>CRANDALL ISD</t>
  </si>
  <si>
    <t>PO Created by Req: 121657</t>
  </si>
  <si>
    <t>CHRISTINE DAVIS</t>
  </si>
  <si>
    <t>EL SABER ENTERPRISES INC</t>
  </si>
  <si>
    <t>199-11-6219.00-999-425S00</t>
  </si>
  <si>
    <t>KEYNOTE SPEAKER</t>
  </si>
  <si>
    <t>PO Created by Req: 121672</t>
  </si>
  <si>
    <t>PO Created by Req: 121683</t>
  </si>
  <si>
    <t>GLEN ROSE ISD</t>
  </si>
  <si>
    <t>VOIDED 3/6/14</t>
  </si>
  <si>
    <t>PO Created by Req: 121636</t>
  </si>
  <si>
    <t>240-35-6219.00-999-499000</t>
  </si>
  <si>
    <t>MENU PLANNING UPDATE</t>
  </si>
  <si>
    <t>IDESIGN SOLUTIONS</t>
  </si>
  <si>
    <t>PO Created by Req: 121591</t>
  </si>
  <si>
    <t>JEFF KAPENA</t>
  </si>
  <si>
    <t>Classroom/Supplies</t>
  </si>
  <si>
    <t>NORMA LARKIN</t>
  </si>
  <si>
    <t>LEAD4ward</t>
  </si>
  <si>
    <t>REGISTRATIONS</t>
  </si>
  <si>
    <t>HUMBERTO MACIEL</t>
  </si>
  <si>
    <t>PO Created by Req: 121629</t>
  </si>
  <si>
    <t>MIDLOTHIAN GOLF</t>
  </si>
  <si>
    <t>SPRING TUITION</t>
  </si>
  <si>
    <t>PO Created by Req: 121659</t>
  </si>
  <si>
    <t>PO Created by Req: 121640</t>
  </si>
  <si>
    <t>PO Created by Req: 121623</t>
  </si>
  <si>
    <t>PO Created by Req: 121662</t>
  </si>
  <si>
    <t>BEN PINCKNEY</t>
  </si>
  <si>
    <t>CHARLES RAGSDALE</t>
  </si>
  <si>
    <t>PO Created by Req: 121627</t>
  </si>
  <si>
    <t>ROBOMATTER INC</t>
  </si>
  <si>
    <t>PO Created by Req: 121637</t>
  </si>
  <si>
    <t>PO Created by Req: 121635</t>
  </si>
  <si>
    <t>SEGUIN GOLF</t>
  </si>
  <si>
    <t>JACOLBY SMITH</t>
  </si>
  <si>
    <t>STEVE WEISS MUSIC, INC.</t>
  </si>
  <si>
    <t>PO Created by Req: 121655</t>
  </si>
  <si>
    <t>AUSTIN SHIRTS</t>
  </si>
  <si>
    <t>TERMINIX SERVICE</t>
  </si>
  <si>
    <t>BAITING SYSTEM</t>
  </si>
  <si>
    <t>CLARK TERRY</t>
  </si>
  <si>
    <t>STONE ON EASEL</t>
  </si>
  <si>
    <t>WABASH INSTRUMENT CORP.</t>
  </si>
  <si>
    <t>PO Created by Req: 121650</t>
  </si>
  <si>
    <t>MEDALS</t>
  </si>
  <si>
    <t xml:space="preserve">WINGATE BY WYNDHAM </t>
  </si>
  <si>
    <t>LAUREN ZIMMERMAN</t>
  </si>
  <si>
    <t>2014 FORD EDGE</t>
  </si>
  <si>
    <t>PAM BUTCHER</t>
  </si>
  <si>
    <t>2009 CHEVY REPAIR</t>
  </si>
  <si>
    <t>PO Created by Req: 121701</t>
  </si>
  <si>
    <t>CARPENTER HAMBURGERS</t>
  </si>
  <si>
    <t xml:space="preserve">CHILDREN'S AQUARIUM AT </t>
  </si>
  <si>
    <t>CITY OF CORSICANA</t>
  </si>
  <si>
    <t>TENNIS COURT RENTAL</t>
  </si>
  <si>
    <t>CAPS</t>
  </si>
  <si>
    <t xml:space="preserve">DALLAS HOLOCAUST </t>
  </si>
  <si>
    <t>PO Created by Req: 121628</t>
  </si>
  <si>
    <t>PO Created by Req: 121676</t>
  </si>
  <si>
    <t>DYNA STUDY INC</t>
  </si>
  <si>
    <t>PO Created by Req: 121707</t>
  </si>
  <si>
    <t>ECS</t>
  </si>
  <si>
    <t>PO Created by Req: 121693</t>
  </si>
  <si>
    <t>FANTASY OF LIGHTS, INC.</t>
  </si>
  <si>
    <t>PO Created by Req: 121718</t>
  </si>
  <si>
    <t>FILE CABINETS</t>
  </si>
  <si>
    <t>PO Created by Req: 121695</t>
  </si>
  <si>
    <t>PO Created by Req: 121552</t>
  </si>
  <si>
    <t>PO Created by Req: 121684</t>
  </si>
  <si>
    <t>PO Created by Req: 121622</t>
  </si>
  <si>
    <t>PO Created by Req: 121675</t>
  </si>
  <si>
    <t>JESUIT COLLEGE PREP</t>
  </si>
  <si>
    <t>PO Created by Req: 121664</t>
  </si>
  <si>
    <t>240-35-6639.00-999-499000</t>
  </si>
  <si>
    <t>PO Created by Req: 121578</t>
  </si>
  <si>
    <t>PO Created by Req: 121577</t>
  </si>
  <si>
    <t>PO Created by Req: 121658</t>
  </si>
  <si>
    <t>LINDALE HS BOOSTER CLUB</t>
  </si>
  <si>
    <t>UIL 16-4A</t>
  </si>
  <si>
    <t>MART ISD</t>
  </si>
  <si>
    <t>GAME</t>
  </si>
  <si>
    <t>MARTINS MILL H.S.</t>
  </si>
  <si>
    <t>MAXI AIDS</t>
  </si>
  <si>
    <t>MCDONALD'S</t>
  </si>
  <si>
    <t xml:space="preserve">MCGRAW HILL School </t>
  </si>
  <si>
    <t>263-31-6399.00-999-425S00</t>
  </si>
  <si>
    <t>ONLINE TEST</t>
  </si>
  <si>
    <t>LAMPS RETURNED</t>
  </si>
  <si>
    <t>MAKEUP</t>
  </si>
  <si>
    <t>Speech/Carole</t>
  </si>
  <si>
    <t>PO Created by Req: 121541</t>
  </si>
  <si>
    <t>PO Created by Req: 121671</t>
  </si>
  <si>
    <t>DATA CENTER PROJECT</t>
  </si>
  <si>
    <t>RANGERS BASEBALL</t>
  </si>
  <si>
    <t>199-11-6412.00-105-411000</t>
  </si>
  <si>
    <t>PO Created by Req: 121519</t>
  </si>
  <si>
    <t xml:space="preserve">REPUBLIC SERVICES INC </t>
  </si>
  <si>
    <t>SERVICE</t>
  </si>
  <si>
    <t>PO Created by Req: 121670</t>
  </si>
  <si>
    <t>SCHULMERICH</t>
  </si>
  <si>
    <t>PO Created by Req: 121498</t>
  </si>
  <si>
    <t>DAVID SHIREMAN</t>
  </si>
  <si>
    <t>KRISTEN SMITH</t>
  </si>
  <si>
    <t>Spirit Event Coordinators</t>
  </si>
  <si>
    <t>199-36-6219.18-001-491000</t>
  </si>
  <si>
    <t>TRYOUT JUDGES</t>
  </si>
  <si>
    <t>PO Created by Req: 121530</t>
  </si>
  <si>
    <t>PO Created by Req: 121620</t>
  </si>
  <si>
    <t>PO Created by Req: 121711</t>
  </si>
  <si>
    <t xml:space="preserve">TRINITY VALLEY COMMUNITY </t>
  </si>
  <si>
    <t>CONTEST FEE</t>
  </si>
  <si>
    <t>UMPIRES</t>
  </si>
  <si>
    <t>WHATABURGER #579</t>
  </si>
  <si>
    <t xml:space="preserve">BIRDVILLE CHOIR BOOSTERS </t>
  </si>
  <si>
    <t xml:space="preserve">BEST WESTERN ALAMO </t>
  </si>
  <si>
    <t>211-11-6412.00-699-430S00</t>
  </si>
  <si>
    <t>LAND FILL</t>
  </si>
  <si>
    <t>CAREER DEVELOPMENT</t>
  </si>
  <si>
    <t>KRISTY COLLINS</t>
  </si>
  <si>
    <t>199-11-6499.00-042-411000</t>
  </si>
  <si>
    <t>SCIENCE FAIR AD</t>
  </si>
  <si>
    <t xml:space="preserve">PRAIRIE VIEW A&amp;M </t>
  </si>
  <si>
    <t>CAREER FAIR</t>
  </si>
  <si>
    <t>TEXAS A&amp;M COMMERCE</t>
  </si>
  <si>
    <t>CARPET MATS</t>
  </si>
  <si>
    <t>FLAGS</t>
  </si>
  <si>
    <t>WATER LINE REPAIRS</t>
  </si>
  <si>
    <t>SEWER SVC</t>
  </si>
  <si>
    <t>reissue of check</t>
  </si>
  <si>
    <t>PO Created by Req: 121694</t>
  </si>
  <si>
    <t>FREEDOM FUNDRAISING</t>
  </si>
  <si>
    <t>HUMAN RELATIONS MEDIA</t>
  </si>
  <si>
    <t>199-11-6399.53-041-411000</t>
  </si>
  <si>
    <t>PO Created by Req: 121710</t>
  </si>
  <si>
    <t>199-11-6399.79-041-411000</t>
  </si>
  <si>
    <t>181-36-6399.31-001-491000</t>
  </si>
  <si>
    <t>PO Created by Req: 121410</t>
  </si>
  <si>
    <t>PO Created by Req: 121605</t>
  </si>
  <si>
    <t>PO Created by Req: 121529</t>
  </si>
  <si>
    <t>PO Created by Req: 121704</t>
  </si>
  <si>
    <t>SEALANT</t>
  </si>
  <si>
    <t>PO Created by Req: 121709</t>
  </si>
  <si>
    <t>PO Created by Req: 121608</t>
  </si>
  <si>
    <t>BIO-RAD</t>
  </si>
  <si>
    <t>PO Created by Req: 121699</t>
  </si>
  <si>
    <t>199-11-6639.00-001-422S00</t>
  </si>
  <si>
    <t>PO Created by Req: 121606</t>
  </si>
  <si>
    <t>BRANDON BRUMLEY</t>
  </si>
  <si>
    <t>185-36-6249.00-999-491000</t>
  </si>
  <si>
    <t>PO Created by Req: 121512</t>
  </si>
  <si>
    <t>BUFFALO ISD</t>
  </si>
  <si>
    <t>CAMERON PARK ZOO</t>
  </si>
  <si>
    <t>CANDLEWOOD SUITES</t>
  </si>
  <si>
    <t>NICK CARPINO</t>
  </si>
  <si>
    <t>TAMMY CASADAY</t>
  </si>
  <si>
    <t>PO Created by Req: 121685</t>
  </si>
  <si>
    <t>SVC CALL</t>
  </si>
  <si>
    <t>SERVICE &amp; REPAIRS</t>
  </si>
  <si>
    <t>LIMIT SWITCH</t>
  </si>
  <si>
    <t>CONTROL</t>
  </si>
  <si>
    <t>SENSOR</t>
  </si>
  <si>
    <t>CHICK-FIL-A</t>
  </si>
  <si>
    <t>MICHAEL K. DAVIS</t>
  </si>
  <si>
    <t>MOUNTING FEE</t>
  </si>
  <si>
    <t>CRAWFORD ISD</t>
  </si>
  <si>
    <t>461-36-6499.00-921-421000</t>
  </si>
  <si>
    <t>TIGHTS</t>
  </si>
  <si>
    <t>JESSICA DANIELS</t>
  </si>
  <si>
    <t>NATA DUES</t>
  </si>
  <si>
    <t>SHELLIE DAVIS</t>
  </si>
  <si>
    <t>865-00-2191.54-001-400000</t>
  </si>
  <si>
    <t>PO Created by Req: 121281</t>
  </si>
  <si>
    <t>PO Created by Req: 121243</t>
  </si>
  <si>
    <t>BONDS</t>
  </si>
  <si>
    <t>PO Created by Req: 121730</t>
  </si>
  <si>
    <t>PO Created by Req: 121727</t>
  </si>
  <si>
    <t>199-11-6399.29-041-411000</t>
  </si>
  <si>
    <t>PO Created by Req: 121726</t>
  </si>
  <si>
    <t>PO Created by Req: 121643</t>
  </si>
  <si>
    <t>PO Created by Req: 121680</t>
  </si>
  <si>
    <t>DESK PLATE</t>
  </si>
  <si>
    <t>SHANNON HART</t>
  </si>
  <si>
    <t xml:space="preserve">HEARTLAND SCHOOL </t>
  </si>
  <si>
    <t>PO Created by Req: 121724</t>
  </si>
  <si>
    <t>JAMES AWNING &amp; CANVAS</t>
  </si>
  <si>
    <t>TARP FOR TRAILER</t>
  </si>
  <si>
    <t>JOSTENS, INC.</t>
  </si>
  <si>
    <t>YEARBOOK</t>
  </si>
  <si>
    <t>PO Created by Req: 121579</t>
  </si>
  <si>
    <t>PO Created by Req: 121528</t>
  </si>
  <si>
    <t>DISHERS, APRONS</t>
  </si>
  <si>
    <t xml:space="preserve">KINDERGARTEN TEACHERS </t>
  </si>
  <si>
    <t>PO Created by Req: 121728</t>
  </si>
  <si>
    <t>JAMES LAUDERDALE</t>
  </si>
  <si>
    <t>LINDALE H.S.</t>
  </si>
  <si>
    <t>BRUCE LITTLE</t>
  </si>
  <si>
    <t>RR TIES</t>
  </si>
  <si>
    <t>SHANNON MORIAK</t>
  </si>
  <si>
    <t>FINGERPRINT</t>
  </si>
  <si>
    <t>PO Created by Req: 121696</t>
  </si>
  <si>
    <t>PO Created by Req: 121688</t>
  </si>
  <si>
    <t>POWDER COAT FOR TRAILER</t>
  </si>
  <si>
    <t>PO Created by Req: 121689</t>
  </si>
  <si>
    <t>PO Created by Req: 121589</t>
  </si>
  <si>
    <t>PO Created by Req: 121597</t>
  </si>
  <si>
    <t>PO Created by Req: 121721</t>
  </si>
  <si>
    <t>PO Created by Req: 121590</t>
  </si>
  <si>
    <t>JUDGES</t>
  </si>
  <si>
    <t>PO Created by Req: 121470</t>
  </si>
  <si>
    <t>PO Created by Req: 121673</t>
  </si>
  <si>
    <t>PO Created by Req: 121468</t>
  </si>
  <si>
    <t>PO Created by Req: 121576</t>
  </si>
  <si>
    <t>AMY TIDWELL</t>
  </si>
  <si>
    <t>BARBARA TREAT</t>
  </si>
  <si>
    <t>Triumph Learning</t>
  </si>
  <si>
    <t>199-11-6399.26-001-411000</t>
  </si>
  <si>
    <t>PO Created by Req: 121702</t>
  </si>
  <si>
    <t>DONNA TURNER</t>
  </si>
  <si>
    <t>NOVATIME 2000</t>
  </si>
  <si>
    <t>WEIGL PUBLISHING</t>
  </si>
  <si>
    <t>PO Created by Req: 121539</t>
  </si>
  <si>
    <t>LEASE</t>
  </si>
  <si>
    <t>WOODROW WILSON GOLF</t>
  </si>
  <si>
    <t>PO Created by Req: 121703</t>
  </si>
  <si>
    <t>ENVELOPES</t>
  </si>
  <si>
    <t xml:space="preserve">COLLEGE BOARD Regional </t>
  </si>
  <si>
    <t>PO Created by Req: 121309</t>
  </si>
  <si>
    <t>CLEANING SVC</t>
  </si>
  <si>
    <t>181-36-6399.41-001-491000</t>
  </si>
  <si>
    <t>PO Created by Req: 121607</t>
  </si>
  <si>
    <t>PO Created by Req: 121644</t>
  </si>
  <si>
    <t>PO Created by Req: 121705</t>
  </si>
  <si>
    <t xml:space="preserve">GATEWAY FUND RAISING </t>
  </si>
  <si>
    <t>FUND RAISER</t>
  </si>
  <si>
    <t>PO Created by Req: 121360</t>
  </si>
  <si>
    <t>PO Created by Req: 121358</t>
  </si>
  <si>
    <t xml:space="preserve">KEY GOVERNMENT FINANCE </t>
  </si>
  <si>
    <t>199-53-6659.55-728-499000</t>
  </si>
  <si>
    <t>NETWORKING</t>
  </si>
  <si>
    <t>LOOK OUT BOOKS</t>
  </si>
  <si>
    <t>PO Created by Req: 121686</t>
  </si>
  <si>
    <t>865-00-2191.13-001-400000</t>
  </si>
  <si>
    <t>DELIA AZURE MCLUCKIE</t>
  </si>
  <si>
    <t xml:space="preserve">TIMEKEEPER FOR OAP </t>
  </si>
  <si>
    <t>PO Created by Req: 121583</t>
  </si>
  <si>
    <t>RIPLEY ENTERTAINMENT INC.</t>
  </si>
  <si>
    <t>PO Created by Req: 121338</t>
  </si>
  <si>
    <t>TOWNSEND PRESS</t>
  </si>
  <si>
    <t>461-36-6499.05-850-499187</t>
  </si>
  <si>
    <t>PO Created by Req: 121687</t>
  </si>
  <si>
    <t>shorted invoice</t>
  </si>
  <si>
    <t>HAMID ADIBI</t>
  </si>
  <si>
    <t>JOSE LUIS AHUMADA</t>
  </si>
  <si>
    <t>RECYCLE SERVICES</t>
  </si>
  <si>
    <t>ASBO INTERNATIONAL</t>
  </si>
  <si>
    <t>ATLAS PENS &amp; PENCIL CORP.</t>
  </si>
  <si>
    <t>PO Created by Req: 121731</t>
  </si>
  <si>
    <t>KYLE BORNE</t>
  </si>
  <si>
    <t>JUDGE FEE</t>
  </si>
  <si>
    <t>KEVIN BURRIS</t>
  </si>
  <si>
    <t>LEVIL CALICO, JR</t>
  </si>
  <si>
    <t>181-36-6219.11-001-491000</t>
  </si>
  <si>
    <t>PO Created by Req: 121656</t>
  </si>
  <si>
    <t>PO Created by Req: 121654</t>
  </si>
  <si>
    <t>PO Created by Req: 121690</t>
  </si>
  <si>
    <t>PO Created by Req: 121691</t>
  </si>
  <si>
    <t>199-21-6399.00-001-422S00</t>
  </si>
  <si>
    <t>CARL M CASBEER</t>
  </si>
  <si>
    <t>MAGDALENO CASTRO</t>
  </si>
  <si>
    <t>LIBRARY BOOK REIMB</t>
  </si>
  <si>
    <t>EMPLOYEE WORK SHIRTS</t>
  </si>
  <si>
    <t>TRAVEL</t>
  </si>
  <si>
    <t xml:space="preserve">FOOD HANDLERS CARDS, </t>
  </si>
  <si>
    <t>DOGGETT PUBLISHING</t>
  </si>
  <si>
    <t>LAW BOOKS</t>
  </si>
  <si>
    <t>JIM DOHERTY</t>
  </si>
  <si>
    <t>CURTIS DOLLINS</t>
  </si>
  <si>
    <t>199-23-6411.00-101-499000</t>
  </si>
  <si>
    <t>SHIPPING SVCS</t>
  </si>
  <si>
    <t>PO Created by Req: 121747</t>
  </si>
  <si>
    <t>199-11-6399.28-041-411000</t>
  </si>
  <si>
    <t>PO Created by Req: 121742</t>
  </si>
  <si>
    <t>199-11-6399.28-041-411A00</t>
  </si>
  <si>
    <t>BINDERS</t>
  </si>
  <si>
    <t>PO Created by Req: 121647</t>
  </si>
  <si>
    <t>WILLIAM R. FULLER</t>
  </si>
  <si>
    <t>RICARDO GARCIA</t>
  </si>
  <si>
    <t>RICK GAUER</t>
  </si>
  <si>
    <t>PETER A GONZALES</t>
  </si>
  <si>
    <t>199-36-6399.18-001-491000</t>
  </si>
  <si>
    <t>TOM HARLETT</t>
  </si>
  <si>
    <t>HOWARD JOHNSON</t>
  </si>
  <si>
    <t>TOW &amp; REPAIR</t>
  </si>
  <si>
    <t>KYLE KEATING</t>
  </si>
  <si>
    <t>TAMMY MCCLINTOCK</t>
  </si>
  <si>
    <t>KEY</t>
  </si>
  <si>
    <t>PO Created by Req: 121732</t>
  </si>
  <si>
    <t>RDJ SPECIALTIES, INC.</t>
  </si>
  <si>
    <t>199-31-6339.00-042-499000</t>
  </si>
  <si>
    <t>211-13-6411.06-999-430S00</t>
  </si>
  <si>
    <t>STAYBRIDGE SUITES</t>
  </si>
  <si>
    <t>VOIDED 4/17/14</t>
  </si>
  <si>
    <t>FANNIN</t>
  </si>
  <si>
    <t>CARROLL</t>
  </si>
  <si>
    <t>TEX-SAND, LLC</t>
  </si>
  <si>
    <t>SOIL ANALYSIS</t>
  </si>
  <si>
    <t>TOPDRESSING ON FIELD</t>
  </si>
  <si>
    <t>DALLAS TORBERT</t>
  </si>
  <si>
    <t>TOWN EAST FORD</t>
  </si>
  <si>
    <t>2013 TRANSIT CONNECT</t>
  </si>
  <si>
    <t xml:space="preserve">TRIMMERS LANDSCAPING </t>
  </si>
  <si>
    <t>MONITORING</t>
  </si>
  <si>
    <t>TX RELAY ENTRY FEE</t>
  </si>
  <si>
    <t>MICHAEL VOXLAND</t>
  </si>
  <si>
    <t>MARLIN TODD WALLACE</t>
  </si>
  <si>
    <t>DEREK D WEAVER</t>
  </si>
  <si>
    <t>MARTY DEAN WEAVER</t>
  </si>
  <si>
    <t>RODERICK WHITE</t>
  </si>
  <si>
    <t xml:space="preserve">WHITEHOUSE ATHLETIC </t>
  </si>
  <si>
    <t>ROY WILLIAMS</t>
  </si>
  <si>
    <t>WORLD STRIDE</t>
  </si>
  <si>
    <t>BOW TRIP</t>
  </si>
  <si>
    <t>OVERAGE COPIES</t>
  </si>
  <si>
    <t>BERNADETTA ZOMNIR</t>
  </si>
  <si>
    <t>SONYA AGUADO</t>
  </si>
  <si>
    <t>BAHS AVL</t>
  </si>
  <si>
    <t>PO Created by Req: 121713</t>
  </si>
  <si>
    <t>NEHEMIA R BATES</t>
  </si>
  <si>
    <t>PIANO ACCOMPANIST</t>
  </si>
  <si>
    <t>WIRE</t>
  </si>
  <si>
    <t>PIZZA FOR TUTORIALS</t>
  </si>
  <si>
    <t>199-11-6399.72-041-411A00</t>
  </si>
  <si>
    <t>FOOD FOR COLLINS SPECIAL</t>
  </si>
  <si>
    <t>FOOD HANDLERS CARDS</t>
  </si>
  <si>
    <t>T-SHIRTS</t>
  </si>
  <si>
    <t xml:space="preserve">DALLAS BASKETBALL </t>
  </si>
  <si>
    <t>SCRIMMAGE</t>
  </si>
  <si>
    <t>DAYS INN</t>
  </si>
  <si>
    <t>199-81-6399.00-999-499006</t>
  </si>
  <si>
    <t>OUSMANE DIOP</t>
  </si>
  <si>
    <t>SHANE DOCKERY</t>
  </si>
  <si>
    <t>HERSHEL DYKEMA</t>
  </si>
  <si>
    <t>199-12-6239.55-728-499000</t>
  </si>
  <si>
    <t>VIDEO STREAMING</t>
  </si>
  <si>
    <t>199-13-6239.00-999-499000</t>
  </si>
  <si>
    <t>ON DATA SUITE</t>
  </si>
  <si>
    <t>TEKS RESOURCE SYS</t>
  </si>
  <si>
    <t>199-13-6239.55-728-499001</t>
  </si>
  <si>
    <t>EDUPHORIA</t>
  </si>
  <si>
    <t>199-13-6239.55-999-421SGT</t>
  </si>
  <si>
    <t>GT</t>
  </si>
  <si>
    <t>199-31-6239.55-728-499000</t>
  </si>
  <si>
    <t>PERSONNEL PLUS</t>
  </si>
  <si>
    <t xml:space="preserve">CERTIFICATION </t>
  </si>
  <si>
    <t>199-41-6239.55-750-499001</t>
  </si>
  <si>
    <t>FINANCIAL BENCH</t>
  </si>
  <si>
    <t>199-53-6239.55-728-499000</t>
  </si>
  <si>
    <t>TXEIS</t>
  </si>
  <si>
    <t>199-53-6239.55-728-499001</t>
  </si>
  <si>
    <t>FOR C</t>
  </si>
  <si>
    <t>PEIMS</t>
  </si>
  <si>
    <t>211-11-6239.00-999-430S00</t>
  </si>
  <si>
    <t>DMAC</t>
  </si>
  <si>
    <t>SEAN FLANNELLY</t>
  </si>
  <si>
    <t>199-11-6339.00-107-411000</t>
  </si>
  <si>
    <t>PO Created by Req: 121753</t>
  </si>
  <si>
    <t>PO Created by Req: 121759</t>
  </si>
  <si>
    <t>270-11-6399.00-699-430S00</t>
  </si>
  <si>
    <t>PO Created by Req: 121761</t>
  </si>
  <si>
    <t xml:space="preserve">FORT WORTH MUSEUM OF </t>
  </si>
  <si>
    <t>PO Created by Req: 121584</t>
  </si>
  <si>
    <t>PO Created by Req: 121681</t>
  </si>
  <si>
    <t>199-36-6497.18-001-491000</t>
  </si>
  <si>
    <t>PO Created by Req: 121740</t>
  </si>
  <si>
    <t>PO Created by Req: 121744</t>
  </si>
  <si>
    <t>HARKER HEIGHTS</t>
  </si>
  <si>
    <t>PO Created by Req: 121692</t>
  </si>
  <si>
    <t>AUSTIN JACKSON</t>
  </si>
  <si>
    <t>JAMIE JOHNSON</t>
  </si>
  <si>
    <t>PO Created by Req: 121723</t>
  </si>
  <si>
    <t>LAS MASCARAS</t>
  </si>
  <si>
    <t>PO Created by Req: 121735</t>
  </si>
  <si>
    <t>MAYBORN MUSEUM</t>
  </si>
  <si>
    <t>RICHARD MCFARLAND</t>
  </si>
  <si>
    <t>MIDLOTHIAN H.S.</t>
  </si>
  <si>
    <t>JEFF MURRAY</t>
  </si>
  <si>
    <t>PO Created by Req: 121612</t>
  </si>
  <si>
    <t>PO Created by Req: 121743</t>
  </si>
  <si>
    <t>NCTM</t>
  </si>
  <si>
    <t>PO Created by Req: 121736</t>
  </si>
  <si>
    <t>PO Created by Req: 121746</t>
  </si>
  <si>
    <t>199-36-6412.15-042-499000</t>
  </si>
  <si>
    <t>GRASS SEED</t>
  </si>
  <si>
    <t>BRE OSBOURN</t>
  </si>
  <si>
    <t>PATTERSON MEDICAL</t>
  </si>
  <si>
    <t>OT / Rhonda Tidwell</t>
  </si>
  <si>
    <t>JOHN JESSE PEREZ</t>
  </si>
  <si>
    <t>PHILLIP PEREZ</t>
  </si>
  <si>
    <t>PO Created by Req: 121717</t>
  </si>
  <si>
    <t>PO Created by Req: 121674</t>
  </si>
  <si>
    <t>INVOICE PAID SHORT</t>
  </si>
  <si>
    <t>SCHOOLSin</t>
  </si>
  <si>
    <t>PO Created by Req: 121722</t>
  </si>
  <si>
    <t>JUDGES FOR TRYOUTS</t>
  </si>
  <si>
    <t>PO Created by Req: 121757</t>
  </si>
  <si>
    <t xml:space="preserve">SUNSHINE EMBLEM &amp; DECAL, </t>
  </si>
  <si>
    <t>PATCHES</t>
  </si>
  <si>
    <t>PO Created by Req: 121720</t>
  </si>
  <si>
    <t>TOPDRESSING</t>
  </si>
  <si>
    <t>LEADERSHIP ACADEMY</t>
  </si>
  <si>
    <t>TEXAS EDUCATION NEWS</t>
  </si>
  <si>
    <t>TIERRA VERDE GOLF CLUB</t>
  </si>
  <si>
    <t>181-36-6499.67-001-491000</t>
  </si>
  <si>
    <t>PO Created by Req: 121698</t>
  </si>
  <si>
    <t>WATERCHASE GOLF CLUB</t>
  </si>
  <si>
    <t>PAINT SVC</t>
  </si>
  <si>
    <t>UNIT NUMBERS</t>
  </si>
  <si>
    <t>199-81-6629.00-999-499000</t>
  </si>
  <si>
    <t>865-00-2191.45-001-400000</t>
  </si>
  <si>
    <t>PO Created by Req: 121255</t>
  </si>
  <si>
    <t>PLANTS &amp; FLOWERS</t>
  </si>
  <si>
    <t>PO Created by Req: 121569</t>
  </si>
  <si>
    <t xml:space="preserve">BUS AIR MANUFACTURING </t>
  </si>
  <si>
    <t>PO Created by Req: 121760</t>
  </si>
  <si>
    <t>COMPRESSOR</t>
  </si>
  <si>
    <t>BELT</t>
  </si>
  <si>
    <t>SENSOR KITS</t>
  </si>
  <si>
    <t>PO Created by Req: 121660</t>
  </si>
  <si>
    <t>CONSTRUCTIVE PLAYTHINGS</t>
  </si>
  <si>
    <t>PO Created by Req: 121749</t>
  </si>
  <si>
    <t>EXPLORE AD</t>
  </si>
  <si>
    <t>PO Created by Req: 121602</t>
  </si>
  <si>
    <t>LAURIE DENBOW</t>
  </si>
  <si>
    <t>LODGING REIMB</t>
  </si>
  <si>
    <t>POT &amp; PAN DETERGENT, ETC</t>
  </si>
  <si>
    <t>PREVENTATIVE MAINT</t>
  </si>
  <si>
    <t>COFFEE SERVICE</t>
  </si>
  <si>
    <t>MARK FIEDLER</t>
  </si>
  <si>
    <t>PO Created by Req: 121773</t>
  </si>
  <si>
    <t>PO Created by Req: 121776</t>
  </si>
  <si>
    <t>PO Created by Req: 121756</t>
  </si>
  <si>
    <t>PO Created by Req: 121768</t>
  </si>
  <si>
    <t>PO Created by Req: 121763</t>
  </si>
  <si>
    <t>PO Created by Req: 121770</t>
  </si>
  <si>
    <t>JOE A FLORES</t>
  </si>
  <si>
    <t>VOIDED 4/17/17</t>
  </si>
  <si>
    <t>ANTENNA</t>
  </si>
  <si>
    <t>IMAGINATION CELEBRATION</t>
  </si>
  <si>
    <t>CAN OPENER</t>
  </si>
  <si>
    <t>MAINTENANCE CONTRACT</t>
  </si>
  <si>
    <t>CONVERTER</t>
  </si>
  <si>
    <t>CATHY LEWIS</t>
  </si>
  <si>
    <t>MIC REPAIR</t>
  </si>
  <si>
    <t>PHONES</t>
  </si>
  <si>
    <t>BLACK TOP PATCH</t>
  </si>
  <si>
    <t>STAKES</t>
  </si>
  <si>
    <t>OVERPAY ON 18160</t>
  </si>
  <si>
    <t>INTERVENTION TEAM</t>
  </si>
  <si>
    <t>PO Created by Req: 121765</t>
  </si>
  <si>
    <t>SHERRY OWEN</t>
  </si>
  <si>
    <t>LICENSE</t>
  </si>
  <si>
    <t>PO Created by Req: 121751</t>
  </si>
  <si>
    <t>GLASS REPLACEMENT</t>
  </si>
  <si>
    <t>PO Created by Req: 121754</t>
  </si>
  <si>
    <t>PO Created by Req: 121733</t>
  </si>
  <si>
    <t>GATES</t>
  </si>
  <si>
    <t>VOIDED 6/5/14</t>
  </si>
  <si>
    <t>RODNEY ROBERTS</t>
  </si>
  <si>
    <t>ROBOTEVENTS</t>
  </si>
  <si>
    <t>PO Created by Req: 121425</t>
  </si>
  <si>
    <t xml:space="preserve">SCARBOROUGH FAIRE </t>
  </si>
  <si>
    <t>HEADLINER</t>
  </si>
  <si>
    <t>PHILLIP SIMS</t>
  </si>
  <si>
    <t>CHECK LOST</t>
  </si>
  <si>
    <t>STATE CHEMICAL</t>
  </si>
  <si>
    <t>PO Created by Req: 121725</t>
  </si>
  <si>
    <t>PO Created by Req: 121648</t>
  </si>
  <si>
    <t>PO Created by Req: 121473</t>
  </si>
  <si>
    <t>PO Created by Req: 121258</t>
  </si>
  <si>
    <t>T.A.P.E.D</t>
  </si>
  <si>
    <t>435-21-6411.00-999-423S00</t>
  </si>
  <si>
    <t>PO Created by Req: 121667</t>
  </si>
  <si>
    <t>199-53-6495.00-728-499000</t>
  </si>
  <si>
    <t>PO Created by Req: 121706</t>
  </si>
  <si>
    <t>REIMNB</t>
  </si>
  <si>
    <t>TIRE REPAIR</t>
  </si>
  <si>
    <t>MOUNTS</t>
  </si>
  <si>
    <t>LAWN MOWER MOUNT</t>
  </si>
  <si>
    <t>199-36-6412.24-001-499000</t>
  </si>
  <si>
    <t>SAFETY BELTS</t>
  </si>
  <si>
    <t>LIFE SAVERS</t>
  </si>
  <si>
    <t>TILLER</t>
  </si>
  <si>
    <t>LIFT</t>
  </si>
  <si>
    <t>SMOKE DETECTOR REPAIR</t>
  </si>
  <si>
    <t>BRIAN UPCHURCH</t>
  </si>
  <si>
    <t>JOSEPH KENT LIBAL</t>
  </si>
  <si>
    <t>CULVERT</t>
  </si>
  <si>
    <t>YESTERLAND FARM</t>
  </si>
  <si>
    <t>LEE SCHOOL REPAIRS</t>
  </si>
  <si>
    <t>AEDSUPERSTORE</t>
  </si>
  <si>
    <t>PO Created by Req: 121777</t>
  </si>
  <si>
    <t>JESSICA BENTZ</t>
  </si>
  <si>
    <t>199-11-6411.88-001-422S00</t>
  </si>
  <si>
    <t>DISCIPLINE LOVE &amp; LOGIC</t>
  </si>
  <si>
    <t>TRAINING</t>
  </si>
  <si>
    <t>INSIDE DOOR HANDLE</t>
  </si>
  <si>
    <t>SOCCER GAME</t>
  </si>
  <si>
    <t>FAN CLOTH PRODUCTS</t>
  </si>
  <si>
    <t>SHORTS/TEES</t>
  </si>
  <si>
    <t>PO Created by Req: 121784</t>
  </si>
  <si>
    <t>PREFILL</t>
  </si>
  <si>
    <t>PO Created by Req: 121729</t>
  </si>
  <si>
    <t>LORI HARLAN</t>
  </si>
  <si>
    <t>FREADERICK LYNN HARPER</t>
  </si>
  <si>
    <t>HAWTHORNE SUITES</t>
  </si>
  <si>
    <t>199-36-6412.24-041-499000</t>
  </si>
  <si>
    <t>ROOF REPAIR</t>
  </si>
  <si>
    <t>HOME DEPOT</t>
  </si>
  <si>
    <t>STORAGE BLDG</t>
  </si>
  <si>
    <t>LANYARDS, ETC</t>
  </si>
  <si>
    <t>I.O.O.F. EVENT CENTER</t>
  </si>
  <si>
    <t>PROM</t>
  </si>
  <si>
    <t>KELLE COMPANY</t>
  </si>
  <si>
    <t>PO Created by Req: 121739</t>
  </si>
  <si>
    <t>KEVIN R KILMAN</t>
  </si>
  <si>
    <t xml:space="preserve">LEARNERATOR EDUCATION, </t>
  </si>
  <si>
    <t>SHIRLEY LIMA</t>
  </si>
  <si>
    <t>MONITORING APR-JUN</t>
  </si>
  <si>
    <t>MCMICHAEL MIDDLE SCHOOL</t>
  </si>
  <si>
    <t>OAP &amp; MEET FEES</t>
  </si>
  <si>
    <t>PETE M. MONREAL</t>
  </si>
  <si>
    <t>PO Created by Req: 121625</t>
  </si>
  <si>
    <t>NATUREGIFTS.COM</t>
  </si>
  <si>
    <t>3RD QUARTER</t>
  </si>
  <si>
    <t>WARDROBE BOXES</t>
  </si>
  <si>
    <t>ALMA OLALDE</t>
  </si>
  <si>
    <t>AUSTIN TRIP REIMB</t>
  </si>
  <si>
    <t>PO Created by Req: 121734</t>
  </si>
  <si>
    <t>STACY ROGERS</t>
  </si>
  <si>
    <t xml:space="preserve">SIGN LANGUAGE </t>
  </si>
  <si>
    <t>199-11-6412.11-001-422S00</t>
  </si>
  <si>
    <t>LETTER JACKETS</t>
  </si>
  <si>
    <t>PO Created by Req: 121624</t>
  </si>
  <si>
    <t>PO Created by Req: 121769</t>
  </si>
  <si>
    <t>PO Created by Req: 121772</t>
  </si>
  <si>
    <t>PO Created by Req: 121771</t>
  </si>
  <si>
    <t>SIGNS MANUFACTURING CO</t>
  </si>
  <si>
    <t>JENNIFER SINGLETON</t>
  </si>
  <si>
    <t>EVENT FEE</t>
  </si>
  <si>
    <t>ENENT FEE</t>
  </si>
  <si>
    <t>PO Created by Req: 121180</t>
  </si>
  <si>
    <t>TEAGUE ISD</t>
  </si>
  <si>
    <t>SAT PREP CLASS</t>
  </si>
  <si>
    <t>PO Created by Req: 121719</t>
  </si>
  <si>
    <t xml:space="preserve">TEXAS FRESHWATER </t>
  </si>
  <si>
    <t>MARCH SVCS</t>
  </si>
  <si>
    <t>UTA -UIL ACCOUNT</t>
  </si>
  <si>
    <t>410-11-6268.00-728-411000</t>
  </si>
  <si>
    <t>Xpediter Technology</t>
  </si>
  <si>
    <t>ANNUAL MAINT AGREEMENT</t>
  </si>
  <si>
    <t>PO Created by Req: 121745</t>
  </si>
  <si>
    <t>PO Created by Req: 121774</t>
  </si>
  <si>
    <t>OTR SVCS</t>
  </si>
  <si>
    <t>PO Created by Req: 121603</t>
  </si>
  <si>
    <t>PO Created by Req: 121737</t>
  </si>
  <si>
    <t>PO Created by Req: 121748</t>
  </si>
  <si>
    <t>199-31-6339.00-001-431000</t>
  </si>
  <si>
    <t>TOM CARLILE</t>
  </si>
  <si>
    <t>JAMES R. HOOD</t>
  </si>
  <si>
    <t>CDI</t>
  </si>
  <si>
    <t>PO Created by Req: 121767</t>
  </si>
  <si>
    <t>VERL CHILDERS</t>
  </si>
  <si>
    <t>SCANTRONS</t>
  </si>
  <si>
    <t>SHEET CAKE</t>
  </si>
  <si>
    <t xml:space="preserve">CORSICANA CHAMBER OF </t>
  </si>
  <si>
    <t>GOLF FUNDRAISER</t>
  </si>
  <si>
    <t>ICE CREAM TICKETS</t>
  </si>
  <si>
    <t>CORSICANA DISTRICT FFA</t>
  </si>
  <si>
    <t>DISTRICT CONTEST FEES</t>
  </si>
  <si>
    <t xml:space="preserve">CORSICANA PALACE </t>
  </si>
  <si>
    <t>PO Created by Req: 121610</t>
  </si>
  <si>
    <t>DFAS-LI</t>
  </si>
  <si>
    <t>LOST UNIFORMS</t>
  </si>
  <si>
    <t>199-41-6239.55-750-499000</t>
  </si>
  <si>
    <t>AUDIT PREP</t>
  </si>
  <si>
    <t>ENNIS PRODUCTS, INC.</t>
  </si>
  <si>
    <t>TERMITE TREATMENT</t>
  </si>
  <si>
    <t>PO Created by Req: 121800</t>
  </si>
  <si>
    <t>PO Created by Req: 121801</t>
  </si>
  <si>
    <t>PO Created by Req: 121791</t>
  </si>
  <si>
    <t>PO Created by Req: 121795</t>
  </si>
  <si>
    <t>FULL COMPASS SYSTEMS,</t>
  </si>
  <si>
    <t>PO Created by Req: 121782</t>
  </si>
  <si>
    <t>GOOD-LITE CO.</t>
  </si>
  <si>
    <t>PO Created by Req: 121793</t>
  </si>
  <si>
    <t>PO Created by Req: 121666</t>
  </si>
  <si>
    <t>TRACKERS</t>
  </si>
  <si>
    <t>LINDA HARRELSON</t>
  </si>
  <si>
    <t>HEALTH MUSEUM</t>
  </si>
  <si>
    <t>NELSON HEARD</t>
  </si>
  <si>
    <t>VOIDED 5/08/14</t>
  </si>
  <si>
    <t>New Combi Oven</t>
  </si>
  <si>
    <t>KASSIE KIRBY</t>
  </si>
  <si>
    <t>PO Created by Req: 121762</t>
  </si>
  <si>
    <t>GLADYS SPARKS</t>
  </si>
  <si>
    <t>PO Created by Req: 121790</t>
  </si>
  <si>
    <t>PO Created by Req: 121792</t>
  </si>
  <si>
    <t>PO Created by Req: 121741</t>
  </si>
  <si>
    <t>PO Created by Req: 121789</t>
  </si>
  <si>
    <t>PO Created by Req: 121609</t>
  </si>
  <si>
    <t>MASON DYLAN ROSE</t>
  </si>
  <si>
    <t>199-11-6399.27-042-411000</t>
  </si>
  <si>
    <t>PO Created by Req: 121797</t>
  </si>
  <si>
    <t>WASTE WATER SVD</t>
  </si>
  <si>
    <t>PARTY TRAYS</t>
  </si>
  <si>
    <t>CLINIC REGISTRATION</t>
  </si>
  <si>
    <t>TASB</t>
  </si>
  <si>
    <t>UPDATE 99</t>
  </si>
  <si>
    <t>TYLER I.S.D.</t>
  </si>
  <si>
    <t xml:space="preserve">DISTRICT EXECUTIVE </t>
  </si>
  <si>
    <t xml:space="preserve">EARNEST WALKER REALTY </t>
  </si>
  <si>
    <t>BROKER PRICE OPINION</t>
  </si>
  <si>
    <t>BALLOONS</t>
  </si>
  <si>
    <t>SUSAN WEAVER</t>
  </si>
  <si>
    <t>LEASES</t>
  </si>
  <si>
    <t>AREA TRACK MEET MEALS</t>
  </si>
  <si>
    <t>HALEY WOELLER</t>
  </si>
  <si>
    <t>KALEE YOUNG</t>
  </si>
  <si>
    <t>PO Created by Req: 121811</t>
  </si>
  <si>
    <t>CHOIR FEST</t>
  </si>
  <si>
    <t>MARK BOATMAN</t>
  </si>
  <si>
    <t>BRADLEY BOYTE</t>
  </si>
  <si>
    <t xml:space="preserve">CADET COMMAND STAFF </t>
  </si>
  <si>
    <t>ROOM &amp; BOARD FEES</t>
  </si>
  <si>
    <t>CAMT</t>
  </si>
  <si>
    <t>211-13-6411.03-999-430S00</t>
  </si>
  <si>
    <t xml:space="preserve">CONFERENCE </t>
  </si>
  <si>
    <t xml:space="preserve">CHEER ATHLETICS CAMPS &amp; </t>
  </si>
  <si>
    <t>CAMP DEPOSIT</t>
  </si>
  <si>
    <t>CHUCK'S TRAVEL COACHES</t>
  </si>
  <si>
    <t>BUS TO CAMP</t>
  </si>
  <si>
    <t>STAFF LUNCH</t>
  </si>
  <si>
    <t>DONUTS</t>
  </si>
  <si>
    <t>MUFFINS</t>
  </si>
  <si>
    <t>DEBORAH COLLINS</t>
  </si>
  <si>
    <t>REFUND LUNCH PAYMENT</t>
  </si>
  <si>
    <t>LOST- VOIDED 8/7</t>
  </si>
  <si>
    <t>BOTTLE WATER</t>
  </si>
  <si>
    <t>PAD LOCK, INK STAMP</t>
  </si>
  <si>
    <t>AD FOR VENDORS MARKET</t>
  </si>
  <si>
    <t>SHELBY CURL</t>
  </si>
  <si>
    <t>DARRELLS SNACK SALES</t>
  </si>
  <si>
    <t>CHIPS</t>
  </si>
  <si>
    <t>SHIPPING FEES</t>
  </si>
  <si>
    <t>PO Created by Req: 121829</t>
  </si>
  <si>
    <t>199-11-6399.28-042-411000</t>
  </si>
  <si>
    <t>PO Created by Req: 121838</t>
  </si>
  <si>
    <t>199-11-6399.29-042-411000</t>
  </si>
  <si>
    <t>PO Created by Req: 121837</t>
  </si>
  <si>
    <t>PO Created by Req: 121840</t>
  </si>
  <si>
    <t>PO Created by Req: 121855</t>
  </si>
  <si>
    <t>PO Created by Req: 121850</t>
  </si>
  <si>
    <t>PO Created by Req: 121852</t>
  </si>
  <si>
    <t>PO Created by Req: 121833</t>
  </si>
  <si>
    <t>PO Created by Req: 121835</t>
  </si>
  <si>
    <t>HABITAT FOR HUMANITY</t>
  </si>
  <si>
    <t>PATRICIA HERNANDEZ</t>
  </si>
  <si>
    <t>VOID 5/2014</t>
  </si>
  <si>
    <t>HOMEWOOD SUITES</t>
  </si>
  <si>
    <t>ERICKA JANAK</t>
  </si>
  <si>
    <t>LIPSTICK</t>
  </si>
  <si>
    <t>KELLOGG &amp; SOVEREIGN</t>
  </si>
  <si>
    <t>ERATE SVCS</t>
  </si>
  <si>
    <t>PO Created by Req: 121679</t>
  </si>
  <si>
    <t>Replace Oven</t>
  </si>
  <si>
    <t>CAP&amp;GOWN REIMB</t>
  </si>
  <si>
    <t>CLINT MORRISON</t>
  </si>
  <si>
    <t>NASSP/NHS/NJHS</t>
  </si>
  <si>
    <t>199-11-6499.15-042-411000</t>
  </si>
  <si>
    <t>PIONEER VILLAGE</t>
  </si>
  <si>
    <t>RIOS DISTRIBUTION LLC</t>
  </si>
  <si>
    <t>Ms Woody/Carroll</t>
  </si>
  <si>
    <t>PO Created by Req: 121798</t>
  </si>
  <si>
    <t>CRYSTAL SIX</t>
  </si>
  <si>
    <t>PO Created by Req: 121716</t>
  </si>
  <si>
    <t>SUMMER CONFERENCE</t>
  </si>
  <si>
    <t>HOLLYE USERY</t>
  </si>
  <si>
    <t>PROM DECORATIONS</t>
  </si>
  <si>
    <t>TRIP 93672</t>
  </si>
  <si>
    <t>IMPULSO LLC</t>
  </si>
  <si>
    <t>PROM PHOTO BOOTH</t>
  </si>
  <si>
    <t>ABC-CENTRAL TEXAS</t>
  </si>
  <si>
    <t>NCCER CERTIFICATIONS</t>
  </si>
  <si>
    <t>DON AKINS</t>
  </si>
  <si>
    <t>APPLAUSE LEARNING</t>
  </si>
  <si>
    <t>PO Created by Req: 121868</t>
  </si>
  <si>
    <t>PO Created by Req: 121870</t>
  </si>
  <si>
    <t>PO Created by Req: 121821</t>
  </si>
  <si>
    <t>ASCD</t>
  </si>
  <si>
    <t>PO Created by Req: 121752</t>
  </si>
  <si>
    <t>BARCO PRODUCTS CO.</t>
  </si>
  <si>
    <t>PO Created by Req: 121860</t>
  </si>
  <si>
    <t>JIMMY D. BOYETT</t>
  </si>
  <si>
    <t>181-36-6399.22-041-491000</t>
  </si>
  <si>
    <t>PO Created by Req: 121712</t>
  </si>
  <si>
    <t>PO Created by Req: 121817</t>
  </si>
  <si>
    <t>PO Created by Req: 121834</t>
  </si>
  <si>
    <t>461-36-6499.00-728-499000</t>
  </si>
  <si>
    <t>PO Created by Req: 121820</t>
  </si>
  <si>
    <t>WATER TREATMENT</t>
  </si>
  <si>
    <t>PO Created by Req: 121872</t>
  </si>
  <si>
    <t xml:space="preserve">THERMOSTAT </t>
  </si>
  <si>
    <t>TRACER UNIT BATTERIES</t>
  </si>
  <si>
    <t>MAINTENANCE</t>
  </si>
  <si>
    <t>3 TON UNIT</t>
  </si>
  <si>
    <t>AC UNIT</t>
  </si>
  <si>
    <t>AIR GRILLES</t>
  </si>
  <si>
    <t>CHARLES ROY CANTRELL</t>
  </si>
  <si>
    <t>CHEMSEARCH</t>
  </si>
  <si>
    <t>CINERGY CINEMAS</t>
  </si>
  <si>
    <t>PO Created by Req: 121832</t>
  </si>
  <si>
    <t>CONSULTATION</t>
  </si>
  <si>
    <t>ANGLE</t>
  </si>
  <si>
    <t>CORSICANA COUNTRY CLUB</t>
  </si>
  <si>
    <t>PO Created by Req: 121714</t>
  </si>
  <si>
    <t>PO Created by Req: 121715</t>
  </si>
  <si>
    <t>METAL</t>
  </si>
  <si>
    <t>4" VINYL</t>
  </si>
  <si>
    <t>DERRICK DAYS WEAR</t>
  </si>
  <si>
    <t>PO Created by Req: 121816</t>
  </si>
  <si>
    <t>DALLAS WORLD AQUARIUM</t>
  </si>
  <si>
    <t>Battery for L Franklin</t>
  </si>
  <si>
    <t>DJO LLC</t>
  </si>
  <si>
    <t>PO Created by Req: 121847</t>
  </si>
  <si>
    <t>MONITOR SERVICE</t>
  </si>
  <si>
    <t>EDGENUITY</t>
  </si>
  <si>
    <t>PO Created by Req: 121846</t>
  </si>
  <si>
    <t>211-31-6399.00-001-430S00</t>
  </si>
  <si>
    <t>211-31-6399.00-041-430S00</t>
  </si>
  <si>
    <t>211-31-6399.00-042-430S00</t>
  </si>
  <si>
    <t>211-31-6399.00-101-430S00</t>
  </si>
  <si>
    <t>211-31-6399.00-103-430S00</t>
  </si>
  <si>
    <t>211-31-6399.00-105-430S00</t>
  </si>
  <si>
    <t>PO Created by Req: 121758</t>
  </si>
  <si>
    <t>FAIRFIELD INN</t>
  </si>
  <si>
    <t>VOIDED 6/12</t>
  </si>
  <si>
    <t>DRILL SET</t>
  </si>
  <si>
    <t>DRIVER</t>
  </si>
  <si>
    <t>PO Created by Req: 121880</t>
  </si>
  <si>
    <t>PO Created by Req: 121831</t>
  </si>
  <si>
    <t>PO Created by Req: 121867</t>
  </si>
  <si>
    <t>PO Created by Req: 121882</t>
  </si>
  <si>
    <t>PO Created by Req: 121864</t>
  </si>
  <si>
    <t>PO Created by Req: 121812</t>
  </si>
  <si>
    <t>PO Created by Req: 121842</t>
  </si>
  <si>
    <t>PO Created by Req: 121853</t>
  </si>
  <si>
    <t>PO Created by Req: 121787</t>
  </si>
  <si>
    <t>JENNIFER L GRIMM</t>
  </si>
  <si>
    <t>WINDOW FILM</t>
  </si>
  <si>
    <t>PO Created by Req: 121827</t>
  </si>
  <si>
    <t>HEALTHSHIELD INC.</t>
  </si>
  <si>
    <t>CRYSTAL HICKS</t>
  </si>
  <si>
    <t>ICE MAKER REPAIR</t>
  </si>
  <si>
    <t>RADIOS</t>
  </si>
  <si>
    <t>DAVID L HUSTON</t>
  </si>
  <si>
    <t>PLASTIC BAGGIES</t>
  </si>
  <si>
    <t xml:space="preserve">INDUSTRIAL TRANSMISSIONS </t>
  </si>
  <si>
    <t>TRANSMISSION REBUILD</t>
  </si>
  <si>
    <t>K12 INSIGHT</t>
  </si>
  <si>
    <t>SUBSCRIPTION 2 OF 3</t>
  </si>
  <si>
    <t>DANA JOE LIGHT</t>
  </si>
  <si>
    <t>PROPERTY VALUE STUDY</t>
  </si>
  <si>
    <t>PO Created by Req: 121851</t>
  </si>
  <si>
    <t>PO Created by Req: 121794</t>
  </si>
  <si>
    <t>211-61-6399.00-102-430S00</t>
  </si>
  <si>
    <t>211-61-6399.00-103-430S00</t>
  </si>
  <si>
    <t>PO Created by Req: 121881</t>
  </si>
  <si>
    <t>865-00-2191.32-001-400000</t>
  </si>
  <si>
    <t>NCA RESORT/HOTEL CAMPS</t>
  </si>
  <si>
    <t>CAMPS</t>
  </si>
  <si>
    <t>PO Created by Req: 121857</t>
  </si>
  <si>
    <t>PO Created by Req: 121803</t>
  </si>
  <si>
    <t>211-61-6399.00-001-430S00</t>
  </si>
  <si>
    <t>PO Created by Req: 121807</t>
  </si>
  <si>
    <t>CAMP CHAMPIONS</t>
  </si>
  <si>
    <t>GT FIELD TRIP</t>
  </si>
  <si>
    <t>RIBBON</t>
  </si>
  <si>
    <t>PO Created by Req: 121873</t>
  </si>
  <si>
    <t>PO Created by Req: 121845</t>
  </si>
  <si>
    <t>PO Created by Req: 121824</t>
  </si>
  <si>
    <t>PO Created by Req: 121843</t>
  </si>
  <si>
    <t>PEOPLES EDUCATION</t>
  </si>
  <si>
    <t>PO Created by Req: 121815</t>
  </si>
  <si>
    <t>Phonak Hearing Systems</t>
  </si>
  <si>
    <t>PO Created by Req: 121836</t>
  </si>
  <si>
    <t>CHIP REPAIR</t>
  </si>
  <si>
    <t>PO Created by Req: 121863</t>
  </si>
  <si>
    <t>199-11-6499.15-041-411000</t>
  </si>
  <si>
    <t>BAND CLINIC</t>
  </si>
  <si>
    <t>RED ROOF INN</t>
  </si>
  <si>
    <t>RELAY FOR LIFE</t>
  </si>
  <si>
    <t>865-00-2191.38-001-400000</t>
  </si>
  <si>
    <t>FUNDRAISER REIMB</t>
  </si>
  <si>
    <t>PO Created by Req: 121785</t>
  </si>
  <si>
    <t>PO Created by Req: 121839</t>
  </si>
  <si>
    <t>DESK STATION</t>
  </si>
  <si>
    <t>BANQUET MEAL</t>
  </si>
  <si>
    <t>TARRANT CHAPTER TASO-</t>
  </si>
  <si>
    <t>SCRIMMAGE FEE</t>
  </si>
  <si>
    <t>PO Created by Req: 121869</t>
  </si>
  <si>
    <t xml:space="preserve">TEXAS GIRLS COACHES </t>
  </si>
  <si>
    <t xml:space="preserve">TEXAS GREG TANG MATH </t>
  </si>
  <si>
    <t>PO Created by Req: 121764</t>
  </si>
  <si>
    <t>WRONG VENDOR</t>
  </si>
  <si>
    <t>DAMON E THOMPSON JR.</t>
  </si>
  <si>
    <t>PLAQUE REIMB</t>
  </si>
  <si>
    <t>TROXELL</t>
  </si>
  <si>
    <t>PO Created by Req: 121844</t>
  </si>
  <si>
    <t>PO Created by Req: 121823</t>
  </si>
  <si>
    <t>FOLDING TABLES</t>
  </si>
  <si>
    <t>STORAGE BOXES</t>
  </si>
  <si>
    <t xml:space="preserve">UNIVERSITY OF NORTH </t>
  </si>
  <si>
    <t xml:space="preserve">UT Dallas Science &amp; </t>
  </si>
  <si>
    <t xml:space="preserve">REGISTRATION FEE- P. </t>
  </si>
  <si>
    <t>MARICELLA VELAZQUEZ</t>
  </si>
  <si>
    <t>PROM DECOR</t>
  </si>
  <si>
    <t>LARRY WARD</t>
  </si>
  <si>
    <t>UIL CLINICIAN</t>
  </si>
  <si>
    <t>LEAK REPAIRS</t>
  </si>
  <si>
    <t>ROGER D WILCOX</t>
  </si>
  <si>
    <t>SUPPLEIS</t>
  </si>
  <si>
    <t>PO Created by Req: 121766</t>
  </si>
  <si>
    <t>PLAYOFF SHIRTS</t>
  </si>
  <si>
    <t>LOGO LETTERHEAD</t>
  </si>
  <si>
    <t>BOB'Z ENTERPRISES</t>
  </si>
  <si>
    <t>181-36-6499.61-999-491000</t>
  </si>
  <si>
    <t>GRANITE BASE</t>
  </si>
  <si>
    <t xml:space="preserve">BRAZOS VALLEY EQUIPMENT </t>
  </si>
  <si>
    <t>HOSE</t>
  </si>
  <si>
    <t>PO Created by Req: 121633</t>
  </si>
  <si>
    <t>SENIOR FLOWERS</t>
  </si>
  <si>
    <t>PO Created by Req: 121854</t>
  </si>
  <si>
    <t>CHANGING COURSE</t>
  </si>
  <si>
    <t>ROPES COURSE</t>
  </si>
  <si>
    <t>PO Created by Req: 121893</t>
  </si>
  <si>
    <t>GOLF SUPPLIES</t>
  </si>
  <si>
    <t>199-41-6439.00-702-499000</t>
  </si>
  <si>
    <t>AD</t>
  </si>
  <si>
    <t>TOM CREMEANS</t>
  </si>
  <si>
    <t>461-36-6399.77-999-499000</t>
  </si>
  <si>
    <t>SPRING SHOW SHIRTS</t>
  </si>
  <si>
    <t>STRIPS, DETERGENT ETC</t>
  </si>
  <si>
    <t xml:space="preserve">DRUM CORPS </t>
  </si>
  <si>
    <t>PO Created by Req: 121899</t>
  </si>
  <si>
    <t>1099 &amp; W2</t>
  </si>
  <si>
    <t>RECEIPT BOOKS</t>
  </si>
  <si>
    <t>PO Created by Req: 121883</t>
  </si>
  <si>
    <t>FREIGHTQUOTE</t>
  </si>
  <si>
    <t>199-11-6219.00-001-422S00</t>
  </si>
  <si>
    <t>PO Created by Req: 121884</t>
  </si>
  <si>
    <t>WATERSLIDE</t>
  </si>
  <si>
    <t>NOTARY STAMP</t>
  </si>
  <si>
    <t>PO Created by Req: 121802</t>
  </si>
  <si>
    <t>GROUP DYNAMIX</t>
  </si>
  <si>
    <t>LEADERSHIP CAMP</t>
  </si>
  <si>
    <t>1% 10</t>
  </si>
  <si>
    <t xml:space="preserve">HAL LEONARD </t>
  </si>
  <si>
    <t>COPYRIGHT HALO</t>
  </si>
  <si>
    <t>PO Created by Req: 121682</t>
  </si>
  <si>
    <t>CHRISTINA CONNELL-</t>
  </si>
  <si>
    <t>MIKE HUFFSTETLER</t>
  </si>
  <si>
    <t>LUCY JONES</t>
  </si>
  <si>
    <t>RASHELL KOTTMAN</t>
  </si>
  <si>
    <t>PLANNER</t>
  </si>
  <si>
    <t>LEGAL SVCS H-1B EXT</t>
  </si>
  <si>
    <t>Forms</t>
  </si>
  <si>
    <t xml:space="preserve">LONE STAR WESTERN &amp; </t>
  </si>
  <si>
    <t>TUXEDOS</t>
  </si>
  <si>
    <t>LEONARD LOPEZ</t>
  </si>
  <si>
    <t>INTERVENTION</t>
  </si>
  <si>
    <t>STEVE MORGAN</t>
  </si>
  <si>
    <t>SHAVED ICE</t>
  </si>
  <si>
    <t xml:space="preserve">NACES PLUS FOUNDATION </t>
  </si>
  <si>
    <t>WRITTEN EXAM</t>
  </si>
  <si>
    <t>PURLIN</t>
  </si>
  <si>
    <t>DOROTHY NEVILL</t>
  </si>
  <si>
    <t>ROBBIE NEWSON</t>
  </si>
  <si>
    <t>NMSI</t>
  </si>
  <si>
    <t>199-11-6411.00-041-421SAP</t>
  </si>
  <si>
    <t>211-11-6411.00-041-421SAP</t>
  </si>
  <si>
    <t>PO Created by Req: 121879</t>
  </si>
  <si>
    <t>MARSHA ODOM</t>
  </si>
  <si>
    <t>REFUND ON LUNCH ACCT</t>
  </si>
  <si>
    <t>PO Created by Req: 121878</t>
  </si>
  <si>
    <t>TESTER</t>
  </si>
  <si>
    <t>PO Created by Req: 121830</t>
  </si>
  <si>
    <t>REGION VIII ESC</t>
  </si>
  <si>
    <t>DVD OF TETN</t>
  </si>
  <si>
    <t>RICKY R ROGERS</t>
  </si>
  <si>
    <t>SCHELLAS HYNDMAN</t>
  </si>
  <si>
    <t>PO Created by Req: 121891</t>
  </si>
  <si>
    <t>REBECCA SPRADLIN</t>
  </si>
  <si>
    <t>Creative Smarts,Inc.</t>
  </si>
  <si>
    <t>PO Created by Req: 121862</t>
  </si>
  <si>
    <t>JOHN TUCK</t>
  </si>
  <si>
    <t>APRIL SVCS</t>
  </si>
  <si>
    <t>BOUQUET</t>
  </si>
  <si>
    <t>ADMIN DAY</t>
  </si>
  <si>
    <t>AUTO IRRIGATION</t>
  </si>
  <si>
    <t>CONNIE WILSON</t>
  </si>
  <si>
    <t>EXAMS</t>
  </si>
  <si>
    <t>186-11-6219.00-001-411S00</t>
  </si>
  <si>
    <t>PO Created by Req: 121874</t>
  </si>
  <si>
    <t>CHS/ Technology</t>
  </si>
  <si>
    <t>ARTREACH</t>
  </si>
  <si>
    <t>BIG KAHUNA FUNDRAISING</t>
  </si>
  <si>
    <t>PENCIL SALES</t>
  </si>
  <si>
    <t>PO Created by Req: 121780</t>
  </si>
  <si>
    <t>bOOKS</t>
  </si>
  <si>
    <t>PO Created by Req: 121511</t>
  </si>
  <si>
    <t>eBOOKS</t>
  </si>
  <si>
    <t>PO Created by Req: 121848</t>
  </si>
  <si>
    <t>PO Created by Req: 121888</t>
  </si>
  <si>
    <t>PO Created by Req: 121889</t>
  </si>
  <si>
    <t>199-36-6499.01-001-499000</t>
  </si>
  <si>
    <t>461-12-6329.00-850-499000</t>
  </si>
  <si>
    <t>LATE FEES</t>
  </si>
  <si>
    <t>CDI COMPUTERS DEALERS</t>
  </si>
  <si>
    <t>PO Created by Req: 121858</t>
  </si>
  <si>
    <t>PO Created by Req: 121861</t>
  </si>
  <si>
    <t>PO Created by Req: 121781</t>
  </si>
  <si>
    <t>PO Created by Req: 121856</t>
  </si>
  <si>
    <t>CHAMPCRAFT</t>
  </si>
  <si>
    <t>PO Created by Req: 121665</t>
  </si>
  <si>
    <t>186-13-6411.00-001-499S00</t>
  </si>
  <si>
    <t>EDUCATIONAL PRODUCTS,</t>
  </si>
  <si>
    <t>Boards</t>
  </si>
  <si>
    <t>FARONICS</t>
  </si>
  <si>
    <t>Technology</t>
  </si>
  <si>
    <t>EXCHANGE</t>
  </si>
  <si>
    <t>1%10</t>
  </si>
  <si>
    <t xml:space="preserve">HAGER RESTAURANT </t>
  </si>
  <si>
    <t>REPAIRS AT CARROLL</t>
  </si>
  <si>
    <t>199-23-6411.00-107-499000</t>
  </si>
  <si>
    <t>ELIZABETH HULL</t>
  </si>
  <si>
    <t>MICHELLE JENKINS</t>
  </si>
  <si>
    <t>KAPCO</t>
  </si>
  <si>
    <t>BOOK REPAIR</t>
  </si>
  <si>
    <t>MARTA LASKUS</t>
  </si>
  <si>
    <t>MINEOLA ISD</t>
  </si>
  <si>
    <t>BASEBALL PLAYOFF</t>
  </si>
  <si>
    <t>CHEER CAMP</t>
  </si>
  <si>
    <t>NASSP</t>
  </si>
  <si>
    <t>GRADUATION STOLES</t>
  </si>
  <si>
    <t>199-11-6399.24-042-411000</t>
  </si>
  <si>
    <t>7/29 DUP PYMT</t>
  </si>
  <si>
    <t>MAIL SYSTEM</t>
  </si>
  <si>
    <t>PO Created by Req: 121895</t>
  </si>
  <si>
    <t>RESIDENCE INN</t>
  </si>
  <si>
    <t>ANDREA RICHTER</t>
  </si>
  <si>
    <t>TICKET REIMB</t>
  </si>
  <si>
    <t>INTERPRETER</t>
  </si>
  <si>
    <t>PO Created by Req: 121755</t>
  </si>
  <si>
    <t>PAULA SIMPSON</t>
  </si>
  <si>
    <t>REFUND ON STUDENT ACCT</t>
  </si>
  <si>
    <t>YEAR BOOKS</t>
  </si>
  <si>
    <t>PO Created by Req: 121804</t>
  </si>
  <si>
    <t>ACT PREP</t>
  </si>
  <si>
    <t>TIGERDIRECT</t>
  </si>
  <si>
    <t>PO Created by Req: 121825</t>
  </si>
  <si>
    <t>PO Created by Req: 121819</t>
  </si>
  <si>
    <t>PO Created by Req: 121799</t>
  </si>
  <si>
    <t>PO Created by Req: 121700</t>
  </si>
  <si>
    <t>EQUIP LEASE</t>
  </si>
  <si>
    <t>BOW 93672</t>
  </si>
  <si>
    <t>SUMMER CAMP</t>
  </si>
  <si>
    <t>AXIOM ADVERTISING</t>
  </si>
  <si>
    <t>UMBRELLAS</t>
  </si>
  <si>
    <t xml:space="preserve">BALFOUR NORTHEAST </t>
  </si>
  <si>
    <t>CORDS</t>
  </si>
  <si>
    <t>CAPS &amp; GOWNS</t>
  </si>
  <si>
    <t>JOHN BREAZEALE</t>
  </si>
  <si>
    <t>BUS RENTAL</t>
  </si>
  <si>
    <t xml:space="preserve">LAKE HALBERT </t>
  </si>
  <si>
    <t>FUN DAY SHIRTS</t>
  </si>
  <si>
    <t>PRINTER</t>
  </si>
  <si>
    <t>STATE OAP T SHIRTS</t>
  </si>
  <si>
    <t>EMERALD BEACH HOTEL</t>
  </si>
  <si>
    <t>LAUREN FELDHAUS</t>
  </si>
  <si>
    <t>CHAIRS</t>
  </si>
  <si>
    <t>PO Created by Req: 121813</t>
  </si>
  <si>
    <t>PO Created by Req: 121779</t>
  </si>
  <si>
    <t>DOUBLE LANE SLIDE</t>
  </si>
  <si>
    <t>HARRIS COMMUNICATIONS</t>
  </si>
  <si>
    <t>MONTSERRAT HERNANDEZ</t>
  </si>
  <si>
    <t>REFUND FOR T SHIRT</t>
  </si>
  <si>
    <t>EVELYN LARSEN</t>
  </si>
  <si>
    <t>MAKENZIE LEE</t>
  </si>
  <si>
    <t>BALFOUR SCHOLARSHIP</t>
  </si>
  <si>
    <t>MANSFIELD ISD ATHLETICS</t>
  </si>
  <si>
    <t>PLAYOFF TROPHY</t>
  </si>
  <si>
    <t>COACHING CLINIC REIMB</t>
  </si>
  <si>
    <t>PACE MILITARY UNIFORMS</t>
  </si>
  <si>
    <t>THE PARTY CHICKS</t>
  </si>
  <si>
    <t>CUPS</t>
  </si>
  <si>
    <t>PROFIT PLUS, INC.</t>
  </si>
  <si>
    <t>GRIPPER MUGS</t>
  </si>
  <si>
    <t>COFFEE, ETC</t>
  </si>
  <si>
    <t>RANK ONE SPORT</t>
  </si>
  <si>
    <t>PARKING REIMB</t>
  </si>
  <si>
    <t>ROSETTA STONE,LLC.</t>
  </si>
  <si>
    <t>263-31-6399.01-999-425S00</t>
  </si>
  <si>
    <t>PO Created by Req: 121887</t>
  </si>
  <si>
    <t>FEE</t>
  </si>
  <si>
    <t>199-11-6399.21-001-411000</t>
  </si>
  <si>
    <t>SUPREME TEE'S</t>
  </si>
  <si>
    <t>FIELD DAY SHIRTS</t>
  </si>
  <si>
    <t>SZT ENTERPRISES, LLC</t>
  </si>
  <si>
    <t>DRY CLEANING</t>
  </si>
  <si>
    <t>ELIZABETH H NICHOLS</t>
  </si>
  <si>
    <t>SYRUP &amp; ICE</t>
  </si>
  <si>
    <t>199-23-6499.00-105-499000</t>
  </si>
  <si>
    <t>YELLOW NUMBERS</t>
  </si>
  <si>
    <t>LUNCH FOR BOND MEETING</t>
  </si>
  <si>
    <t>ROBERT ALLEN</t>
  </si>
  <si>
    <t>Repair</t>
  </si>
  <si>
    <t xml:space="preserve">ATHENS STEEL BUILDING </t>
  </si>
  <si>
    <t>SHOP</t>
  </si>
  <si>
    <t>BALFOUR</t>
  </si>
  <si>
    <t>PO Created by Req: 121796</t>
  </si>
  <si>
    <t>CAMP TYLER FOUNDATION</t>
  </si>
  <si>
    <t>CAMPERS</t>
  </si>
  <si>
    <t>GREEN PLANT</t>
  </si>
  <si>
    <t xml:space="preserve">CENTER FOR EDUCATOR </t>
  </si>
  <si>
    <t>199-31-6499.00-001-499000</t>
  </si>
  <si>
    <t>MAILING TEST</t>
  </si>
  <si>
    <t>FOOD FOR SPECIAL</t>
  </si>
  <si>
    <t>PAPER GOODS</t>
  </si>
  <si>
    <t>FLASHLIGHTS ETC</t>
  </si>
  <si>
    <t>CHORAL SHIRTS</t>
  </si>
  <si>
    <t>COFFEE SVC</t>
  </si>
  <si>
    <t>TONER</t>
  </si>
  <si>
    <t xml:space="preserve">FRONTLINE PLACEMENT </t>
  </si>
  <si>
    <t>199-11-6299.01-999-499000</t>
  </si>
  <si>
    <t>AESOP</t>
  </si>
  <si>
    <t>OBSTACLE COURSE</t>
  </si>
  <si>
    <t>DAYLE GOODMAN</t>
  </si>
  <si>
    <t>LAPTOP</t>
  </si>
  <si>
    <t>GRAYSON COLLEGE</t>
  </si>
  <si>
    <t>HEB</t>
  </si>
  <si>
    <t>CAKES</t>
  </si>
  <si>
    <t>PO Created by Req: 121892</t>
  </si>
  <si>
    <t xml:space="preserve">KAMICO INSTRUCTIONAL </t>
  </si>
  <si>
    <t>PAULA LEE</t>
  </si>
  <si>
    <t>LUNCH REFUND</t>
  </si>
  <si>
    <t>FOY LIGHT</t>
  </si>
  <si>
    <t>HOSTING FEE</t>
  </si>
  <si>
    <t>LITTLE CAESARS</t>
  </si>
  <si>
    <t>EARLY PAY</t>
  </si>
  <si>
    <t>PO Created by Req: 121783</t>
  </si>
  <si>
    <t>PAMELA MOLATCH</t>
  </si>
  <si>
    <t xml:space="preserve">MOODY GARDENS HOTEL &amp; </t>
  </si>
  <si>
    <t>LOST- MISMANAGED</t>
  </si>
  <si>
    <t>199-36-6411.24-001-499000</t>
  </si>
  <si>
    <t>GWENDOLYN NEWSOME</t>
  </si>
  <si>
    <t>PO Created by Req: 121788</t>
  </si>
  <si>
    <t>CABLES</t>
  </si>
  <si>
    <t>INK FOR POSTAGE MACHINE</t>
  </si>
  <si>
    <t>199-23-6499.00-041-499000</t>
  </si>
  <si>
    <t>NOTARY STAMP-LEONARD</t>
  </si>
  <si>
    <t>Hardware</t>
  </si>
  <si>
    <t>Labels</t>
  </si>
  <si>
    <t>ELEVATOR CONT</t>
  </si>
  <si>
    <t xml:space="preserve">RESOURCES FOR </t>
  </si>
  <si>
    <t>211-61-6399.00-101-430S00</t>
  </si>
  <si>
    <t xml:space="preserve">HOME &amp; SCHOOL </t>
  </si>
  <si>
    <t>RECIPES FOR SUCCESS</t>
  </si>
  <si>
    <t>211-61-6399.00-105-430S00</t>
  </si>
  <si>
    <t>211-61-6399.00-107-430S00</t>
  </si>
  <si>
    <t>BOOK FAIR SALES</t>
  </si>
  <si>
    <t>BOB STARNES</t>
  </si>
  <si>
    <t>MEMBER FEE</t>
  </si>
  <si>
    <t>TMSA</t>
  </si>
  <si>
    <t>ANDRES TREVINO</t>
  </si>
  <si>
    <t>CALCULATOR REFUND</t>
  </si>
  <si>
    <t>SENIOR GIFTS</t>
  </si>
  <si>
    <t>CONT SVCS</t>
  </si>
  <si>
    <t>461-61-6499.08-999-499000</t>
  </si>
  <si>
    <t>VATAT</t>
  </si>
  <si>
    <t>CONFERENCE FEE</t>
  </si>
  <si>
    <t>SWITCH</t>
  </si>
  <si>
    <t>SIDEWALK</t>
  </si>
  <si>
    <t>ACTION RENTAL CENTER</t>
  </si>
  <si>
    <t>CHAIR RENTAL</t>
  </si>
  <si>
    <t>CUPCAKES</t>
  </si>
  <si>
    <t>REPAIR SVC</t>
  </si>
  <si>
    <t>WASTE SVC</t>
  </si>
  <si>
    <t>MADELINE ANDREWS</t>
  </si>
  <si>
    <t>SLIDE SHOW</t>
  </si>
  <si>
    <t>PROF REGISTRATION</t>
  </si>
  <si>
    <t>PO Created by Req: 121822</t>
  </si>
  <si>
    <t>SMELLY PENCILS</t>
  </si>
  <si>
    <t>SPORTS BANQUET</t>
  </si>
  <si>
    <t>PO Created by Req: 121514</t>
  </si>
  <si>
    <t>REFUND FOR SIX FLAGS</t>
  </si>
  <si>
    <t>CEREBELLUM CORP.</t>
  </si>
  <si>
    <t>PO Created by Req: 121630</t>
  </si>
  <si>
    <t>LANDFILL</t>
  </si>
  <si>
    <t>COACH COMM</t>
  </si>
  <si>
    <t>TEMPEST SUPPORT PKG</t>
  </si>
  <si>
    <t>SAND BLASTER</t>
  </si>
  <si>
    <t>ELECTION AD</t>
  </si>
  <si>
    <t>CAMPUS TOUR AD</t>
  </si>
  <si>
    <t>INSTALL PHONE LINE</t>
  </si>
  <si>
    <t>TILE</t>
  </si>
  <si>
    <t>TAPE</t>
  </si>
  <si>
    <t>COVE BASE</t>
  </si>
  <si>
    <t>CORNER GUARD</t>
  </si>
  <si>
    <t>NY TRIP SHIRTS</t>
  </si>
  <si>
    <t>LEADER SHIRTS</t>
  </si>
  <si>
    <t>PO Created by Req: 121866</t>
  </si>
  <si>
    <t>PO Created by Req: 121805</t>
  </si>
  <si>
    <t>DIAMOND C CONCRETE</t>
  </si>
  <si>
    <t>CONCRETE WORK</t>
  </si>
  <si>
    <t>WRONG ITEM</t>
  </si>
  <si>
    <t>PRVENTATIVE MAINT</t>
  </si>
  <si>
    <t>ADDRESS STAMP</t>
  </si>
  <si>
    <t>KENDRA HARRIS</t>
  </si>
  <si>
    <t>865-00-2191.14-001-400000</t>
  </si>
  <si>
    <t>HOME 2 SUITES</t>
  </si>
  <si>
    <t xml:space="preserve">INTERNATIONAL DYSLEXIA </t>
  </si>
  <si>
    <t>PO Created by Req: 121661</t>
  </si>
  <si>
    <t>ALEX JOSEPH</t>
  </si>
  <si>
    <t>PRIZE</t>
  </si>
  <si>
    <t>VOIDED 7/31 - LOST</t>
  </si>
  <si>
    <t>KING PINS</t>
  </si>
  <si>
    <t>REBECCA LOOSIER</t>
  </si>
  <si>
    <t>CONSULTANT SVC</t>
  </si>
  <si>
    <t>LPSCS TEACHERS ASSN</t>
  </si>
  <si>
    <t>199-11-6411.76-001-422S00</t>
  </si>
  <si>
    <t>PENNY E BURDETTE</t>
  </si>
  <si>
    <t>KITS</t>
  </si>
  <si>
    <t xml:space="preserve">DATA CENTER AND CABLING </t>
  </si>
  <si>
    <t xml:space="preserve">DATA CENTER &amp; CABLING </t>
  </si>
  <si>
    <t>AGREEMENT</t>
  </si>
  <si>
    <t>QUALITY INN</t>
  </si>
  <si>
    <t>LABELS</t>
  </si>
  <si>
    <t>PO Created by Req: 121886</t>
  </si>
  <si>
    <t>SATCO SUPPLY</t>
  </si>
  <si>
    <t>PO Created by Req: 121810</t>
  </si>
  <si>
    <t>DRAMA JACKETS</t>
  </si>
  <si>
    <t>SCHOOL SAVERS</t>
  </si>
  <si>
    <t>PO Created by Req: 121841</t>
  </si>
  <si>
    <t>STEPHANIE SHAW</t>
  </si>
  <si>
    <t>CREDIT</t>
  </si>
  <si>
    <t>LIQUID WASTE PICK UP</t>
  </si>
  <si>
    <t xml:space="preserve">SYSTEMS TOOLS </t>
  </si>
  <si>
    <t>Renewal</t>
  </si>
  <si>
    <t>LAW UPDATE ANNUAL FEE</t>
  </si>
  <si>
    <t xml:space="preserve">TEXAS SCH DIST POLICE </t>
  </si>
  <si>
    <t>TEXAS SHOW SUPPLY</t>
  </si>
  <si>
    <t>ROTATION</t>
  </si>
  <si>
    <t>TREMONT HOUSE</t>
  </si>
  <si>
    <t>RETIREMENT GIFT</t>
  </si>
  <si>
    <t>STORAGE FILES</t>
  </si>
  <si>
    <t>BOXES</t>
  </si>
  <si>
    <t>TRAFFIC CONES</t>
  </si>
  <si>
    <t>LINE REPAIR</t>
  </si>
  <si>
    <t>STOPPER COVERS</t>
  </si>
  <si>
    <t>SPACERS</t>
  </si>
  <si>
    <t>VARSITY SPIRIT FASHIONS</t>
  </si>
  <si>
    <t>WYNDHAM HOTEL</t>
  </si>
  <si>
    <t>EOY CELEBRATION</t>
  </si>
  <si>
    <t>PO Created by Req: 121890</t>
  </si>
  <si>
    <t>AVID CENTER</t>
  </si>
  <si>
    <t>199-00-1431.00-000-400000</t>
  </si>
  <si>
    <t>RENEWAL MEMBERSHIP</t>
  </si>
  <si>
    <t>BEATON MEAT MARKET</t>
  </si>
  <si>
    <t>TAMMY BRYNES</t>
  </si>
  <si>
    <t>199-11-6399.64-041-411000</t>
  </si>
  <si>
    <t>CIRCUIT BOARS</t>
  </si>
  <si>
    <t>CB INSTITUTIONS</t>
  </si>
  <si>
    <t>PO Created by Req: 121877</t>
  </si>
  <si>
    <t>STACY COOK</t>
  </si>
  <si>
    <t>CNA TEST MAILINGS</t>
  </si>
  <si>
    <t>7/29 WRONG AMOUNT</t>
  </si>
  <si>
    <t>PO Created by Req: 121897</t>
  </si>
  <si>
    <t>NAMEPLATE</t>
  </si>
  <si>
    <t>MASTERS PROGRAM</t>
  </si>
  <si>
    <t>BRIAN FRENCH</t>
  </si>
  <si>
    <t>REFUND ON LUNCHES</t>
  </si>
  <si>
    <t>PO Created by Req: 121806</t>
  </si>
  <si>
    <t>MARTINA LAFOY</t>
  </si>
  <si>
    <t>REFUND FOR LUNCHES</t>
  </si>
  <si>
    <t>199-41-6211.00-750-425000</t>
  </si>
  <si>
    <t xml:space="preserve">LSU CONTINUING </t>
  </si>
  <si>
    <t>ESMERALDA MORENO</t>
  </si>
  <si>
    <t>NSTA</t>
  </si>
  <si>
    <t xml:space="preserve">PINEDA'S NURSERY &amp; </t>
  </si>
  <si>
    <t>865-00-2191.18-001-400000</t>
  </si>
  <si>
    <t>CRAPE MYRTLE TREES</t>
  </si>
  <si>
    <t xml:space="preserve">POSTAGE MACH TO NEW </t>
  </si>
  <si>
    <t>RICH SALES, LLC</t>
  </si>
  <si>
    <t>ANELE RICHARDSON</t>
  </si>
  <si>
    <t>DAVE ROBERTSTAD</t>
  </si>
  <si>
    <t>CONNIE SANCHEZ</t>
  </si>
  <si>
    <t>SCOTT &amp; WHITE</t>
  </si>
  <si>
    <t xml:space="preserve">SOUTHWEST </t>
  </si>
  <si>
    <t>IRRIGATION SYSTEM</t>
  </si>
  <si>
    <t>CARLA WHITT</t>
  </si>
  <si>
    <t>JONA WILLIAMS</t>
  </si>
  <si>
    <t>SIGN</t>
  </si>
  <si>
    <t>NANCY ALEXANDER</t>
  </si>
  <si>
    <t>RECYCLE</t>
  </si>
  <si>
    <t>ELMER AVELLANEDA</t>
  </si>
  <si>
    <t>AUDREY CAIN</t>
  </si>
  <si>
    <t>PO Created by Req: 121885</t>
  </si>
  <si>
    <t>BAKED GOODS</t>
  </si>
  <si>
    <t xml:space="preserve">CONVENTION HOUSING </t>
  </si>
  <si>
    <t>DEPOSIT FOR ROOMS</t>
  </si>
  <si>
    <t>END OF YEAR EVENT - CUPS</t>
  </si>
  <si>
    <t>HS STAMP, FLASH DRIVE</t>
  </si>
  <si>
    <t>INSPECTION</t>
  </si>
  <si>
    <t>Lpatops</t>
  </si>
  <si>
    <t>Business cards</t>
  </si>
  <si>
    <t>GT DISTRIBUTORS,INC.</t>
  </si>
  <si>
    <t>HECTOR GUERRERO</t>
  </si>
  <si>
    <t>CAMP</t>
  </si>
  <si>
    <t>PATRICK HARVELL</t>
  </si>
  <si>
    <t>TOWED VEHICLE</t>
  </si>
  <si>
    <t>HOTEL REIMB</t>
  </si>
  <si>
    <t>CARRIE PHILLIPS</t>
  </si>
  <si>
    <t xml:space="preserve">PINEDA'S TREE FARM &amp; </t>
  </si>
  <si>
    <t>LEE YARD</t>
  </si>
  <si>
    <t>SCHLOTZSKYS</t>
  </si>
  <si>
    <t>DESK</t>
  </si>
  <si>
    <t>SMART SIGN</t>
  </si>
  <si>
    <t>PARKING TAGS</t>
  </si>
  <si>
    <t xml:space="preserve">SE MANAGER ANNUAL </t>
  </si>
  <si>
    <t>PO Created by Req: 121828</t>
  </si>
  <si>
    <t>TRAIL OF BREADCRUMBS</t>
  </si>
  <si>
    <t>LEASE ON COMPUTERS</t>
  </si>
  <si>
    <t>WORKFLOWONE</t>
  </si>
  <si>
    <t>COPIERS</t>
  </si>
  <si>
    <t>MONTHLY CHARGES</t>
  </si>
  <si>
    <t>199-11-6499.00-999-411000</t>
  </si>
  <si>
    <t>THINKING MAPS,INC.</t>
  </si>
  <si>
    <t>REMOVE PROJECTOR</t>
  </si>
  <si>
    <t>INSTALL PROJECTOR</t>
  </si>
  <si>
    <t>AEROWAVE TECHNOLOGIES</t>
  </si>
  <si>
    <t>Map</t>
  </si>
  <si>
    <t xml:space="preserve">BELLMEAD RADIATOR SHOP, </t>
  </si>
  <si>
    <t>RADIATOR REPAIR</t>
  </si>
  <si>
    <t>arrangements</t>
  </si>
  <si>
    <t>SEASON TICKETS</t>
  </si>
  <si>
    <t>LAPTOPS</t>
  </si>
  <si>
    <t>PO Created by Req: 121896</t>
  </si>
  <si>
    <t>portable drives</t>
  </si>
  <si>
    <t>2014 LOT MOWING SVC</t>
  </si>
  <si>
    <t>FIRE ALARM INSPECTIONS</t>
  </si>
  <si>
    <t>SHIPPING FEE</t>
  </si>
  <si>
    <t>SUSAN GRIFFIN</t>
  </si>
  <si>
    <t>HYTORQUE</t>
  </si>
  <si>
    <t>PHILLIP KELTNER</t>
  </si>
  <si>
    <t>JASON KETCHUM</t>
  </si>
  <si>
    <t>WHEELCHAIR LIFT REPAIR</t>
  </si>
  <si>
    <t>LONE STAR PERCUSSION</t>
  </si>
  <si>
    <t>MALLETS &amp; STICKS</t>
  </si>
  <si>
    <t>MEXIA PUMP &amp; MOTOR SHOP</t>
  </si>
  <si>
    <t xml:space="preserve">NAT'L SCHOOL PUBLIC </t>
  </si>
  <si>
    <t>TUBING</t>
  </si>
  <si>
    <t>LAMPS</t>
  </si>
  <si>
    <t>NETWORK DROPS</t>
  </si>
  <si>
    <t>INTERPRETING</t>
  </si>
  <si>
    <t>PO Created by Req: 121849</t>
  </si>
  <si>
    <t>Desk</t>
  </si>
  <si>
    <t xml:space="preserve">SOUTHWESTERN </t>
  </si>
  <si>
    <t>461-36-6499.00-850-499A18</t>
  </si>
  <si>
    <t>PO Created by Req: 121871</t>
  </si>
  <si>
    <t>PO Created by Req: 121750</t>
  </si>
  <si>
    <t>PO Created by Req: 121818</t>
  </si>
  <si>
    <t>TIPTON INTERNATIONAL</t>
  </si>
  <si>
    <t>TOM P. GOODENOUGH</t>
  </si>
  <si>
    <t>MAGNETIC PEN DESK SET</t>
  </si>
  <si>
    <t>MEMBERSHIP FEES</t>
  </si>
  <si>
    <t>TIFFANY VERNON</t>
  </si>
  <si>
    <t>COPIES</t>
  </si>
  <si>
    <t>ANCHOR SPORTS</t>
  </si>
  <si>
    <t>RED TRACK MATERIAL</t>
  </si>
  <si>
    <t>Flags</t>
  </si>
  <si>
    <t>242-35-6341.00-699-499000</t>
  </si>
  <si>
    <t>CARNATIONS</t>
  </si>
  <si>
    <t>REEDS</t>
  </si>
  <si>
    <t>GUITARS</t>
  </si>
  <si>
    <t>242-35-6411.00-699-499000</t>
  </si>
  <si>
    <t>AC REPAIRS</t>
  </si>
  <si>
    <t>MOVE AC UNITS</t>
  </si>
  <si>
    <t>242-35-6499.00-699-499000</t>
  </si>
  <si>
    <t>BLACK COVE BASE</t>
  </si>
  <si>
    <t>242-35-6399.00-699-499000</t>
  </si>
  <si>
    <t>GLINDER DIXON</t>
  </si>
  <si>
    <t>TRAVEL REIMG</t>
  </si>
  <si>
    <t>ERICA FIELDS</t>
  </si>
  <si>
    <t>FJS MASONRY</t>
  </si>
  <si>
    <t>NEW BRICK</t>
  </si>
  <si>
    <t>SHOW CAMP</t>
  </si>
  <si>
    <t xml:space="preserve">JOE HOWARD'S ELECTRIC </t>
  </si>
  <si>
    <t>ROOF TOP AC</t>
  </si>
  <si>
    <t>CONNECTOR</t>
  </si>
  <si>
    <t>SUGAR COOKIES</t>
  </si>
  <si>
    <t>DAVID KASPRZYK</t>
  </si>
  <si>
    <t>ERATE PREPARATION</t>
  </si>
  <si>
    <t>CUTTING GLOVES, ETC</t>
  </si>
  <si>
    <t>242-35-6342.00-699-499000</t>
  </si>
  <si>
    <t>SHERRI MONTFORT</t>
  </si>
  <si>
    <t>PIONEER PRODUCTS</t>
  </si>
  <si>
    <t>255-13-6299.01-999-430S00</t>
  </si>
  <si>
    <t>BALANCE-SCOTT</t>
  </si>
  <si>
    <t>NETWORK &amp; DATA CENTER</t>
  </si>
  <si>
    <t>RENTAL SOLUTIONS</t>
  </si>
  <si>
    <t>CISD BANQUET</t>
  </si>
  <si>
    <t>Jackets</t>
  </si>
  <si>
    <t>211-13-6299.00-999-430S00</t>
  </si>
  <si>
    <t>CONSULTANT FEE</t>
  </si>
  <si>
    <t>CONVENTION REGISTRATION</t>
  </si>
  <si>
    <t>GLOVES</t>
  </si>
  <si>
    <t>LIFT &amp; TRAILER</t>
  </si>
  <si>
    <t>BACKHOE</t>
  </si>
  <si>
    <t>SUZANNE WALDRIP</t>
  </si>
  <si>
    <t>JUDY WEST</t>
  </si>
  <si>
    <t>ACT</t>
  </si>
  <si>
    <t>PO Created by Req: 121876</t>
  </si>
  <si>
    <t xml:space="preserve">OPEN HOUSE </t>
  </si>
  <si>
    <t>PO Created by Req: 121865</t>
  </si>
  <si>
    <t>ADELA CASTILLO</t>
  </si>
  <si>
    <t>CORSICANA UMPIRES ASSN</t>
  </si>
  <si>
    <t>BASEBALL SCRIMMAGES</t>
  </si>
  <si>
    <t xml:space="preserve">FAMILY &amp; CONSUMER </t>
  </si>
  <si>
    <t>461-36-6499.00-850-499A09</t>
  </si>
  <si>
    <t>MARIVEL GARCIA</t>
  </si>
  <si>
    <t>VERNON HARRIS</t>
  </si>
  <si>
    <t>GYM FLOORS</t>
  </si>
  <si>
    <t>GYM FLOOR</t>
  </si>
  <si>
    <t>LISA JONES</t>
  </si>
  <si>
    <t>BARBARA KELLEY</t>
  </si>
  <si>
    <t>KOREM &amp; ASSOCIATES</t>
  </si>
  <si>
    <t>211-11-6299.00-001-430S00</t>
  </si>
  <si>
    <t>TRAINING MATERIALS</t>
  </si>
  <si>
    <t>PCMG</t>
  </si>
  <si>
    <t>THE PRODUCTIVITY CENTER</t>
  </si>
  <si>
    <t>TCLEDDS SUBSCRIPTION</t>
  </si>
  <si>
    <t>199-21-6499.00-999-423S00</t>
  </si>
  <si>
    <t>Membership</t>
  </si>
  <si>
    <t>PO Created by Req: 121875</t>
  </si>
  <si>
    <t>JOHN WOODY</t>
  </si>
  <si>
    <t>VOIDED 8/14 WRONG AMT</t>
  </si>
  <si>
    <t>YMCA OF CORSICANA</t>
  </si>
  <si>
    <t>ANNA ALLEN</t>
  </si>
  <si>
    <t>FAYE ALONZO</t>
  </si>
  <si>
    <t>MISTY BORING</t>
  </si>
  <si>
    <t>CHS BOOSTER CLUB</t>
  </si>
  <si>
    <t>ELIZABETH CLAYTON</t>
  </si>
  <si>
    <t>DIANE COLEMAN</t>
  </si>
  <si>
    <t>CLEANING - ONE ACT PLAY</t>
  </si>
  <si>
    <t>KRISTEN DARBY</t>
  </si>
  <si>
    <t>CLARA DELGADO</t>
  </si>
  <si>
    <t>TRAVEL REIM</t>
  </si>
  <si>
    <t>ELECTRI-CABLE ASSEMBLIES</t>
  </si>
  <si>
    <t>ELDON FRANCO</t>
  </si>
  <si>
    <t>CYNTHIA GARCIA</t>
  </si>
  <si>
    <t>263-13-6411.03-999-425S00</t>
  </si>
  <si>
    <t>JENNIFER HILL</t>
  </si>
  <si>
    <t>LAB-AIDS</t>
  </si>
  <si>
    <t>LAURA MATHEWS</t>
  </si>
  <si>
    <t>CAROLYN OWEN</t>
  </si>
  <si>
    <t>BOND-SMITH</t>
  </si>
  <si>
    <t>TABLECLOTHS</t>
  </si>
  <si>
    <t>INTERPRET SVCS</t>
  </si>
  <si>
    <t>SUSAN SHARP</t>
  </si>
  <si>
    <t>STAFF DEVEL</t>
  </si>
  <si>
    <t>EXTRA CABLES, ETC</t>
  </si>
  <si>
    <t>COLOR COPIES</t>
  </si>
  <si>
    <t>PRINT SVC</t>
  </si>
  <si>
    <t>iPod</t>
  </si>
  <si>
    <t>RECONDTION</t>
  </si>
  <si>
    <t>185-36-6398.51-999-491000</t>
  </si>
  <si>
    <t>PO Created by Req: 121593</t>
  </si>
  <si>
    <t>RECONDITION</t>
  </si>
  <si>
    <t>BERKNER VOLLEYBALL</t>
  </si>
  <si>
    <t>181-36-6399.82-001-491000</t>
  </si>
  <si>
    <t>PO Created by Req: 121786</t>
  </si>
  <si>
    <t>repair</t>
  </si>
  <si>
    <t xml:space="preserve">CORSICANA SIGN &amp; CRANE </t>
  </si>
  <si>
    <t>AC ON ROOF</t>
  </si>
  <si>
    <t>MANAGERS ADADEMY</t>
  </si>
  <si>
    <t>FAIRFIELD ISD</t>
  </si>
  <si>
    <t>TOURNAMENT FEE</t>
  </si>
  <si>
    <t>JUANA GUIDO</t>
  </si>
  <si>
    <t xml:space="preserve">Houghton Mifflin Harcourt </t>
  </si>
  <si>
    <t>IMAGE MAKER 4U, INC.</t>
  </si>
  <si>
    <t>Suuplies</t>
  </si>
  <si>
    <t>JACKET BACKERS</t>
  </si>
  <si>
    <t>MIRANDA JOHNSON</t>
  </si>
  <si>
    <t>MPS-ACCTS. RECEIVABLE</t>
  </si>
  <si>
    <t>GWEN MIMS</t>
  </si>
  <si>
    <t>ELEVATOR MAINT</t>
  </si>
  <si>
    <t>RICHLAND TENNIS</t>
  </si>
  <si>
    <t>tables</t>
  </si>
  <si>
    <t>EMC TRAINING</t>
  </si>
  <si>
    <t>TEAM EXPRESS</t>
  </si>
  <si>
    <t>TENNIS BALLS</t>
  </si>
  <si>
    <t>PSAT ACADEMY</t>
  </si>
  <si>
    <t>VERTEX MACHINE CO.</t>
  </si>
  <si>
    <t>MAKENZI PAIGE TAYLOR</t>
  </si>
  <si>
    <t>827-61-6499.00-001-499000</t>
  </si>
  <si>
    <t>MARX SCHOLARSHIP</t>
  </si>
  <si>
    <t>323 SPORTS</t>
  </si>
  <si>
    <t>5 STAR SPORTS CALENDAR</t>
  </si>
  <si>
    <t>SEASON PASS CARDS</t>
  </si>
  <si>
    <t>224-11-6223.00-999-423S00</t>
  </si>
  <si>
    <t>OT SERVICES</t>
  </si>
  <si>
    <t>SHADE BOULWARE</t>
  </si>
  <si>
    <t>TOPSOIL</t>
  </si>
  <si>
    <t>MELINDA BRIGGS</t>
  </si>
  <si>
    <t>199-51-6249.00-999-499010</t>
  </si>
  <si>
    <t>TREATS</t>
  </si>
  <si>
    <t>RESERVATIONS</t>
  </si>
  <si>
    <t xml:space="preserve">DUAL LANGUAGE TRAINING </t>
  </si>
  <si>
    <t>REGISTRATION FEES</t>
  </si>
  <si>
    <t>FOAM BOARD</t>
  </si>
  <si>
    <t>LAMINATOR</t>
  </si>
  <si>
    <t>FLOYETTE ORIGINALS</t>
  </si>
  <si>
    <t>DAPHNE GARRETT</t>
  </si>
  <si>
    <t>IPSWITCH</t>
  </si>
  <si>
    <t>Support</t>
  </si>
  <si>
    <t>LUKE ALAN JORDAN</t>
  </si>
  <si>
    <t>LIBRARY BOOK</t>
  </si>
  <si>
    <t>REPAIRS AND PHONES</t>
  </si>
  <si>
    <t>PANIC BUTTONS</t>
  </si>
  <si>
    <t>WIFI Access</t>
  </si>
  <si>
    <t>PO Created by Req: 121894</t>
  </si>
  <si>
    <t>SOLVENT</t>
  </si>
  <si>
    <t>PLANNERS</t>
  </si>
  <si>
    <t>PAULA SPILLYARDS</t>
  </si>
  <si>
    <t>CAMERA</t>
  </si>
  <si>
    <t>SHADOW BOX PLATES</t>
  </si>
  <si>
    <t xml:space="preserve">SPRINKLER SERVICE &amp; </t>
  </si>
  <si>
    <t>LISA WRIGHT</t>
  </si>
  <si>
    <t>RESTRIPE PARKING LOT</t>
  </si>
  <si>
    <t>SMART BOARD REPAIR</t>
  </si>
  <si>
    <t>PROJECTOR REPAIRS</t>
  </si>
  <si>
    <t>DINNER</t>
  </si>
  <si>
    <t>ANKLE BRACES</t>
  </si>
  <si>
    <t>STUART ALLEN</t>
  </si>
  <si>
    <t>FLOWER FOR CONVOCATION</t>
  </si>
  <si>
    <t>BLAST MASTERS, LLC</t>
  </si>
  <si>
    <t>CLEAN VENT HOODS</t>
  </si>
  <si>
    <t>BROWN &amp; BIGELOW</t>
  </si>
  <si>
    <t>STRESS BALL</t>
  </si>
  <si>
    <t>dummies</t>
  </si>
  <si>
    <t>199-13-6399.00-001-499000</t>
  </si>
  <si>
    <t>CARRYHOTUSA</t>
  </si>
  <si>
    <t>breakfast bags</t>
  </si>
  <si>
    <t>FITTINGS</t>
  </si>
  <si>
    <t>CITIZENS NATIONAL BANK</t>
  </si>
  <si>
    <t>CHANGE FOR ALL SCHOOLS</t>
  </si>
  <si>
    <t>ROTC CLEANING</t>
  </si>
  <si>
    <t>Planners</t>
  </si>
  <si>
    <t>foam board</t>
  </si>
  <si>
    <t>AUG 14-JUL15 MEMBERSHIP</t>
  </si>
  <si>
    <t xml:space="preserve">FOOD HANDLERS CARDS </t>
  </si>
  <si>
    <t>MILK FOR FREEDOM SCHOOL</t>
  </si>
  <si>
    <t xml:space="preserve">CUPS FOR FREEDOM </t>
  </si>
  <si>
    <t>ADMIN ACADEMY</t>
  </si>
  <si>
    <t>LATREECE CULBERTSON</t>
  </si>
  <si>
    <t>PANTS</t>
  </si>
  <si>
    <t>TANKS</t>
  </si>
  <si>
    <t>DENTON ISD TECHNOLOGY</t>
  </si>
  <si>
    <t>GUARD SUPPLIES</t>
  </si>
  <si>
    <t>INCLUSIVE SCHOOL CONF</t>
  </si>
  <si>
    <t>FIBERLINK</t>
  </si>
  <si>
    <t>BUNDLE</t>
  </si>
  <si>
    <t>BULLETIN BOARD PAPER</t>
  </si>
  <si>
    <t>FROMUTH</t>
  </si>
  <si>
    <t>NAME PLATE</t>
  </si>
  <si>
    <t>MORGAN GREGORY</t>
  </si>
  <si>
    <t>461-36-6499.00-850-499A10</t>
  </si>
  <si>
    <t>MARINE JOHNSON</t>
  </si>
  <si>
    <t xml:space="preserve">BACK TO SCHOOL </t>
  </si>
  <si>
    <t>UIL DISTRICT EXPENSES</t>
  </si>
  <si>
    <t>WARM-UPS</t>
  </si>
  <si>
    <t xml:space="preserve">NAVARRO COUNTY 4-H </t>
  </si>
  <si>
    <t>VALIDATION TAGS</t>
  </si>
  <si>
    <t>LICENSING</t>
  </si>
  <si>
    <t>MICHAEL SETSER</t>
  </si>
  <si>
    <t>STEMSCOPES</t>
  </si>
  <si>
    <t>LATASHA A. STEPHENS</t>
  </si>
  <si>
    <t>FACILITY ASSESSMENT</t>
  </si>
  <si>
    <t>TIECOON.COM</t>
  </si>
  <si>
    <t>TIES</t>
  </si>
  <si>
    <t>TOP TIER TRAINING</t>
  </si>
  <si>
    <t>JULY SERVICES</t>
  </si>
  <si>
    <t>AUGUST SERVICES</t>
  </si>
  <si>
    <t>SHEILA VESS</t>
  </si>
  <si>
    <t>MICHELLE WARREN</t>
  </si>
  <si>
    <t>KERRI BARHAM</t>
  </si>
  <si>
    <t>VIRGINIA BUCHANAN</t>
  </si>
  <si>
    <t>199-11-6219.00-042-411000</t>
  </si>
  <si>
    <t>CONTACTOR</t>
  </si>
  <si>
    <t>GEAR</t>
  </si>
  <si>
    <t>registraitons</t>
  </si>
  <si>
    <t>VESTS</t>
  </si>
  <si>
    <t>SOFTWARE FOR ID MACHINE</t>
  </si>
  <si>
    <t>ID MACHINES</t>
  </si>
  <si>
    <t xml:space="preserve">ANNUAL SOFTWARE ACCESS </t>
  </si>
  <si>
    <t xml:space="preserve">STATE BOARD FOR </t>
  </si>
  <si>
    <t>255-11-6119.00-999-430S00</t>
  </si>
  <si>
    <t>EMERGENCY PERMIT FEE</t>
  </si>
  <si>
    <t>WACO RESTAURANT SUPPLY</t>
  </si>
  <si>
    <t>FLOAT BALL</t>
  </si>
  <si>
    <t xml:space="preserve">PROJECT LEAD THE WAY, </t>
  </si>
  <si>
    <t>PLTW ENGINEERING FEE</t>
  </si>
  <si>
    <t>SHOES</t>
  </si>
  <si>
    <t>SERVICE- CARROLL GYM</t>
  </si>
  <si>
    <t>REFRIGERANT &amp; PARTS</t>
  </si>
  <si>
    <t>REFRIGERANT</t>
  </si>
  <si>
    <t>A/C UNIT AT CARROLL</t>
  </si>
  <si>
    <t>OFFICER UNIFORMS</t>
  </si>
  <si>
    <t>STUDENT MEAL CHARGES</t>
  </si>
  <si>
    <t>ADULT MEAL CHARGES</t>
  </si>
  <si>
    <t>PAPER TOWELS</t>
  </si>
  <si>
    <t>CLEANING SUPPLIES</t>
  </si>
  <si>
    <t xml:space="preserve">DETERGENT &amp; PAPER </t>
  </si>
  <si>
    <t>registration</t>
  </si>
  <si>
    <t>461-36-6499.00-850-499A12</t>
  </si>
  <si>
    <t>Regstration</t>
  </si>
  <si>
    <t>Notary stamp</t>
  </si>
  <si>
    <t>CPR CERTIFICATION</t>
  </si>
  <si>
    <t>PRINTED SUPPLIES</t>
  </si>
  <si>
    <t>MEALS FOR MEETING</t>
  </si>
  <si>
    <t>JASON HERVEY</t>
  </si>
  <si>
    <t>TRANE RTU</t>
  </si>
  <si>
    <t>EQUIPMENT INSTALLATION</t>
  </si>
  <si>
    <t xml:space="preserve">NARDONE BROS. BAKING </t>
  </si>
  <si>
    <t>APPLESAUCE</t>
  </si>
  <si>
    <t>435-34-6631.00-999-423S00</t>
  </si>
  <si>
    <t>Bus</t>
  </si>
  <si>
    <t>Projector</t>
  </si>
  <si>
    <t>WORKSHOPS 8/20 &amp; 8/21</t>
  </si>
  <si>
    <t>DRY ERASE BOARDS</t>
  </si>
  <si>
    <t>CHS CAFETERIA TABLES</t>
  </si>
  <si>
    <t>ACSI</t>
  </si>
  <si>
    <t>163-00-2159.00-102-400000</t>
  </si>
  <si>
    <t xml:space="preserve">SEP DED MISCELLANEOUS </t>
  </si>
  <si>
    <t xml:space="preserve">ASSN OF TX PROFESSIONAL </t>
  </si>
  <si>
    <t>163-00-2159.00-006-400000</t>
  </si>
  <si>
    <t xml:space="preserve">CENTRAL TX TEACHERS </t>
  </si>
  <si>
    <t>163-00-2154.00-004-400000</t>
  </si>
  <si>
    <t>SEP DED CREDIT UNION</t>
  </si>
  <si>
    <t>CHAPTER 13 TRUSTEE</t>
  </si>
  <si>
    <t>163-00-2159.00-095-400000</t>
  </si>
  <si>
    <t>163-00-2159.00-088-400000</t>
  </si>
  <si>
    <t>ECAP, L.L.C.</t>
  </si>
  <si>
    <t>163-00-2159.00-089-400000</t>
  </si>
  <si>
    <t>163-00-2159.00-071-400000</t>
  </si>
  <si>
    <t>163-00-2159.00-085-400000</t>
  </si>
  <si>
    <t xml:space="preserve">FIRST FINANCIAL </t>
  </si>
  <si>
    <t>163-00-2153.00-010-400000</t>
  </si>
  <si>
    <t>SEP DED LIFE INSURANCE</t>
  </si>
  <si>
    <t>163-00-2153.00-013-400000</t>
  </si>
  <si>
    <t>163-00-2153.00-016-400000</t>
  </si>
  <si>
    <t>163-00-2153.00-023-400000</t>
  </si>
  <si>
    <t xml:space="preserve">SEP DED HEALTH </t>
  </si>
  <si>
    <t>163-00-2153.00-025-400000</t>
  </si>
  <si>
    <t>163-00-2153.00-026-400000</t>
  </si>
  <si>
    <t>163-00-2153.00-027-400000</t>
  </si>
  <si>
    <t>163-00-2153.00-029-400000</t>
  </si>
  <si>
    <t>163-00-2153.00-030-400000</t>
  </si>
  <si>
    <t>163-00-2153.00-031-400000</t>
  </si>
  <si>
    <t>163-00-2153.00-032-400000</t>
  </si>
  <si>
    <t>163-00-2153.00-033-400000</t>
  </si>
  <si>
    <t>163-00-2153.00-041-400000</t>
  </si>
  <si>
    <t>163-00-2159.00-009-400000</t>
  </si>
  <si>
    <t>163-00-2159.00-037-400000</t>
  </si>
  <si>
    <t>SEP DED TAX SHEL. ANNUITY</t>
  </si>
  <si>
    <t>163-00-2159.00-038-400000</t>
  </si>
  <si>
    <t>163-00-2159.00-039-400000</t>
  </si>
  <si>
    <t>163-00-2159.00-040-400000</t>
  </si>
  <si>
    <t>163-00-2159.00-049-400000</t>
  </si>
  <si>
    <t>163-00-2159.00-050-400000</t>
  </si>
  <si>
    <t>163-00-2159.00-052-400000</t>
  </si>
  <si>
    <t>163-00-2159.00-055-400000</t>
  </si>
  <si>
    <t>163-00-2159.00-057-400000</t>
  </si>
  <si>
    <t>163-00-2159.00-058-400000</t>
  </si>
  <si>
    <t>163-00-2159.00-065-400000</t>
  </si>
  <si>
    <t>163-00-2159.00-078-400000</t>
  </si>
  <si>
    <t xml:space="preserve">SEP DED INCOME </t>
  </si>
  <si>
    <t xml:space="preserve">GENWORTH LIFE INSURANCE </t>
  </si>
  <si>
    <t>163-00-2153.00-024-400000</t>
  </si>
  <si>
    <t>TARLETON ST.UNIV. -TMATE</t>
  </si>
  <si>
    <t>163-00-2159.00-068-400000</t>
  </si>
  <si>
    <t>TEXAS AFT/PEG</t>
  </si>
  <si>
    <t>163-00-2159.00-008-400000</t>
  </si>
  <si>
    <t xml:space="preserve">TEXAS CLASSROOM </t>
  </si>
  <si>
    <t>163-00-2159.00-003-400000</t>
  </si>
  <si>
    <t xml:space="preserve">TEXAS GUARANTEED </t>
  </si>
  <si>
    <t>163-00-2159.00-091-400000</t>
  </si>
  <si>
    <t xml:space="preserve">TX INDUSTRIAL VOCATIONAL </t>
  </si>
  <si>
    <t>163-00-2159.00-007-400000</t>
  </si>
  <si>
    <t xml:space="preserve">TEXAS STATE TEACHERS </t>
  </si>
  <si>
    <t>163-00-2159.00-005-400000</t>
  </si>
  <si>
    <t>TEXAS TEACHERS</t>
  </si>
  <si>
    <t>163-00-2159.00-097-400000</t>
  </si>
  <si>
    <t xml:space="preserve">TIM TRUMAN, CHAPTER 13 </t>
  </si>
  <si>
    <t>163-00-2159.00-144-400000</t>
  </si>
  <si>
    <t xml:space="preserve">U.S. DEPARTMENT OF </t>
  </si>
  <si>
    <t>163-00-2159.00-098-400000</t>
  </si>
  <si>
    <t>U.S. TREASURY</t>
  </si>
  <si>
    <t>163-00-2159.00-077-400000</t>
  </si>
  <si>
    <t xml:space="preserve">OCT DED MISCELLANEOUS </t>
  </si>
  <si>
    <t>OCT DED CREDIT UNION</t>
  </si>
  <si>
    <t>OCT DED LIFE INSURANCE</t>
  </si>
  <si>
    <t xml:space="preserve">OCT DED HEALTH </t>
  </si>
  <si>
    <t>OCT DED TAX SHEL. ANNUITY</t>
  </si>
  <si>
    <t xml:space="preserve">OCT DED INCOME </t>
  </si>
  <si>
    <t xml:space="preserve">NOV DED MISCELLANEOUS </t>
  </si>
  <si>
    <t>NOV DED CREDIT UNION</t>
  </si>
  <si>
    <t>NOV DED LIFE INSURANCE</t>
  </si>
  <si>
    <t xml:space="preserve">NOV DED HEALTH </t>
  </si>
  <si>
    <t>NOV DED TAX SHEL. ANNUITY</t>
  </si>
  <si>
    <t xml:space="preserve">NOV DED INCOME </t>
  </si>
  <si>
    <t xml:space="preserve">DEC DED MISCELLANEOUS </t>
  </si>
  <si>
    <t>DEC DED CREDIT UNION</t>
  </si>
  <si>
    <t>DEC DED LIFE INSURANCE</t>
  </si>
  <si>
    <t xml:space="preserve">DEC DED HEALTH </t>
  </si>
  <si>
    <t>DEC DED TAX SHEL. ANNUITY</t>
  </si>
  <si>
    <t xml:space="preserve">DEC DED INCOME </t>
  </si>
  <si>
    <t xml:space="preserve">JAN DED MISCELLANEOUS </t>
  </si>
  <si>
    <t>JAN DED CREDIT UNION</t>
  </si>
  <si>
    <t>JAN DED LIFE INSURANCE</t>
  </si>
  <si>
    <t xml:space="preserve">JAN DED HEALTH </t>
  </si>
  <si>
    <t>JAN DED TAX SHEL. ANNUITY</t>
  </si>
  <si>
    <t xml:space="preserve">JAN DED INCOME </t>
  </si>
  <si>
    <t>PHEAA</t>
  </si>
  <si>
    <t>163-00-2159.00-145-400000</t>
  </si>
  <si>
    <t>UNITED WAY</t>
  </si>
  <si>
    <t>163-00-2159.00-002-400000</t>
  </si>
  <si>
    <t>JAN DED UNITED FUND</t>
  </si>
  <si>
    <t xml:space="preserve">FEB DED MISCELLANEOUS </t>
  </si>
  <si>
    <t>FEB DED CREDIT UNION</t>
  </si>
  <si>
    <t>FEB DED LIFE INSURANCE</t>
  </si>
  <si>
    <t xml:space="preserve">FEB DED HEALTH </t>
  </si>
  <si>
    <t>FEB DED TAX SHEL. ANNUITY</t>
  </si>
  <si>
    <t xml:space="preserve">FEB DED INCOME </t>
  </si>
  <si>
    <t>FEB DED UNITED FUND</t>
  </si>
  <si>
    <t xml:space="preserve">MAR DED MISCELLANEOUS </t>
  </si>
  <si>
    <t>MAR DED CREDIT UNION</t>
  </si>
  <si>
    <t>MAR DED LIFE INSURANCE</t>
  </si>
  <si>
    <t xml:space="preserve">MAR DED HEALTH </t>
  </si>
  <si>
    <t>MAR DED TAX SHEL. ANNUITY</t>
  </si>
  <si>
    <t xml:space="preserve">MAR DED INCOME </t>
  </si>
  <si>
    <t>MAR DED UNITED FUND</t>
  </si>
  <si>
    <t xml:space="preserve">APR DED MISCELLANEOUS </t>
  </si>
  <si>
    <t>APR DED CREDIT UNION</t>
  </si>
  <si>
    <t>APR DED LIFE INSURANCE</t>
  </si>
  <si>
    <t xml:space="preserve">APR DED HEALTH </t>
  </si>
  <si>
    <t>APR DED TAX SHEL. ANNUITY</t>
  </si>
  <si>
    <t xml:space="preserve">APR DED INCOME </t>
  </si>
  <si>
    <t>APR DED UNITED FUND</t>
  </si>
  <si>
    <t xml:space="preserve">MAY DED MISCELLANEOUS </t>
  </si>
  <si>
    <t>MAY DED CREDIT UNION</t>
  </si>
  <si>
    <t>MAY DED LIFE INSURANCE</t>
  </si>
  <si>
    <t xml:space="preserve">MAY DED HEALTH </t>
  </si>
  <si>
    <t>MAY DED TAX SHEL. ANNUITY</t>
  </si>
  <si>
    <t xml:space="preserve">MAY DED INCOME </t>
  </si>
  <si>
    <t>163-00-2159.00-076-400000</t>
  </si>
  <si>
    <t>MAY DED UNITED FUND</t>
  </si>
  <si>
    <t xml:space="preserve">JUN DED MISCELLANEOUS </t>
  </si>
  <si>
    <t>JUN DED CREDIT UNION</t>
  </si>
  <si>
    <t>JUN DED LIFE INSURANCE</t>
  </si>
  <si>
    <t xml:space="preserve">JUN DED HEALTH </t>
  </si>
  <si>
    <t>JUN DED TAX SHEL. ANNUITY</t>
  </si>
  <si>
    <t xml:space="preserve">JUN DED INCOME </t>
  </si>
  <si>
    <t xml:space="preserve">JUL DED MISCELLANEOUS </t>
  </si>
  <si>
    <t>JUL DED CREDIT UNION</t>
  </si>
  <si>
    <t>JUL DED LIFE INSURANCE</t>
  </si>
  <si>
    <t>JUL DED HEALTH INSURANCE</t>
  </si>
  <si>
    <t>JUL DED TAX SHEL. ANNUITY</t>
  </si>
  <si>
    <t xml:space="preserve">JUL DED INCOME </t>
  </si>
  <si>
    <t xml:space="preserve">AUG DED MISCELLANEOUS </t>
  </si>
  <si>
    <t>AUG DED CREDIT UNION</t>
  </si>
  <si>
    <t>AUG DED LIFE INSURANCE</t>
  </si>
  <si>
    <t xml:space="preserve">AUG DED HEALTH </t>
  </si>
  <si>
    <t>AUG DED TAX SHEL. ANNUITY</t>
  </si>
  <si>
    <t xml:space="preserve">AUG DED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</si>
</sst>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30"/>
  <sheetViews>
    <sheetView tabSelected="1" workbookViewId="0">
      <selection activeCell="H4" sqref="H4"/>
    </sheetView>
  </sheetViews>
  <sheetFormatPr defaultRowHeight="15" x14ac:dyDescent="0.25"/>
  <cols>
    <col min="1" max="1" width="9" bestFit="1" customWidth="1"/>
    <col min="2" max="2" width="9.42578125" bestFit="1" customWidth="1"/>
    <col min="3" max="3" width="10.7109375" bestFit="1" customWidth="1"/>
    <col min="4" max="4" width="28.7109375" bestFit="1" customWidth="1"/>
    <col min="5" max="5" width="15.140625" bestFit="1" customWidth="1"/>
    <col min="6" max="6" width="9" bestFit="1" customWidth="1"/>
    <col min="7" max="7" width="25.28515625" bestFit="1" customWidth="1"/>
    <col min="8" max="8" width="29.7109375" bestFit="1" customWidth="1"/>
    <col min="9" max="9" width="2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20130903</v>
      </c>
      <c r="B2" t="str">
        <f>"000001"</f>
        <v>000001</v>
      </c>
      <c r="C2" t="str">
        <f>"99998"</f>
        <v>99998</v>
      </c>
      <c r="D2" t="s">
        <v>9</v>
      </c>
      <c r="E2">
        <v>40</v>
      </c>
      <c r="F2">
        <v>20130910</v>
      </c>
      <c r="G2" t="s">
        <v>10</v>
      </c>
      <c r="H2" t="s">
        <v>11</v>
      </c>
      <c r="I2" t="s">
        <v>12</v>
      </c>
    </row>
    <row r="3" spans="1:9" x14ac:dyDescent="0.25">
      <c r="A3">
        <v>20130917</v>
      </c>
      <c r="B3" t="str">
        <f>"000001"</f>
        <v>000001</v>
      </c>
      <c r="C3" t="str">
        <f>"79800"</f>
        <v>79800</v>
      </c>
      <c r="D3" t="s">
        <v>13</v>
      </c>
      <c r="E3">
        <v>52.2</v>
      </c>
      <c r="F3">
        <v>20130924</v>
      </c>
      <c r="G3" t="s">
        <v>14</v>
      </c>
      <c r="I3" t="s">
        <v>15</v>
      </c>
    </row>
    <row r="4" spans="1:9" x14ac:dyDescent="0.25">
      <c r="A4">
        <v>20130916</v>
      </c>
      <c r="B4" t="str">
        <f>"000002"</f>
        <v>000002</v>
      </c>
      <c r="C4" t="str">
        <f>"79800"</f>
        <v>79800</v>
      </c>
      <c r="D4" t="s">
        <v>13</v>
      </c>
      <c r="E4" s="1">
        <v>1347</v>
      </c>
      <c r="F4">
        <v>20130924</v>
      </c>
      <c r="G4" t="s">
        <v>14</v>
      </c>
      <c r="I4" t="s">
        <v>15</v>
      </c>
    </row>
    <row r="5" spans="1:9" x14ac:dyDescent="0.25">
      <c r="A5">
        <v>20131119</v>
      </c>
      <c r="B5" t="str">
        <f>"000002"</f>
        <v>000002</v>
      </c>
      <c r="C5" t="str">
        <f>"99998"</f>
        <v>99998</v>
      </c>
      <c r="D5" t="s">
        <v>9</v>
      </c>
      <c r="E5">
        <v>40</v>
      </c>
      <c r="F5">
        <v>20131202</v>
      </c>
      <c r="G5" t="s">
        <v>10</v>
      </c>
      <c r="H5" t="s">
        <v>16</v>
      </c>
      <c r="I5" t="s">
        <v>12</v>
      </c>
    </row>
    <row r="6" spans="1:9" x14ac:dyDescent="0.25">
      <c r="A6">
        <v>20130917</v>
      </c>
      <c r="B6" t="str">
        <f>"000003"</f>
        <v>000003</v>
      </c>
      <c r="C6" t="str">
        <f>"79800"</f>
        <v>79800</v>
      </c>
      <c r="D6" t="s">
        <v>13</v>
      </c>
      <c r="E6">
        <v>450</v>
      </c>
      <c r="F6">
        <v>20130924</v>
      </c>
      <c r="G6" t="s">
        <v>14</v>
      </c>
      <c r="I6" t="s">
        <v>15</v>
      </c>
    </row>
    <row r="7" spans="1:9" x14ac:dyDescent="0.25">
      <c r="A7">
        <v>20140109</v>
      </c>
      <c r="B7" t="str">
        <f>"000003"</f>
        <v>000003</v>
      </c>
      <c r="C7" t="str">
        <f>"99998"</f>
        <v>99998</v>
      </c>
      <c r="D7" t="s">
        <v>9</v>
      </c>
      <c r="E7">
        <v>10</v>
      </c>
      <c r="F7">
        <v>20140115</v>
      </c>
      <c r="G7" t="s">
        <v>10</v>
      </c>
      <c r="I7" t="s">
        <v>12</v>
      </c>
    </row>
    <row r="8" spans="1:9" x14ac:dyDescent="0.25">
      <c r="A8">
        <v>20131015</v>
      </c>
      <c r="B8" t="str">
        <f>"000004"</f>
        <v>000004</v>
      </c>
      <c r="C8" t="str">
        <f>"79800"</f>
        <v>79800</v>
      </c>
      <c r="D8" t="s">
        <v>13</v>
      </c>
      <c r="E8">
        <v>945</v>
      </c>
      <c r="F8">
        <v>20131011</v>
      </c>
      <c r="G8" t="s">
        <v>14</v>
      </c>
      <c r="I8" t="s">
        <v>15</v>
      </c>
    </row>
    <row r="9" spans="1:9" x14ac:dyDescent="0.25">
      <c r="A9">
        <v>20140207</v>
      </c>
      <c r="B9" t="str">
        <f>"000004"</f>
        <v>000004</v>
      </c>
      <c r="C9" t="str">
        <f>"99998"</f>
        <v>99998</v>
      </c>
      <c r="D9" t="s">
        <v>9</v>
      </c>
      <c r="E9">
        <v>25</v>
      </c>
      <c r="F9">
        <v>20140221</v>
      </c>
      <c r="G9" t="s">
        <v>10</v>
      </c>
      <c r="I9" t="s">
        <v>12</v>
      </c>
    </row>
    <row r="10" spans="1:9" x14ac:dyDescent="0.25">
      <c r="A10">
        <v>20131018</v>
      </c>
      <c r="B10" t="str">
        <f>"000005"</f>
        <v>000005</v>
      </c>
      <c r="C10" t="str">
        <f>"79800"</f>
        <v>79800</v>
      </c>
      <c r="D10" t="s">
        <v>13</v>
      </c>
      <c r="E10">
        <v>451.54</v>
      </c>
      <c r="F10">
        <v>20131016</v>
      </c>
      <c r="G10" t="s">
        <v>14</v>
      </c>
      <c r="I10" t="s">
        <v>15</v>
      </c>
    </row>
    <row r="11" spans="1:9" x14ac:dyDescent="0.25">
      <c r="A11">
        <v>20140207</v>
      </c>
      <c r="B11" t="str">
        <f>"000005"</f>
        <v>000005</v>
      </c>
      <c r="C11" t="str">
        <f>"99998"</f>
        <v>99998</v>
      </c>
      <c r="D11" t="s">
        <v>9</v>
      </c>
      <c r="E11">
        <v>100</v>
      </c>
      <c r="F11">
        <v>20140221</v>
      </c>
      <c r="G11" t="s">
        <v>10</v>
      </c>
      <c r="I11" t="s">
        <v>12</v>
      </c>
    </row>
    <row r="12" spans="1:9" x14ac:dyDescent="0.25">
      <c r="A12">
        <v>20131029</v>
      </c>
      <c r="B12" t="str">
        <f>"000006"</f>
        <v>000006</v>
      </c>
      <c r="C12" t="str">
        <f>"79800"</f>
        <v>79800</v>
      </c>
      <c r="D12" t="s">
        <v>13</v>
      </c>
      <c r="E12">
        <v>17.84</v>
      </c>
      <c r="F12">
        <v>20131025</v>
      </c>
      <c r="G12" t="s">
        <v>14</v>
      </c>
      <c r="I12" t="s">
        <v>15</v>
      </c>
    </row>
    <row r="13" spans="1:9" x14ac:dyDescent="0.25">
      <c r="A13">
        <v>20140604</v>
      </c>
      <c r="B13" t="str">
        <f>"000006"</f>
        <v>000006</v>
      </c>
      <c r="C13" t="str">
        <f>"99998"</f>
        <v>99998</v>
      </c>
      <c r="D13" t="s">
        <v>9</v>
      </c>
      <c r="E13">
        <v>6.26</v>
      </c>
      <c r="F13">
        <v>20140619</v>
      </c>
      <c r="G13" t="s">
        <v>10</v>
      </c>
      <c r="H13" t="s">
        <v>16</v>
      </c>
      <c r="I13" t="s">
        <v>12</v>
      </c>
    </row>
    <row r="14" spans="1:9" x14ac:dyDescent="0.25">
      <c r="A14">
        <v>20131115</v>
      </c>
      <c r="B14" t="str">
        <f>"000007"</f>
        <v>000007</v>
      </c>
      <c r="C14" t="str">
        <f t="shared" ref="C14:C20" si="0">"79801"</f>
        <v>79801</v>
      </c>
      <c r="D14" t="s">
        <v>17</v>
      </c>
      <c r="E14" s="1">
        <v>1403</v>
      </c>
      <c r="F14">
        <v>20131113</v>
      </c>
      <c r="G14" t="s">
        <v>14</v>
      </c>
      <c r="I14" t="s">
        <v>15</v>
      </c>
    </row>
    <row r="15" spans="1:9" x14ac:dyDescent="0.25">
      <c r="A15">
        <v>20131119</v>
      </c>
      <c r="B15" t="str">
        <f>"000008"</f>
        <v>000008</v>
      </c>
      <c r="C15" t="str">
        <f t="shared" si="0"/>
        <v>79801</v>
      </c>
      <c r="D15" t="s">
        <v>17</v>
      </c>
      <c r="E15">
        <v>305.66000000000003</v>
      </c>
      <c r="F15">
        <v>20131115</v>
      </c>
      <c r="G15" t="s">
        <v>14</v>
      </c>
      <c r="I15" t="s">
        <v>15</v>
      </c>
    </row>
    <row r="16" spans="1:9" x14ac:dyDescent="0.25">
      <c r="A16">
        <v>20131122</v>
      </c>
      <c r="B16" t="str">
        <f>"000009"</f>
        <v>000009</v>
      </c>
      <c r="C16" t="str">
        <f t="shared" si="0"/>
        <v>79801</v>
      </c>
      <c r="D16" t="s">
        <v>17</v>
      </c>
      <c r="E16" s="1">
        <v>1923.68</v>
      </c>
      <c r="F16">
        <v>20131122</v>
      </c>
      <c r="G16" t="s">
        <v>14</v>
      </c>
      <c r="I16" t="s">
        <v>15</v>
      </c>
    </row>
    <row r="17" spans="1:9" x14ac:dyDescent="0.25">
      <c r="A17">
        <v>20131216</v>
      </c>
      <c r="B17" t="str">
        <f>"000010"</f>
        <v>000010</v>
      </c>
      <c r="C17" t="str">
        <f t="shared" si="0"/>
        <v>79801</v>
      </c>
      <c r="D17" t="s">
        <v>17</v>
      </c>
      <c r="E17" s="1">
        <v>1633</v>
      </c>
      <c r="F17">
        <v>20131211</v>
      </c>
      <c r="G17" t="s">
        <v>14</v>
      </c>
      <c r="I17" t="s">
        <v>15</v>
      </c>
    </row>
    <row r="18" spans="1:9" x14ac:dyDescent="0.25">
      <c r="A18">
        <v>20131217</v>
      </c>
      <c r="B18" t="str">
        <f>"000011"</f>
        <v>000011</v>
      </c>
      <c r="C18" t="str">
        <f t="shared" si="0"/>
        <v>79801</v>
      </c>
      <c r="D18" t="s">
        <v>17</v>
      </c>
      <c r="E18">
        <v>356.64</v>
      </c>
      <c r="F18">
        <v>20131218</v>
      </c>
      <c r="G18" t="s">
        <v>14</v>
      </c>
      <c r="I18" t="s">
        <v>15</v>
      </c>
    </row>
    <row r="19" spans="1:9" x14ac:dyDescent="0.25">
      <c r="A19">
        <v>20131205</v>
      </c>
      <c r="B19" t="str">
        <f>"000012"</f>
        <v>000012</v>
      </c>
      <c r="C19" t="str">
        <f t="shared" si="0"/>
        <v>79801</v>
      </c>
      <c r="D19" t="s">
        <v>17</v>
      </c>
      <c r="E19">
        <v>272.68</v>
      </c>
      <c r="F19">
        <v>20131210</v>
      </c>
      <c r="G19" t="s">
        <v>14</v>
      </c>
      <c r="I19" t="s">
        <v>15</v>
      </c>
    </row>
    <row r="20" spans="1:9" x14ac:dyDescent="0.25">
      <c r="A20">
        <v>20131220</v>
      </c>
      <c r="B20" t="str">
        <f>"000013"</f>
        <v>000013</v>
      </c>
      <c r="C20" t="str">
        <f t="shared" si="0"/>
        <v>79801</v>
      </c>
      <c r="D20" t="s">
        <v>17</v>
      </c>
      <c r="E20" s="1">
        <v>1049.75</v>
      </c>
      <c r="F20">
        <v>20131218</v>
      </c>
      <c r="G20" t="s">
        <v>14</v>
      </c>
      <c r="I20" t="s">
        <v>15</v>
      </c>
    </row>
    <row r="21" spans="1:9" x14ac:dyDescent="0.25">
      <c r="A21">
        <v>20140114</v>
      </c>
      <c r="B21" t="str">
        <f>"000014"</f>
        <v>000014</v>
      </c>
      <c r="C21" t="str">
        <f>"79800"</f>
        <v>79800</v>
      </c>
      <c r="D21" t="s">
        <v>13</v>
      </c>
      <c r="E21" s="1">
        <v>1299</v>
      </c>
      <c r="F21">
        <v>20140114</v>
      </c>
      <c r="G21" t="s">
        <v>14</v>
      </c>
      <c r="I21" t="s">
        <v>15</v>
      </c>
    </row>
    <row r="22" spans="1:9" x14ac:dyDescent="0.25">
      <c r="A22">
        <v>20140114</v>
      </c>
      <c r="B22" t="str">
        <f>"000015"</f>
        <v>000015</v>
      </c>
      <c r="C22" t="str">
        <f>"79800"</f>
        <v>79800</v>
      </c>
      <c r="D22" t="s">
        <v>13</v>
      </c>
      <c r="E22">
        <v>338.68</v>
      </c>
      <c r="F22">
        <v>20140114</v>
      </c>
      <c r="G22" t="s">
        <v>14</v>
      </c>
      <c r="I22" t="s">
        <v>15</v>
      </c>
    </row>
    <row r="23" spans="1:9" x14ac:dyDescent="0.25">
      <c r="A23">
        <v>20140124</v>
      </c>
      <c r="B23" t="str">
        <f>"000016"</f>
        <v>000016</v>
      </c>
      <c r="C23" t="str">
        <f>"79800"</f>
        <v>79800</v>
      </c>
      <c r="D23" t="s">
        <v>13</v>
      </c>
      <c r="E23">
        <v>530.95000000000005</v>
      </c>
      <c r="F23">
        <v>20140122</v>
      </c>
      <c r="G23" t="s">
        <v>14</v>
      </c>
      <c r="I23" t="s">
        <v>15</v>
      </c>
    </row>
    <row r="24" spans="1:9" x14ac:dyDescent="0.25">
      <c r="A24">
        <v>20140218</v>
      </c>
      <c r="B24" t="str">
        <f>"000017"</f>
        <v>000017</v>
      </c>
      <c r="C24" t="str">
        <f>"79801"</f>
        <v>79801</v>
      </c>
      <c r="D24" t="s">
        <v>17</v>
      </c>
      <c r="E24" s="1">
        <v>3037</v>
      </c>
      <c r="F24">
        <v>20140220</v>
      </c>
      <c r="G24" t="s">
        <v>14</v>
      </c>
      <c r="I24" t="s">
        <v>15</v>
      </c>
    </row>
    <row r="25" spans="1:9" x14ac:dyDescent="0.25">
      <c r="A25">
        <v>20140221</v>
      </c>
      <c r="B25" t="str">
        <f>"000018"</f>
        <v>000018</v>
      </c>
      <c r="C25" t="str">
        <f>"79801"</f>
        <v>79801</v>
      </c>
      <c r="D25" t="s">
        <v>17</v>
      </c>
      <c r="E25">
        <v>329.71</v>
      </c>
      <c r="F25">
        <v>20140220</v>
      </c>
      <c r="G25" t="s">
        <v>14</v>
      </c>
      <c r="I25" t="s">
        <v>15</v>
      </c>
    </row>
    <row r="26" spans="1:9" x14ac:dyDescent="0.25">
      <c r="A26">
        <v>20140124</v>
      </c>
      <c r="B26" t="str">
        <f>"000019"</f>
        <v>000019</v>
      </c>
      <c r="C26" t="str">
        <f>"83327"</f>
        <v>83327</v>
      </c>
      <c r="D26" t="s">
        <v>18</v>
      </c>
      <c r="E26" s="1">
        <v>361202.48</v>
      </c>
      <c r="F26">
        <v>20140124</v>
      </c>
      <c r="G26" t="s">
        <v>19</v>
      </c>
      <c r="H26" t="s">
        <v>20</v>
      </c>
      <c r="I26" t="s">
        <v>21</v>
      </c>
    </row>
    <row r="27" spans="1:9" x14ac:dyDescent="0.25">
      <c r="A27">
        <v>20140304</v>
      </c>
      <c r="B27" t="str">
        <f>"000019"</f>
        <v>000019</v>
      </c>
      <c r="C27" t="str">
        <f>"79801"</f>
        <v>79801</v>
      </c>
      <c r="D27" t="s">
        <v>17</v>
      </c>
      <c r="E27">
        <v>310.89999999999998</v>
      </c>
      <c r="F27">
        <v>20140306</v>
      </c>
      <c r="G27" t="s">
        <v>14</v>
      </c>
      <c r="I27" t="s">
        <v>15</v>
      </c>
    </row>
    <row r="28" spans="1:9" x14ac:dyDescent="0.25">
      <c r="A28">
        <v>20140319</v>
      </c>
      <c r="B28" t="str">
        <f>"000020"</f>
        <v>000020</v>
      </c>
      <c r="C28" t="str">
        <f>"79801"</f>
        <v>79801</v>
      </c>
      <c r="D28" t="s">
        <v>17</v>
      </c>
      <c r="E28" s="1">
        <v>2163</v>
      </c>
      <c r="F28">
        <v>20140317</v>
      </c>
      <c r="G28" t="s">
        <v>14</v>
      </c>
      <c r="I28" t="s">
        <v>15</v>
      </c>
    </row>
    <row r="29" spans="1:9" x14ac:dyDescent="0.25">
      <c r="A29">
        <v>20140321</v>
      </c>
      <c r="B29" t="str">
        <f>"000021"</f>
        <v>000021</v>
      </c>
      <c r="C29" t="str">
        <f>"79801"</f>
        <v>79801</v>
      </c>
      <c r="D29" t="s">
        <v>17</v>
      </c>
      <c r="E29" s="1">
        <v>1930</v>
      </c>
      <c r="F29">
        <v>20140319</v>
      </c>
      <c r="G29" t="s">
        <v>14</v>
      </c>
      <c r="I29" t="s">
        <v>15</v>
      </c>
    </row>
    <row r="30" spans="1:9" x14ac:dyDescent="0.25">
      <c r="A30">
        <v>20140415</v>
      </c>
      <c r="B30" t="str">
        <f>"000022"</f>
        <v>000022</v>
      </c>
      <c r="C30" t="str">
        <f>"79800"</f>
        <v>79800</v>
      </c>
      <c r="D30" t="s">
        <v>13</v>
      </c>
      <c r="E30" s="1">
        <v>2405</v>
      </c>
      <c r="F30">
        <v>20140411</v>
      </c>
      <c r="G30" t="s">
        <v>14</v>
      </c>
      <c r="I30" t="s">
        <v>15</v>
      </c>
    </row>
    <row r="31" spans="1:9" x14ac:dyDescent="0.25">
      <c r="A31">
        <v>20140418</v>
      </c>
      <c r="B31" t="str">
        <f>"000023"</f>
        <v>000023</v>
      </c>
      <c r="C31" t="str">
        <f>"79800"</f>
        <v>79800</v>
      </c>
      <c r="D31" t="s">
        <v>13</v>
      </c>
      <c r="E31">
        <v>525</v>
      </c>
      <c r="F31">
        <v>20140416</v>
      </c>
      <c r="G31" t="s">
        <v>14</v>
      </c>
      <c r="I31" t="s">
        <v>15</v>
      </c>
    </row>
    <row r="32" spans="1:9" x14ac:dyDescent="0.25">
      <c r="A32">
        <v>20140513</v>
      </c>
      <c r="B32" t="str">
        <f>"000024"</f>
        <v>000024</v>
      </c>
      <c r="C32" t="str">
        <f>"79800"</f>
        <v>79800</v>
      </c>
      <c r="D32" t="s">
        <v>13</v>
      </c>
      <c r="E32">
        <v>29.72</v>
      </c>
      <c r="F32">
        <v>20140508</v>
      </c>
      <c r="G32" t="s">
        <v>14</v>
      </c>
      <c r="I32" t="s">
        <v>15</v>
      </c>
    </row>
    <row r="33" spans="1:9" x14ac:dyDescent="0.25">
      <c r="A33">
        <v>20140515</v>
      </c>
      <c r="B33" t="str">
        <f>"000025"</f>
        <v>000025</v>
      </c>
      <c r="C33" t="str">
        <f>"79800"</f>
        <v>79800</v>
      </c>
      <c r="D33" t="s">
        <v>13</v>
      </c>
      <c r="E33" s="1">
        <v>2100</v>
      </c>
      <c r="F33">
        <v>20140512</v>
      </c>
      <c r="G33" t="s">
        <v>14</v>
      </c>
      <c r="I33" t="s">
        <v>15</v>
      </c>
    </row>
    <row r="34" spans="1:9" x14ac:dyDescent="0.25">
      <c r="A34">
        <v>20140529</v>
      </c>
      <c r="B34" t="str">
        <f>"000026"</f>
        <v>000026</v>
      </c>
      <c r="C34" t="str">
        <f>"79800"</f>
        <v>79800</v>
      </c>
      <c r="D34" t="s">
        <v>13</v>
      </c>
      <c r="E34" s="1">
        <v>1052.49</v>
      </c>
      <c r="F34">
        <v>20140520</v>
      </c>
      <c r="G34" t="s">
        <v>14</v>
      </c>
      <c r="I34" t="s">
        <v>15</v>
      </c>
    </row>
    <row r="35" spans="1:9" x14ac:dyDescent="0.25">
      <c r="A35">
        <v>20140715</v>
      </c>
      <c r="B35" t="str">
        <f>"000027"</f>
        <v>000027</v>
      </c>
      <c r="C35" t="str">
        <f>"79801"</f>
        <v>79801</v>
      </c>
      <c r="D35" t="s">
        <v>17</v>
      </c>
      <c r="E35" s="1">
        <v>1645</v>
      </c>
      <c r="F35">
        <v>20140715</v>
      </c>
      <c r="G35" t="s">
        <v>14</v>
      </c>
      <c r="I35" t="s">
        <v>15</v>
      </c>
    </row>
    <row r="36" spans="1:9" x14ac:dyDescent="0.25">
      <c r="A36">
        <v>20140718</v>
      </c>
      <c r="B36" t="str">
        <f>"000028"</f>
        <v>000028</v>
      </c>
      <c r="C36" t="str">
        <f>"79801"</f>
        <v>79801</v>
      </c>
      <c r="D36" t="s">
        <v>17</v>
      </c>
      <c r="E36">
        <v>820.02</v>
      </c>
      <c r="F36">
        <v>20140716</v>
      </c>
      <c r="G36" t="s">
        <v>14</v>
      </c>
      <c r="I36" t="s">
        <v>15</v>
      </c>
    </row>
    <row r="37" spans="1:9" x14ac:dyDescent="0.25">
      <c r="A37">
        <v>20140814</v>
      </c>
      <c r="B37" t="str">
        <f>"000029"</f>
        <v>000029</v>
      </c>
      <c r="C37" t="str">
        <f>"79801"</f>
        <v>79801</v>
      </c>
      <c r="D37" t="s">
        <v>17</v>
      </c>
      <c r="E37" s="1">
        <v>1491</v>
      </c>
      <c r="F37">
        <v>20140812</v>
      </c>
      <c r="G37" t="s">
        <v>14</v>
      </c>
      <c r="I37" t="s">
        <v>15</v>
      </c>
    </row>
    <row r="38" spans="1:9" x14ac:dyDescent="0.25">
      <c r="A38">
        <v>20140822</v>
      </c>
      <c r="B38" t="str">
        <f>"000030"</f>
        <v>000030</v>
      </c>
      <c r="C38" t="str">
        <f>"79801"</f>
        <v>79801</v>
      </c>
      <c r="D38" t="s">
        <v>17</v>
      </c>
      <c r="E38">
        <v>300</v>
      </c>
      <c r="F38">
        <v>20140821</v>
      </c>
      <c r="G38" t="s">
        <v>14</v>
      </c>
      <c r="I38" t="s">
        <v>15</v>
      </c>
    </row>
    <row r="39" spans="1:9" x14ac:dyDescent="0.25">
      <c r="A39">
        <v>20140425</v>
      </c>
      <c r="B39" t="str">
        <f>"000042"</f>
        <v>000042</v>
      </c>
      <c r="C39" t="str">
        <f>"00362"</f>
        <v>00362</v>
      </c>
      <c r="D39" t="s">
        <v>22</v>
      </c>
      <c r="E39">
        <v>195</v>
      </c>
      <c r="F39">
        <v>20140425</v>
      </c>
      <c r="G39" t="s">
        <v>23</v>
      </c>
      <c r="H39" t="s">
        <v>24</v>
      </c>
      <c r="I39" t="s">
        <v>25</v>
      </c>
    </row>
    <row r="40" spans="1:9" x14ac:dyDescent="0.25">
      <c r="A40">
        <v>20140709</v>
      </c>
      <c r="B40" t="str">
        <f>"000070"</f>
        <v>000070</v>
      </c>
      <c r="C40" t="str">
        <f>"00137"</f>
        <v>00137</v>
      </c>
      <c r="D40" t="s">
        <v>26</v>
      </c>
      <c r="E40">
        <v>861.2</v>
      </c>
      <c r="F40">
        <v>20140709</v>
      </c>
      <c r="G40" t="s">
        <v>27</v>
      </c>
      <c r="H40" t="s">
        <v>28</v>
      </c>
      <c r="I40" t="s">
        <v>29</v>
      </c>
    </row>
    <row r="41" spans="1:9" x14ac:dyDescent="0.25">
      <c r="A41">
        <v>20140110</v>
      </c>
      <c r="B41" t="str">
        <f>"000101"</f>
        <v>000101</v>
      </c>
      <c r="C41" t="str">
        <f>"83327"</f>
        <v>83327</v>
      </c>
      <c r="D41" t="s">
        <v>18</v>
      </c>
      <c r="E41" s="1">
        <v>476482.41</v>
      </c>
      <c r="F41">
        <v>20140110</v>
      </c>
      <c r="G41" t="s">
        <v>19</v>
      </c>
      <c r="H41" t="s">
        <v>30</v>
      </c>
      <c r="I41" t="s">
        <v>21</v>
      </c>
    </row>
    <row r="42" spans="1:9" x14ac:dyDescent="0.25">
      <c r="A42">
        <v>20140114</v>
      </c>
      <c r="B42" t="str">
        <f>"000102"</f>
        <v>000102</v>
      </c>
      <c r="C42" t="str">
        <f>"00362"</f>
        <v>00362</v>
      </c>
      <c r="D42" t="s">
        <v>22</v>
      </c>
      <c r="E42">
        <v>64.709999999999994</v>
      </c>
      <c r="F42">
        <v>20140114</v>
      </c>
      <c r="G42" t="s">
        <v>31</v>
      </c>
      <c r="I42" t="s">
        <v>29</v>
      </c>
    </row>
    <row r="43" spans="1:9" x14ac:dyDescent="0.25">
      <c r="A43">
        <v>20140114</v>
      </c>
      <c r="B43" t="str">
        <f>"000102"</f>
        <v>000102</v>
      </c>
      <c r="C43" t="str">
        <f>"00362"</f>
        <v>00362</v>
      </c>
      <c r="D43" t="s">
        <v>22</v>
      </c>
      <c r="E43">
        <v>203.91</v>
      </c>
      <c r="F43">
        <v>20140114</v>
      </c>
      <c r="G43" t="s">
        <v>32</v>
      </c>
      <c r="I43" t="s">
        <v>33</v>
      </c>
    </row>
    <row r="44" spans="1:9" x14ac:dyDescent="0.25">
      <c r="A44">
        <v>20140114</v>
      </c>
      <c r="B44" t="str">
        <f>"000103"</f>
        <v>000103</v>
      </c>
      <c r="C44" t="str">
        <f>"00362"</f>
        <v>00362</v>
      </c>
      <c r="D44" t="s">
        <v>22</v>
      </c>
      <c r="E44" s="1">
        <v>4282.6099999999997</v>
      </c>
      <c r="F44">
        <v>20140114</v>
      </c>
      <c r="G44" t="s">
        <v>34</v>
      </c>
      <c r="I44" t="s">
        <v>29</v>
      </c>
    </row>
    <row r="45" spans="1:9" x14ac:dyDescent="0.25">
      <c r="A45">
        <v>20140114</v>
      </c>
      <c r="B45" t="str">
        <f>"000104"</f>
        <v>000104</v>
      </c>
      <c r="C45" t="str">
        <f>"21950"</f>
        <v>21950</v>
      </c>
      <c r="D45" t="s">
        <v>35</v>
      </c>
      <c r="E45">
        <v>159.38</v>
      </c>
      <c r="F45">
        <v>20140114</v>
      </c>
      <c r="G45" t="s">
        <v>36</v>
      </c>
      <c r="H45" t="s">
        <v>37</v>
      </c>
      <c r="I45" t="s">
        <v>38</v>
      </c>
    </row>
    <row r="46" spans="1:9" x14ac:dyDescent="0.25">
      <c r="A46">
        <v>20140114</v>
      </c>
      <c r="B46" t="str">
        <f>"000105"</f>
        <v>000105</v>
      </c>
      <c r="C46" t="str">
        <f>"21950"</f>
        <v>21950</v>
      </c>
      <c r="D46" t="s">
        <v>35</v>
      </c>
      <c r="E46">
        <v>10.1</v>
      </c>
      <c r="F46">
        <v>20140114</v>
      </c>
      <c r="G46" t="s">
        <v>39</v>
      </c>
      <c r="H46" t="s">
        <v>40</v>
      </c>
      <c r="I46" t="s">
        <v>38</v>
      </c>
    </row>
    <row r="47" spans="1:9" x14ac:dyDescent="0.25">
      <c r="A47">
        <v>20140114</v>
      </c>
      <c r="B47" t="str">
        <f>"000106"</f>
        <v>000106</v>
      </c>
      <c r="C47" t="str">
        <f>"00362"</f>
        <v>00362</v>
      </c>
      <c r="D47" t="s">
        <v>22</v>
      </c>
      <c r="E47">
        <v>325</v>
      </c>
      <c r="F47">
        <v>20140114</v>
      </c>
      <c r="G47" t="s">
        <v>41</v>
      </c>
      <c r="H47" t="s">
        <v>42</v>
      </c>
      <c r="I47" t="s">
        <v>38</v>
      </c>
    </row>
    <row r="48" spans="1:9" x14ac:dyDescent="0.25">
      <c r="A48">
        <v>20140108</v>
      </c>
      <c r="B48" t="str">
        <f>"000110"</f>
        <v>000110</v>
      </c>
      <c r="C48" t="str">
        <f>"99998"</f>
        <v>99998</v>
      </c>
      <c r="D48" t="s">
        <v>9</v>
      </c>
      <c r="E48">
        <v>54</v>
      </c>
      <c r="F48">
        <v>20140114</v>
      </c>
      <c r="G48" t="s">
        <v>43</v>
      </c>
      <c r="H48" t="s">
        <v>44</v>
      </c>
      <c r="I48" t="s">
        <v>38</v>
      </c>
    </row>
    <row r="49" spans="1:9" x14ac:dyDescent="0.25">
      <c r="A49">
        <v>20140114</v>
      </c>
      <c r="B49" t="str">
        <f>"000110"</f>
        <v>000110</v>
      </c>
      <c r="C49" t="str">
        <f>"99998"</f>
        <v>99998</v>
      </c>
      <c r="D49" t="s">
        <v>9</v>
      </c>
      <c r="E49">
        <v>52</v>
      </c>
      <c r="F49">
        <v>20140122</v>
      </c>
      <c r="G49" t="s">
        <v>45</v>
      </c>
      <c r="H49" t="s">
        <v>46</v>
      </c>
      <c r="I49" t="s">
        <v>25</v>
      </c>
    </row>
    <row r="50" spans="1:9" x14ac:dyDescent="0.25">
      <c r="A50">
        <v>20140114</v>
      </c>
      <c r="B50" t="str">
        <f>"000110"</f>
        <v>000110</v>
      </c>
      <c r="C50" t="str">
        <f>"99998"</f>
        <v>99998</v>
      </c>
      <c r="D50" t="s">
        <v>9</v>
      </c>
      <c r="E50">
        <v>60</v>
      </c>
      <c r="F50">
        <v>20140122</v>
      </c>
      <c r="G50" t="s">
        <v>45</v>
      </c>
      <c r="H50" t="s">
        <v>47</v>
      </c>
      <c r="I50" t="s">
        <v>25</v>
      </c>
    </row>
    <row r="51" spans="1:9" x14ac:dyDescent="0.25">
      <c r="A51">
        <v>20140117</v>
      </c>
      <c r="B51" t="str">
        <f>"000110"</f>
        <v>000110</v>
      </c>
      <c r="C51" t="str">
        <f>"99998"</f>
        <v>99998</v>
      </c>
      <c r="D51" t="s">
        <v>9</v>
      </c>
      <c r="E51">
        <v>288</v>
      </c>
      <c r="F51">
        <v>20140124</v>
      </c>
      <c r="G51" t="s">
        <v>48</v>
      </c>
      <c r="H51" t="s">
        <v>49</v>
      </c>
      <c r="I51" t="s">
        <v>25</v>
      </c>
    </row>
    <row r="52" spans="1:9" x14ac:dyDescent="0.25">
      <c r="A52">
        <v>20140128</v>
      </c>
      <c r="B52" t="str">
        <f>"000110"</f>
        <v>000110</v>
      </c>
      <c r="C52" t="str">
        <f>"99998"</f>
        <v>99998</v>
      </c>
      <c r="D52" t="s">
        <v>9</v>
      </c>
      <c r="E52">
        <v>30</v>
      </c>
      <c r="F52">
        <v>20140203</v>
      </c>
      <c r="G52" t="s">
        <v>50</v>
      </c>
      <c r="H52" t="s">
        <v>51</v>
      </c>
      <c r="I52" t="s">
        <v>38</v>
      </c>
    </row>
    <row r="53" spans="1:9" x14ac:dyDescent="0.25">
      <c r="A53">
        <v>20140113</v>
      </c>
      <c r="B53" t="str">
        <f>"000111"</f>
        <v>000111</v>
      </c>
      <c r="C53" t="str">
        <f>"55555"</f>
        <v>55555</v>
      </c>
      <c r="D53" t="s">
        <v>52</v>
      </c>
      <c r="E53" s="1">
        <v>299475.15999999997</v>
      </c>
      <c r="F53">
        <v>20140114</v>
      </c>
      <c r="G53" t="s">
        <v>53</v>
      </c>
      <c r="H53" t="s">
        <v>54</v>
      </c>
      <c r="I53" t="s">
        <v>21</v>
      </c>
    </row>
    <row r="54" spans="1:9" x14ac:dyDescent="0.25">
      <c r="A54">
        <v>20140110</v>
      </c>
      <c r="B54" t="str">
        <f>"000113"</f>
        <v>000113</v>
      </c>
      <c r="C54" t="str">
        <f t="shared" ref="C54:C59" si="1">"73700"</f>
        <v>73700</v>
      </c>
      <c r="D54" t="s">
        <v>55</v>
      </c>
      <c r="E54" s="1">
        <v>1000000</v>
      </c>
      <c r="F54">
        <v>20140114</v>
      </c>
      <c r="G54" t="s">
        <v>56</v>
      </c>
      <c r="I54" t="s">
        <v>21</v>
      </c>
    </row>
    <row r="55" spans="1:9" x14ac:dyDescent="0.25">
      <c r="A55">
        <v>20140107</v>
      </c>
      <c r="B55" t="str">
        <f>"000114"</f>
        <v>000114</v>
      </c>
      <c r="C55" t="str">
        <f t="shared" si="1"/>
        <v>73700</v>
      </c>
      <c r="D55" t="s">
        <v>55</v>
      </c>
      <c r="E55" s="1">
        <v>333848</v>
      </c>
      <c r="F55">
        <v>20140114</v>
      </c>
      <c r="G55" t="s">
        <v>57</v>
      </c>
      <c r="I55" t="s">
        <v>58</v>
      </c>
    </row>
    <row r="56" spans="1:9" x14ac:dyDescent="0.25">
      <c r="A56">
        <v>20140114</v>
      </c>
      <c r="B56" t="str">
        <f>"000114"</f>
        <v>000114</v>
      </c>
      <c r="C56" t="str">
        <f t="shared" si="1"/>
        <v>73700</v>
      </c>
      <c r="D56" t="s">
        <v>55</v>
      </c>
      <c r="E56" s="1">
        <v>475750</v>
      </c>
      <c r="F56">
        <v>20140114</v>
      </c>
      <c r="G56" t="s">
        <v>57</v>
      </c>
      <c r="I56" t="s">
        <v>58</v>
      </c>
    </row>
    <row r="57" spans="1:9" x14ac:dyDescent="0.25">
      <c r="A57">
        <v>20140116</v>
      </c>
      <c r="B57" t="str">
        <f>"000115"</f>
        <v>000115</v>
      </c>
      <c r="C57" t="str">
        <f t="shared" si="1"/>
        <v>73700</v>
      </c>
      <c r="D57" t="s">
        <v>55</v>
      </c>
      <c r="E57" s="1">
        <v>1000000</v>
      </c>
      <c r="F57">
        <v>20140116</v>
      </c>
      <c r="G57" t="s">
        <v>56</v>
      </c>
      <c r="I57" t="s">
        <v>21</v>
      </c>
    </row>
    <row r="58" spans="1:9" x14ac:dyDescent="0.25">
      <c r="A58">
        <v>20140127</v>
      </c>
      <c r="B58" t="str">
        <f>"000116"</f>
        <v>000116</v>
      </c>
      <c r="C58" t="str">
        <f t="shared" si="1"/>
        <v>73700</v>
      </c>
      <c r="D58" t="s">
        <v>55</v>
      </c>
      <c r="E58" s="1">
        <v>362658</v>
      </c>
      <c r="F58">
        <v>20140124</v>
      </c>
      <c r="G58" t="s">
        <v>57</v>
      </c>
      <c r="I58" t="s">
        <v>58</v>
      </c>
    </row>
    <row r="59" spans="1:9" x14ac:dyDescent="0.25">
      <c r="A59">
        <v>20140127</v>
      </c>
      <c r="B59" t="str">
        <f>"000117"</f>
        <v>000117</v>
      </c>
      <c r="C59" t="str">
        <f t="shared" si="1"/>
        <v>73700</v>
      </c>
      <c r="D59" t="s">
        <v>55</v>
      </c>
      <c r="E59" s="1">
        <v>140000</v>
      </c>
      <c r="F59">
        <v>20140124</v>
      </c>
      <c r="G59" t="s">
        <v>59</v>
      </c>
      <c r="I59" t="s">
        <v>12</v>
      </c>
    </row>
    <row r="60" spans="1:9" x14ac:dyDescent="0.25">
      <c r="A60">
        <v>20140122</v>
      </c>
      <c r="B60" t="str">
        <f t="shared" ref="B60:B70" si="2">"000122"</f>
        <v>000122</v>
      </c>
      <c r="C60" t="str">
        <f t="shared" ref="C60:C70" si="3">"79801"</f>
        <v>79801</v>
      </c>
      <c r="D60" t="s">
        <v>17</v>
      </c>
      <c r="E60">
        <v>18.27</v>
      </c>
      <c r="F60">
        <v>20140122</v>
      </c>
      <c r="G60" t="s">
        <v>60</v>
      </c>
      <c r="I60" t="s">
        <v>61</v>
      </c>
    </row>
    <row r="61" spans="1:9" x14ac:dyDescent="0.25">
      <c r="A61">
        <v>20140122</v>
      </c>
      <c r="B61" t="str">
        <f t="shared" si="2"/>
        <v>000122</v>
      </c>
      <c r="C61" t="str">
        <f t="shared" si="3"/>
        <v>79801</v>
      </c>
      <c r="D61" t="s">
        <v>17</v>
      </c>
      <c r="E61">
        <v>39.200000000000003</v>
      </c>
      <c r="F61">
        <v>20140122</v>
      </c>
      <c r="G61" t="s">
        <v>62</v>
      </c>
      <c r="I61" t="s">
        <v>63</v>
      </c>
    </row>
    <row r="62" spans="1:9" x14ac:dyDescent="0.25">
      <c r="A62">
        <v>20140122</v>
      </c>
      <c r="B62" t="str">
        <f t="shared" si="2"/>
        <v>000122</v>
      </c>
      <c r="C62" t="str">
        <f t="shared" si="3"/>
        <v>79801</v>
      </c>
      <c r="D62" t="s">
        <v>17</v>
      </c>
      <c r="E62" s="1">
        <v>23749.72</v>
      </c>
      <c r="F62">
        <v>20140122</v>
      </c>
      <c r="G62" t="s">
        <v>64</v>
      </c>
      <c r="I62" t="s">
        <v>21</v>
      </c>
    </row>
    <row r="63" spans="1:9" x14ac:dyDescent="0.25">
      <c r="A63">
        <v>20140122</v>
      </c>
      <c r="B63" t="str">
        <f t="shared" si="2"/>
        <v>000122</v>
      </c>
      <c r="C63" t="str">
        <f t="shared" si="3"/>
        <v>79801</v>
      </c>
      <c r="D63" t="s">
        <v>17</v>
      </c>
      <c r="E63" s="1">
        <v>1180.56</v>
      </c>
      <c r="F63">
        <v>20140122</v>
      </c>
      <c r="G63" t="s">
        <v>65</v>
      </c>
      <c r="I63" t="s">
        <v>66</v>
      </c>
    </row>
    <row r="64" spans="1:9" x14ac:dyDescent="0.25">
      <c r="A64">
        <v>20140122</v>
      </c>
      <c r="B64" t="str">
        <f t="shared" si="2"/>
        <v>000122</v>
      </c>
      <c r="C64" t="str">
        <f t="shared" si="3"/>
        <v>79801</v>
      </c>
      <c r="D64" t="s">
        <v>17</v>
      </c>
      <c r="E64">
        <v>558.91999999999996</v>
      </c>
      <c r="F64">
        <v>20140122</v>
      </c>
      <c r="G64" t="s">
        <v>67</v>
      </c>
      <c r="I64" t="s">
        <v>68</v>
      </c>
    </row>
    <row r="65" spans="1:9" x14ac:dyDescent="0.25">
      <c r="A65">
        <v>20140122</v>
      </c>
      <c r="B65" t="str">
        <f t="shared" si="2"/>
        <v>000122</v>
      </c>
      <c r="C65" t="str">
        <f t="shared" si="3"/>
        <v>79801</v>
      </c>
      <c r="D65" t="s">
        <v>17</v>
      </c>
      <c r="E65">
        <v>931.97</v>
      </c>
      <c r="F65">
        <v>20140122</v>
      </c>
      <c r="G65" t="s">
        <v>69</v>
      </c>
      <c r="I65" t="s">
        <v>12</v>
      </c>
    </row>
    <row r="66" spans="1:9" x14ac:dyDescent="0.25">
      <c r="A66">
        <v>20140122</v>
      </c>
      <c r="B66" t="str">
        <f t="shared" si="2"/>
        <v>000122</v>
      </c>
      <c r="C66" t="str">
        <f t="shared" si="3"/>
        <v>79801</v>
      </c>
      <c r="D66" t="s">
        <v>17</v>
      </c>
      <c r="E66">
        <v>80.510000000000005</v>
      </c>
      <c r="F66">
        <v>20140122</v>
      </c>
      <c r="G66" t="s">
        <v>70</v>
      </c>
      <c r="I66" t="s">
        <v>71</v>
      </c>
    </row>
    <row r="67" spans="1:9" x14ac:dyDescent="0.25">
      <c r="A67">
        <v>20140122</v>
      </c>
      <c r="B67" t="str">
        <f t="shared" si="2"/>
        <v>000122</v>
      </c>
      <c r="C67" t="str">
        <f t="shared" si="3"/>
        <v>79801</v>
      </c>
      <c r="D67" t="s">
        <v>17</v>
      </c>
      <c r="E67">
        <v>119.55</v>
      </c>
      <c r="F67">
        <v>20140122</v>
      </c>
      <c r="G67" t="s">
        <v>72</v>
      </c>
      <c r="I67" t="s">
        <v>73</v>
      </c>
    </row>
    <row r="68" spans="1:9" x14ac:dyDescent="0.25">
      <c r="A68">
        <v>20140122</v>
      </c>
      <c r="B68" t="str">
        <f t="shared" si="2"/>
        <v>000122</v>
      </c>
      <c r="C68" t="str">
        <f t="shared" si="3"/>
        <v>79801</v>
      </c>
      <c r="D68" t="s">
        <v>17</v>
      </c>
      <c r="E68">
        <v>12.5</v>
      </c>
      <c r="F68">
        <v>20140122</v>
      </c>
      <c r="G68" t="s">
        <v>74</v>
      </c>
      <c r="I68" t="s">
        <v>75</v>
      </c>
    </row>
    <row r="69" spans="1:9" x14ac:dyDescent="0.25">
      <c r="A69">
        <v>20140122</v>
      </c>
      <c r="B69" t="str">
        <f t="shared" si="2"/>
        <v>000122</v>
      </c>
      <c r="C69" t="str">
        <f t="shared" si="3"/>
        <v>79801</v>
      </c>
      <c r="D69" t="s">
        <v>17</v>
      </c>
      <c r="E69">
        <v>11.88</v>
      </c>
      <c r="F69">
        <v>20140122</v>
      </c>
      <c r="G69" t="s">
        <v>76</v>
      </c>
      <c r="I69" t="s">
        <v>77</v>
      </c>
    </row>
    <row r="70" spans="1:9" x14ac:dyDescent="0.25">
      <c r="A70">
        <v>20140122</v>
      </c>
      <c r="B70" t="str">
        <f t="shared" si="2"/>
        <v>000122</v>
      </c>
      <c r="C70" t="str">
        <f t="shared" si="3"/>
        <v>79801</v>
      </c>
      <c r="D70" t="s">
        <v>17</v>
      </c>
      <c r="E70">
        <v>480.43</v>
      </c>
      <c r="F70">
        <v>20140122</v>
      </c>
      <c r="G70" t="s">
        <v>78</v>
      </c>
      <c r="I70" t="s">
        <v>79</v>
      </c>
    </row>
    <row r="71" spans="1:9" x14ac:dyDescent="0.25">
      <c r="A71">
        <v>20140124</v>
      </c>
      <c r="B71" t="str">
        <f t="shared" ref="B71:B82" si="4">"000124"</f>
        <v>000124</v>
      </c>
      <c r="C71" t="str">
        <f t="shared" ref="C71:C84" si="5">"55555"</f>
        <v>55555</v>
      </c>
      <c r="D71" t="s">
        <v>52</v>
      </c>
      <c r="E71" s="1">
        <v>1995.15</v>
      </c>
      <c r="F71">
        <v>20140122</v>
      </c>
      <c r="G71" t="s">
        <v>80</v>
      </c>
      <c r="I71" t="s">
        <v>61</v>
      </c>
    </row>
    <row r="72" spans="1:9" x14ac:dyDescent="0.25">
      <c r="A72">
        <v>20140124</v>
      </c>
      <c r="B72" t="str">
        <f t="shared" si="4"/>
        <v>000124</v>
      </c>
      <c r="C72" t="str">
        <f t="shared" si="5"/>
        <v>55555</v>
      </c>
      <c r="D72" t="s">
        <v>52</v>
      </c>
      <c r="E72" s="1">
        <v>4294.04</v>
      </c>
      <c r="F72">
        <v>20140122</v>
      </c>
      <c r="G72" t="s">
        <v>81</v>
      </c>
      <c r="I72" t="s">
        <v>63</v>
      </c>
    </row>
    <row r="73" spans="1:9" x14ac:dyDescent="0.25">
      <c r="A73">
        <v>20140124</v>
      </c>
      <c r="B73" t="str">
        <f t="shared" si="4"/>
        <v>000124</v>
      </c>
      <c r="C73" t="str">
        <f t="shared" si="5"/>
        <v>55555</v>
      </c>
      <c r="D73" t="s">
        <v>52</v>
      </c>
      <c r="E73" s="1">
        <v>1507272</v>
      </c>
      <c r="F73">
        <v>20140122</v>
      </c>
      <c r="G73" t="s">
        <v>53</v>
      </c>
      <c r="I73" t="s">
        <v>21</v>
      </c>
    </row>
    <row r="74" spans="1:9" x14ac:dyDescent="0.25">
      <c r="A74">
        <v>20140124</v>
      </c>
      <c r="B74" t="str">
        <f t="shared" si="4"/>
        <v>000124</v>
      </c>
      <c r="C74" t="str">
        <f t="shared" si="5"/>
        <v>55555</v>
      </c>
      <c r="D74" t="s">
        <v>52</v>
      </c>
      <c r="E74">
        <v>0.52</v>
      </c>
      <c r="F74">
        <v>20140122</v>
      </c>
      <c r="G74" t="s">
        <v>53</v>
      </c>
      <c r="I74" t="s">
        <v>21</v>
      </c>
    </row>
    <row r="75" spans="1:9" x14ac:dyDescent="0.25">
      <c r="A75">
        <v>20140124</v>
      </c>
      <c r="B75" t="str">
        <f t="shared" si="4"/>
        <v>000124</v>
      </c>
      <c r="C75" t="str">
        <f t="shared" si="5"/>
        <v>55555</v>
      </c>
      <c r="D75" t="s">
        <v>52</v>
      </c>
      <c r="E75" s="1">
        <v>128535.17</v>
      </c>
      <c r="F75">
        <v>20140122</v>
      </c>
      <c r="G75" t="s">
        <v>82</v>
      </c>
      <c r="I75" t="s">
        <v>66</v>
      </c>
    </row>
    <row r="76" spans="1:9" x14ac:dyDescent="0.25">
      <c r="A76">
        <v>20140124</v>
      </c>
      <c r="B76" t="str">
        <f t="shared" si="4"/>
        <v>000124</v>
      </c>
      <c r="C76" t="str">
        <f t="shared" si="5"/>
        <v>55555</v>
      </c>
      <c r="D76" t="s">
        <v>52</v>
      </c>
      <c r="E76" s="1">
        <v>75001.899999999994</v>
      </c>
      <c r="F76">
        <v>20140122</v>
      </c>
      <c r="G76" t="s">
        <v>83</v>
      </c>
      <c r="I76" t="s">
        <v>68</v>
      </c>
    </row>
    <row r="77" spans="1:9" x14ac:dyDescent="0.25">
      <c r="A77">
        <v>20140124</v>
      </c>
      <c r="B77" t="str">
        <f t="shared" si="4"/>
        <v>000124</v>
      </c>
      <c r="C77" t="str">
        <f t="shared" si="5"/>
        <v>55555</v>
      </c>
      <c r="D77" t="s">
        <v>52</v>
      </c>
      <c r="E77" s="1">
        <v>104600.65</v>
      </c>
      <c r="F77">
        <v>20140122</v>
      </c>
      <c r="G77" t="s">
        <v>84</v>
      </c>
      <c r="I77" t="s">
        <v>12</v>
      </c>
    </row>
    <row r="78" spans="1:9" x14ac:dyDescent="0.25">
      <c r="A78">
        <v>20140124</v>
      </c>
      <c r="B78" t="str">
        <f t="shared" si="4"/>
        <v>000124</v>
      </c>
      <c r="C78" t="str">
        <f t="shared" si="5"/>
        <v>55555</v>
      </c>
      <c r="D78" t="s">
        <v>52</v>
      </c>
      <c r="E78" s="1">
        <v>8747.98</v>
      </c>
      <c r="F78">
        <v>20140122</v>
      </c>
      <c r="G78" t="s">
        <v>85</v>
      </c>
      <c r="I78" t="s">
        <v>71</v>
      </c>
    </row>
    <row r="79" spans="1:9" x14ac:dyDescent="0.25">
      <c r="A79">
        <v>20140124</v>
      </c>
      <c r="B79" t="str">
        <f t="shared" si="4"/>
        <v>000124</v>
      </c>
      <c r="C79" t="str">
        <f t="shared" si="5"/>
        <v>55555</v>
      </c>
      <c r="D79" t="s">
        <v>52</v>
      </c>
      <c r="E79" s="1">
        <v>13436.41</v>
      </c>
      <c r="F79">
        <v>20140122</v>
      </c>
      <c r="G79" t="s">
        <v>86</v>
      </c>
      <c r="I79" t="s">
        <v>73</v>
      </c>
    </row>
    <row r="80" spans="1:9" x14ac:dyDescent="0.25">
      <c r="A80">
        <v>20140124</v>
      </c>
      <c r="B80" t="str">
        <f t="shared" si="4"/>
        <v>000124</v>
      </c>
      <c r="C80" t="str">
        <f t="shared" si="5"/>
        <v>55555</v>
      </c>
      <c r="D80" t="s">
        <v>52</v>
      </c>
      <c r="E80" s="1">
        <v>1728.77</v>
      </c>
      <c r="F80">
        <v>20140122</v>
      </c>
      <c r="G80" t="s">
        <v>87</v>
      </c>
      <c r="I80" t="s">
        <v>75</v>
      </c>
    </row>
    <row r="81" spans="1:9" x14ac:dyDescent="0.25">
      <c r="A81">
        <v>20140124</v>
      </c>
      <c r="B81" t="str">
        <f t="shared" si="4"/>
        <v>000124</v>
      </c>
      <c r="C81" t="str">
        <f t="shared" si="5"/>
        <v>55555</v>
      </c>
      <c r="D81" t="s">
        <v>52</v>
      </c>
      <c r="E81" s="1">
        <v>1372.51</v>
      </c>
      <c r="F81">
        <v>20140122</v>
      </c>
      <c r="G81" t="s">
        <v>88</v>
      </c>
      <c r="I81" t="s">
        <v>77</v>
      </c>
    </row>
    <row r="82" spans="1:9" x14ac:dyDescent="0.25">
      <c r="A82">
        <v>20140124</v>
      </c>
      <c r="B82" t="str">
        <f t="shared" si="4"/>
        <v>000124</v>
      </c>
      <c r="C82" t="str">
        <f t="shared" si="5"/>
        <v>55555</v>
      </c>
      <c r="D82" t="s">
        <v>52</v>
      </c>
      <c r="E82" s="1">
        <v>46962.239999999998</v>
      </c>
      <c r="F82">
        <v>20140122</v>
      </c>
      <c r="G82" t="s">
        <v>89</v>
      </c>
      <c r="I82" t="s">
        <v>79</v>
      </c>
    </row>
    <row r="83" spans="1:9" x14ac:dyDescent="0.25">
      <c r="A83">
        <v>20140127</v>
      </c>
      <c r="B83" t="str">
        <f>"000125"</f>
        <v>000125</v>
      </c>
      <c r="C83" t="str">
        <f t="shared" si="5"/>
        <v>55555</v>
      </c>
      <c r="D83" t="s">
        <v>52</v>
      </c>
      <c r="E83" s="1">
        <v>750000</v>
      </c>
      <c r="F83">
        <v>20140122</v>
      </c>
      <c r="G83" t="s">
        <v>53</v>
      </c>
      <c r="I83" t="s">
        <v>21</v>
      </c>
    </row>
    <row r="84" spans="1:9" x14ac:dyDescent="0.25">
      <c r="A84">
        <v>20140122</v>
      </c>
      <c r="B84" t="str">
        <f>"000126"</f>
        <v>000126</v>
      </c>
      <c r="C84" t="str">
        <f t="shared" si="5"/>
        <v>55555</v>
      </c>
      <c r="D84" t="s">
        <v>52</v>
      </c>
      <c r="E84">
        <v>0.02</v>
      </c>
      <c r="F84">
        <v>20140122</v>
      </c>
      <c r="G84" t="s">
        <v>27</v>
      </c>
      <c r="I84" t="s">
        <v>29</v>
      </c>
    </row>
    <row r="85" spans="1:9" x14ac:dyDescent="0.25">
      <c r="A85">
        <v>20140127</v>
      </c>
      <c r="B85" t="str">
        <f>"000127"</f>
        <v>000127</v>
      </c>
      <c r="C85" t="str">
        <f>"86801"</f>
        <v>86801</v>
      </c>
      <c r="D85" t="s">
        <v>90</v>
      </c>
      <c r="E85" s="1">
        <v>1000000</v>
      </c>
      <c r="F85">
        <v>20140124</v>
      </c>
      <c r="G85" t="s">
        <v>56</v>
      </c>
      <c r="I85" t="s">
        <v>21</v>
      </c>
    </row>
    <row r="86" spans="1:9" x14ac:dyDescent="0.25">
      <c r="A86">
        <v>20140129</v>
      </c>
      <c r="B86" t="str">
        <f>"000129"</f>
        <v>000129</v>
      </c>
      <c r="C86" t="str">
        <f>"55555"</f>
        <v>55555</v>
      </c>
      <c r="D86" t="s">
        <v>52</v>
      </c>
      <c r="E86" s="1">
        <v>2705.34</v>
      </c>
      <c r="F86">
        <v>20140129</v>
      </c>
      <c r="G86" t="s">
        <v>53</v>
      </c>
      <c r="H86" t="s">
        <v>91</v>
      </c>
      <c r="I86" t="s">
        <v>21</v>
      </c>
    </row>
    <row r="87" spans="1:9" x14ac:dyDescent="0.25">
      <c r="A87">
        <v>20140127</v>
      </c>
      <c r="B87" t="str">
        <f>"000132"</f>
        <v>000132</v>
      </c>
      <c r="C87" t="str">
        <f>"00362"</f>
        <v>00362</v>
      </c>
      <c r="D87" t="s">
        <v>22</v>
      </c>
      <c r="E87">
        <v>298</v>
      </c>
      <c r="F87">
        <v>20140127</v>
      </c>
      <c r="G87" t="s">
        <v>92</v>
      </c>
      <c r="H87" t="s">
        <v>93</v>
      </c>
      <c r="I87" t="s">
        <v>29</v>
      </c>
    </row>
    <row r="88" spans="1:9" x14ac:dyDescent="0.25">
      <c r="A88">
        <v>20140127</v>
      </c>
      <c r="B88" t="str">
        <f>"000133"</f>
        <v>000133</v>
      </c>
      <c r="C88" t="str">
        <f>"00362"</f>
        <v>00362</v>
      </c>
      <c r="D88" t="s">
        <v>22</v>
      </c>
      <c r="E88" s="1">
        <v>1799.6</v>
      </c>
      <c r="F88">
        <v>20140127</v>
      </c>
      <c r="G88" t="s">
        <v>34</v>
      </c>
      <c r="H88" t="s">
        <v>94</v>
      </c>
      <c r="I88" t="s">
        <v>29</v>
      </c>
    </row>
    <row r="89" spans="1:9" x14ac:dyDescent="0.25">
      <c r="A89">
        <v>20140131</v>
      </c>
      <c r="B89" t="str">
        <f>"000140"</f>
        <v>000140</v>
      </c>
      <c r="C89" t="str">
        <f>"00383"</f>
        <v>00383</v>
      </c>
      <c r="D89" t="s">
        <v>12</v>
      </c>
      <c r="E89">
        <v>0.05</v>
      </c>
      <c r="F89">
        <v>20140131</v>
      </c>
      <c r="G89" t="s">
        <v>95</v>
      </c>
      <c r="H89" t="s">
        <v>96</v>
      </c>
      <c r="I89" t="s">
        <v>38</v>
      </c>
    </row>
    <row r="90" spans="1:9" x14ac:dyDescent="0.25">
      <c r="A90">
        <v>20140131</v>
      </c>
      <c r="B90" t="str">
        <f>"000145"</f>
        <v>000145</v>
      </c>
      <c r="C90" t="str">
        <f>"83327"</f>
        <v>83327</v>
      </c>
      <c r="D90" t="s">
        <v>18</v>
      </c>
      <c r="E90" s="1">
        <v>20125.22</v>
      </c>
      <c r="F90">
        <v>20140131</v>
      </c>
      <c r="G90" t="s">
        <v>19</v>
      </c>
      <c r="H90" t="s">
        <v>97</v>
      </c>
      <c r="I90" t="s">
        <v>21</v>
      </c>
    </row>
    <row r="91" spans="1:9" x14ac:dyDescent="0.25">
      <c r="A91">
        <v>20140131</v>
      </c>
      <c r="B91" t="str">
        <f>"000150"</f>
        <v>000150</v>
      </c>
      <c r="C91" t="str">
        <f>"83309"</f>
        <v>83309</v>
      </c>
      <c r="D91" t="s">
        <v>98</v>
      </c>
      <c r="E91">
        <v>173.2</v>
      </c>
      <c r="F91">
        <v>20140131</v>
      </c>
      <c r="G91" t="s">
        <v>99</v>
      </c>
      <c r="H91" t="s">
        <v>100</v>
      </c>
      <c r="I91" t="s">
        <v>21</v>
      </c>
    </row>
    <row r="92" spans="1:9" x14ac:dyDescent="0.25">
      <c r="A92">
        <v>20140131</v>
      </c>
      <c r="B92" t="str">
        <f>"000150"</f>
        <v>000150</v>
      </c>
      <c r="C92" t="str">
        <f>"83309"</f>
        <v>83309</v>
      </c>
      <c r="D92" t="s">
        <v>98</v>
      </c>
      <c r="E92">
        <v>-173.2</v>
      </c>
      <c r="F92">
        <v>20140131</v>
      </c>
      <c r="G92" t="s">
        <v>99</v>
      </c>
      <c r="H92" t="s">
        <v>101</v>
      </c>
      <c r="I92" t="s">
        <v>21</v>
      </c>
    </row>
    <row r="93" spans="1:9" x14ac:dyDescent="0.25">
      <c r="A93">
        <v>20140131</v>
      </c>
      <c r="B93" t="str">
        <f>"000150"</f>
        <v>000150</v>
      </c>
      <c r="C93" t="str">
        <f>"83309"</f>
        <v>83309</v>
      </c>
      <c r="D93" t="s">
        <v>98</v>
      </c>
      <c r="E93">
        <v>6</v>
      </c>
      <c r="F93">
        <v>20140131</v>
      </c>
      <c r="G93" t="s">
        <v>99</v>
      </c>
      <c r="H93" t="s">
        <v>100</v>
      </c>
      <c r="I93" t="s">
        <v>21</v>
      </c>
    </row>
    <row r="94" spans="1:9" x14ac:dyDescent="0.25">
      <c r="A94">
        <v>20140205</v>
      </c>
      <c r="B94" t="str">
        <f>"000201"</f>
        <v>000201</v>
      </c>
      <c r="C94" t="str">
        <f>"00362"</f>
        <v>00362</v>
      </c>
      <c r="D94" t="s">
        <v>22</v>
      </c>
      <c r="E94">
        <v>17.190000000000001</v>
      </c>
      <c r="F94">
        <v>20140205</v>
      </c>
      <c r="G94" t="s">
        <v>31</v>
      </c>
      <c r="I94" t="s">
        <v>29</v>
      </c>
    </row>
    <row r="95" spans="1:9" x14ac:dyDescent="0.25">
      <c r="A95">
        <v>20140205</v>
      </c>
      <c r="B95" t="str">
        <f>"000201"</f>
        <v>000201</v>
      </c>
      <c r="C95" t="str">
        <f>"00362"</f>
        <v>00362</v>
      </c>
      <c r="D95" t="s">
        <v>22</v>
      </c>
      <c r="E95">
        <v>60.27</v>
      </c>
      <c r="F95">
        <v>20140205</v>
      </c>
      <c r="G95" t="s">
        <v>32</v>
      </c>
      <c r="I95" t="s">
        <v>33</v>
      </c>
    </row>
    <row r="96" spans="1:9" x14ac:dyDescent="0.25">
      <c r="A96">
        <v>20140206</v>
      </c>
      <c r="B96" t="str">
        <f>"000202"</f>
        <v>000202</v>
      </c>
      <c r="C96" t="str">
        <f>"00362"</f>
        <v>00362</v>
      </c>
      <c r="D96" t="s">
        <v>22</v>
      </c>
      <c r="E96">
        <v>532.5</v>
      </c>
      <c r="F96">
        <v>20140206</v>
      </c>
      <c r="G96" t="s">
        <v>102</v>
      </c>
      <c r="H96" t="s">
        <v>103</v>
      </c>
      <c r="I96" t="s">
        <v>25</v>
      </c>
    </row>
    <row r="97" spans="1:9" x14ac:dyDescent="0.25">
      <c r="A97">
        <v>20140206</v>
      </c>
      <c r="B97" t="str">
        <f>"000202"</f>
        <v>000202</v>
      </c>
      <c r="C97" t="str">
        <f>"00362"</f>
        <v>00362</v>
      </c>
      <c r="D97" t="s">
        <v>22</v>
      </c>
      <c r="E97">
        <v>0.5</v>
      </c>
      <c r="F97">
        <v>20140206</v>
      </c>
      <c r="G97" t="s">
        <v>102</v>
      </c>
      <c r="H97" t="s">
        <v>103</v>
      </c>
      <c r="I97" t="s">
        <v>25</v>
      </c>
    </row>
    <row r="98" spans="1:9" x14ac:dyDescent="0.25">
      <c r="A98">
        <v>20140207</v>
      </c>
      <c r="B98" t="str">
        <f>"000203"</f>
        <v>000203</v>
      </c>
      <c r="C98" t="str">
        <f>"55555"</f>
        <v>55555</v>
      </c>
      <c r="D98" t="s">
        <v>52</v>
      </c>
      <c r="E98" s="1">
        <v>294527.15999999997</v>
      </c>
      <c r="F98">
        <v>20140207</v>
      </c>
      <c r="G98" t="s">
        <v>53</v>
      </c>
      <c r="H98" t="s">
        <v>54</v>
      </c>
      <c r="I98" t="s">
        <v>21</v>
      </c>
    </row>
    <row r="99" spans="1:9" x14ac:dyDescent="0.25">
      <c r="A99">
        <v>20140212</v>
      </c>
      <c r="B99" t="str">
        <f>"000204"</f>
        <v>000204</v>
      </c>
      <c r="C99" t="str">
        <f>"86801"</f>
        <v>86801</v>
      </c>
      <c r="D99" t="s">
        <v>90</v>
      </c>
      <c r="E99" s="1">
        <v>1000000</v>
      </c>
      <c r="F99">
        <v>20140210</v>
      </c>
      <c r="G99" t="s">
        <v>57</v>
      </c>
      <c r="I99" t="s">
        <v>58</v>
      </c>
    </row>
    <row r="100" spans="1:9" x14ac:dyDescent="0.25">
      <c r="A100">
        <v>20140212</v>
      </c>
      <c r="B100" t="str">
        <f>"000205"</f>
        <v>000205</v>
      </c>
      <c r="C100" t="str">
        <f>"82991"</f>
        <v>82991</v>
      </c>
      <c r="D100" t="s">
        <v>104</v>
      </c>
      <c r="E100" s="1">
        <v>435000</v>
      </c>
      <c r="F100">
        <v>20140210</v>
      </c>
      <c r="G100" t="s">
        <v>105</v>
      </c>
      <c r="I100" t="s">
        <v>58</v>
      </c>
    </row>
    <row r="101" spans="1:9" x14ac:dyDescent="0.25">
      <c r="A101">
        <v>20140212</v>
      </c>
      <c r="B101" t="str">
        <f>"000205"</f>
        <v>000205</v>
      </c>
      <c r="C101" t="str">
        <f>"82991"</f>
        <v>82991</v>
      </c>
      <c r="D101" t="s">
        <v>104</v>
      </c>
      <c r="E101" s="1">
        <v>145000</v>
      </c>
      <c r="F101">
        <v>20140210</v>
      </c>
      <c r="G101" t="s">
        <v>106</v>
      </c>
      <c r="I101" t="s">
        <v>58</v>
      </c>
    </row>
    <row r="102" spans="1:9" x14ac:dyDescent="0.25">
      <c r="A102">
        <v>20140212</v>
      </c>
      <c r="B102" t="str">
        <f>"000205"</f>
        <v>000205</v>
      </c>
      <c r="C102" t="str">
        <f>"82991"</f>
        <v>82991</v>
      </c>
      <c r="D102" t="s">
        <v>104</v>
      </c>
      <c r="E102" s="1">
        <v>7612.5</v>
      </c>
      <c r="F102">
        <v>20140210</v>
      </c>
      <c r="G102" t="s">
        <v>107</v>
      </c>
      <c r="I102" t="s">
        <v>58</v>
      </c>
    </row>
    <row r="103" spans="1:9" x14ac:dyDescent="0.25">
      <c r="A103">
        <v>20140212</v>
      </c>
      <c r="B103" t="str">
        <f>"000205"</f>
        <v>000205</v>
      </c>
      <c r="C103" t="str">
        <f>"82991"</f>
        <v>82991</v>
      </c>
      <c r="D103" t="s">
        <v>104</v>
      </c>
      <c r="E103" s="1">
        <v>5900</v>
      </c>
      <c r="F103">
        <v>20140210</v>
      </c>
      <c r="G103" t="s">
        <v>108</v>
      </c>
      <c r="I103" t="s">
        <v>58</v>
      </c>
    </row>
    <row r="104" spans="1:9" x14ac:dyDescent="0.25">
      <c r="A104">
        <v>20140212</v>
      </c>
      <c r="B104" t="str">
        <f t="shared" ref="B104:B110" si="6">"000206"</f>
        <v>000206</v>
      </c>
      <c r="C104" t="str">
        <f t="shared" ref="C104:C110" si="7">"00032"</f>
        <v>00032</v>
      </c>
      <c r="D104" t="s">
        <v>109</v>
      </c>
      <c r="E104" s="1">
        <v>880000</v>
      </c>
      <c r="F104">
        <v>20140210</v>
      </c>
      <c r="G104" t="s">
        <v>110</v>
      </c>
      <c r="I104" t="s">
        <v>58</v>
      </c>
    </row>
    <row r="105" spans="1:9" x14ac:dyDescent="0.25">
      <c r="A105">
        <v>20140212</v>
      </c>
      <c r="B105" t="str">
        <f t="shared" si="6"/>
        <v>000206</v>
      </c>
      <c r="C105" t="str">
        <f t="shared" si="7"/>
        <v>00032</v>
      </c>
      <c r="D105" t="s">
        <v>109</v>
      </c>
      <c r="E105" s="1">
        <v>380000</v>
      </c>
      <c r="F105">
        <v>20140210</v>
      </c>
      <c r="G105" t="s">
        <v>111</v>
      </c>
      <c r="I105" t="s">
        <v>58</v>
      </c>
    </row>
    <row r="106" spans="1:9" x14ac:dyDescent="0.25">
      <c r="A106">
        <v>20140212</v>
      </c>
      <c r="B106" t="str">
        <f t="shared" si="6"/>
        <v>000206</v>
      </c>
      <c r="C106" t="str">
        <f t="shared" si="7"/>
        <v>00032</v>
      </c>
      <c r="D106" t="s">
        <v>109</v>
      </c>
      <c r="E106" s="1">
        <v>18542.099999999999</v>
      </c>
      <c r="F106">
        <v>20140210</v>
      </c>
      <c r="G106" t="s">
        <v>112</v>
      </c>
      <c r="I106" t="s">
        <v>58</v>
      </c>
    </row>
    <row r="107" spans="1:9" x14ac:dyDescent="0.25">
      <c r="A107">
        <v>20140212</v>
      </c>
      <c r="B107" t="str">
        <f t="shared" si="6"/>
        <v>000206</v>
      </c>
      <c r="C107" t="str">
        <f t="shared" si="7"/>
        <v>00032</v>
      </c>
      <c r="D107" t="s">
        <v>109</v>
      </c>
      <c r="E107" s="1">
        <v>387006.26</v>
      </c>
      <c r="F107">
        <v>20140210</v>
      </c>
      <c r="G107" t="s">
        <v>113</v>
      </c>
      <c r="I107" t="s">
        <v>58</v>
      </c>
    </row>
    <row r="108" spans="1:9" x14ac:dyDescent="0.25">
      <c r="A108">
        <v>20140212</v>
      </c>
      <c r="B108" t="str">
        <f t="shared" si="6"/>
        <v>000206</v>
      </c>
      <c r="C108" t="str">
        <f t="shared" si="7"/>
        <v>00032</v>
      </c>
      <c r="D108" t="s">
        <v>109</v>
      </c>
      <c r="E108" s="1">
        <v>37350</v>
      </c>
      <c r="F108">
        <v>20140210</v>
      </c>
      <c r="G108" t="s">
        <v>114</v>
      </c>
      <c r="I108" t="s">
        <v>58</v>
      </c>
    </row>
    <row r="109" spans="1:9" x14ac:dyDescent="0.25">
      <c r="A109">
        <v>20140212</v>
      </c>
      <c r="B109" t="str">
        <f t="shared" si="6"/>
        <v>000206</v>
      </c>
      <c r="C109" t="str">
        <f t="shared" si="7"/>
        <v>00032</v>
      </c>
      <c r="D109" t="s">
        <v>109</v>
      </c>
      <c r="E109" s="1">
        <v>164232.9</v>
      </c>
      <c r="F109">
        <v>20140210</v>
      </c>
      <c r="G109" t="s">
        <v>115</v>
      </c>
      <c r="I109" t="s">
        <v>58</v>
      </c>
    </row>
    <row r="110" spans="1:9" x14ac:dyDescent="0.25">
      <c r="A110">
        <v>20140212</v>
      </c>
      <c r="B110" t="str">
        <f t="shared" si="6"/>
        <v>000206</v>
      </c>
      <c r="C110" t="str">
        <f t="shared" si="7"/>
        <v>00032</v>
      </c>
      <c r="D110" t="s">
        <v>109</v>
      </c>
      <c r="E110" s="1">
        <v>582112.5</v>
      </c>
      <c r="F110">
        <v>20140210</v>
      </c>
      <c r="G110" t="s">
        <v>116</v>
      </c>
      <c r="I110" t="s">
        <v>58</v>
      </c>
    </row>
    <row r="111" spans="1:9" x14ac:dyDescent="0.25">
      <c r="A111">
        <v>20140212</v>
      </c>
      <c r="B111" t="str">
        <f>"000212"</f>
        <v>000212</v>
      </c>
      <c r="C111" t="str">
        <f>"83327"</f>
        <v>83327</v>
      </c>
      <c r="D111" t="s">
        <v>18</v>
      </c>
      <c r="E111" s="1">
        <v>1045543.86</v>
      </c>
      <c r="F111">
        <v>20140212</v>
      </c>
      <c r="G111" t="s">
        <v>19</v>
      </c>
      <c r="H111" t="s">
        <v>117</v>
      </c>
      <c r="I111" t="s">
        <v>21</v>
      </c>
    </row>
    <row r="112" spans="1:9" x14ac:dyDescent="0.25">
      <c r="A112">
        <v>20140212</v>
      </c>
      <c r="B112" t="str">
        <f>"000213"</f>
        <v>000213</v>
      </c>
      <c r="C112" t="str">
        <f>"86801"</f>
        <v>86801</v>
      </c>
      <c r="D112" t="s">
        <v>90</v>
      </c>
      <c r="E112" s="1">
        <v>2500000</v>
      </c>
      <c r="F112">
        <v>20140212</v>
      </c>
      <c r="G112" t="s">
        <v>56</v>
      </c>
      <c r="I112" t="s">
        <v>21</v>
      </c>
    </row>
    <row r="113" spans="1:9" x14ac:dyDescent="0.25">
      <c r="A113">
        <v>20140212</v>
      </c>
      <c r="B113" t="str">
        <f>"000215"</f>
        <v>000215</v>
      </c>
      <c r="C113" t="str">
        <f>"73700"</f>
        <v>73700</v>
      </c>
      <c r="D113" t="s">
        <v>55</v>
      </c>
      <c r="E113" s="1">
        <v>1500000</v>
      </c>
      <c r="F113">
        <v>20140212</v>
      </c>
      <c r="G113" t="s">
        <v>56</v>
      </c>
      <c r="I113" t="s">
        <v>21</v>
      </c>
    </row>
    <row r="114" spans="1:9" x14ac:dyDescent="0.25">
      <c r="A114">
        <v>20140212</v>
      </c>
      <c r="B114" t="str">
        <f>"000216"</f>
        <v>000216</v>
      </c>
      <c r="C114" t="str">
        <f>"86801"</f>
        <v>86801</v>
      </c>
      <c r="D114" t="s">
        <v>90</v>
      </c>
      <c r="E114" s="1">
        <v>1045000</v>
      </c>
      <c r="F114">
        <v>20140212</v>
      </c>
      <c r="G114" t="s">
        <v>57</v>
      </c>
      <c r="I114" t="s">
        <v>58</v>
      </c>
    </row>
    <row r="115" spans="1:9" x14ac:dyDescent="0.25">
      <c r="A115">
        <v>20140212</v>
      </c>
      <c r="B115" t="str">
        <f>"000217"</f>
        <v>000217</v>
      </c>
      <c r="C115" t="str">
        <f>"86801"</f>
        <v>86801</v>
      </c>
      <c r="D115" t="s">
        <v>90</v>
      </c>
      <c r="E115" s="1">
        <v>1000000</v>
      </c>
      <c r="F115">
        <v>20140212</v>
      </c>
      <c r="G115" t="s">
        <v>57</v>
      </c>
      <c r="I115" t="s">
        <v>58</v>
      </c>
    </row>
    <row r="116" spans="1:9" x14ac:dyDescent="0.25">
      <c r="A116">
        <v>20140212</v>
      </c>
      <c r="B116" t="str">
        <f>"000217"</f>
        <v>000217</v>
      </c>
      <c r="C116" t="str">
        <f>"86801"</f>
        <v>86801</v>
      </c>
      <c r="D116" t="s">
        <v>90</v>
      </c>
      <c r="E116" s="1">
        <v>-1000000</v>
      </c>
      <c r="F116">
        <v>20140212</v>
      </c>
      <c r="G116" t="s">
        <v>57</v>
      </c>
      <c r="H116" t="s">
        <v>118</v>
      </c>
      <c r="I116" t="s">
        <v>58</v>
      </c>
    </row>
    <row r="117" spans="1:9" x14ac:dyDescent="0.25">
      <c r="A117">
        <v>20140215</v>
      </c>
      <c r="B117" t="str">
        <f>"000220"</f>
        <v>000220</v>
      </c>
      <c r="C117" t="str">
        <f>"00383"</f>
        <v>00383</v>
      </c>
      <c r="D117" t="s">
        <v>12</v>
      </c>
      <c r="E117">
        <v>75.239999999999995</v>
      </c>
      <c r="F117">
        <v>20140219</v>
      </c>
      <c r="G117" t="s">
        <v>119</v>
      </c>
      <c r="I117" t="s">
        <v>38</v>
      </c>
    </row>
    <row r="118" spans="1:9" x14ac:dyDescent="0.25">
      <c r="A118">
        <v>20140220</v>
      </c>
      <c r="B118" t="str">
        <f>"000224"</f>
        <v>000224</v>
      </c>
      <c r="C118" t="str">
        <f>"00362"</f>
        <v>00362</v>
      </c>
      <c r="D118" t="s">
        <v>22</v>
      </c>
      <c r="E118" s="1">
        <v>3250</v>
      </c>
      <c r="F118">
        <v>20140220</v>
      </c>
      <c r="G118" t="s">
        <v>120</v>
      </c>
      <c r="H118" t="s">
        <v>121</v>
      </c>
      <c r="I118" t="s">
        <v>38</v>
      </c>
    </row>
    <row r="119" spans="1:9" x14ac:dyDescent="0.25">
      <c r="A119">
        <v>20140220</v>
      </c>
      <c r="B119" t="str">
        <f>"000225"</f>
        <v>000225</v>
      </c>
      <c r="C119" t="str">
        <f>"00362"</f>
        <v>00362</v>
      </c>
      <c r="D119" t="s">
        <v>22</v>
      </c>
      <c r="E119">
        <v>390</v>
      </c>
      <c r="F119">
        <v>20140220</v>
      </c>
      <c r="G119" t="s">
        <v>122</v>
      </c>
      <c r="H119" t="s">
        <v>123</v>
      </c>
      <c r="I119" t="s">
        <v>25</v>
      </c>
    </row>
    <row r="120" spans="1:9" x14ac:dyDescent="0.25">
      <c r="A120">
        <v>20140220</v>
      </c>
      <c r="B120" t="str">
        <f>"000226"</f>
        <v>000226</v>
      </c>
      <c r="C120" t="str">
        <f>"00362"</f>
        <v>00362</v>
      </c>
      <c r="D120" t="s">
        <v>22</v>
      </c>
      <c r="E120">
        <v>610</v>
      </c>
      <c r="F120">
        <v>20140220</v>
      </c>
      <c r="G120" t="s">
        <v>124</v>
      </c>
      <c r="H120" t="s">
        <v>125</v>
      </c>
      <c r="I120" t="s">
        <v>38</v>
      </c>
    </row>
    <row r="121" spans="1:9" x14ac:dyDescent="0.25">
      <c r="A121">
        <v>20140220</v>
      </c>
      <c r="B121" t="str">
        <f>"000227"</f>
        <v>000227</v>
      </c>
      <c r="C121" t="str">
        <f>"00362"</f>
        <v>00362</v>
      </c>
      <c r="D121" t="s">
        <v>22</v>
      </c>
      <c r="E121">
        <v>620</v>
      </c>
      <c r="F121">
        <v>20140220</v>
      </c>
      <c r="G121" t="s">
        <v>126</v>
      </c>
      <c r="H121" t="s">
        <v>127</v>
      </c>
      <c r="I121" t="s">
        <v>25</v>
      </c>
    </row>
    <row r="122" spans="1:9" x14ac:dyDescent="0.25">
      <c r="A122">
        <v>20140220</v>
      </c>
      <c r="B122" t="str">
        <f>"000228"</f>
        <v>000228</v>
      </c>
      <c r="C122" t="str">
        <f>"00383"</f>
        <v>00383</v>
      </c>
      <c r="D122" t="s">
        <v>12</v>
      </c>
      <c r="E122">
        <v>58.5</v>
      </c>
      <c r="F122">
        <v>20140220</v>
      </c>
      <c r="G122" t="s">
        <v>128</v>
      </c>
      <c r="H122" t="s">
        <v>129</v>
      </c>
      <c r="I122" t="s">
        <v>21</v>
      </c>
    </row>
    <row r="123" spans="1:9" x14ac:dyDescent="0.25">
      <c r="A123">
        <v>20140220</v>
      </c>
      <c r="B123" t="str">
        <f>"000229"</f>
        <v>000229</v>
      </c>
      <c r="C123" t="str">
        <f>"73700"</f>
        <v>73700</v>
      </c>
      <c r="D123" t="s">
        <v>55</v>
      </c>
      <c r="E123" s="1">
        <v>180000</v>
      </c>
      <c r="F123">
        <v>20140220</v>
      </c>
      <c r="G123" t="s">
        <v>59</v>
      </c>
      <c r="I123" t="s">
        <v>12</v>
      </c>
    </row>
    <row r="124" spans="1:9" x14ac:dyDescent="0.25">
      <c r="A124">
        <v>20140225</v>
      </c>
      <c r="B124" t="str">
        <f t="shared" ref="B124:B135" si="8">"000231"</f>
        <v>000231</v>
      </c>
      <c r="C124" t="str">
        <f t="shared" ref="C124:C135" si="9">"79800"</f>
        <v>79800</v>
      </c>
      <c r="D124" t="s">
        <v>13</v>
      </c>
      <c r="E124">
        <v>13.07</v>
      </c>
      <c r="F124">
        <v>20140225</v>
      </c>
      <c r="G124" t="s">
        <v>60</v>
      </c>
      <c r="I124" t="s">
        <v>61</v>
      </c>
    </row>
    <row r="125" spans="1:9" x14ac:dyDescent="0.25">
      <c r="A125">
        <v>20140225</v>
      </c>
      <c r="B125" t="str">
        <f t="shared" si="8"/>
        <v>000231</v>
      </c>
      <c r="C125" t="str">
        <f t="shared" si="9"/>
        <v>79800</v>
      </c>
      <c r="D125" t="s">
        <v>13</v>
      </c>
      <c r="E125">
        <v>6.57</v>
      </c>
      <c r="F125">
        <v>20140225</v>
      </c>
      <c r="G125" t="s">
        <v>62</v>
      </c>
      <c r="I125" t="s">
        <v>63</v>
      </c>
    </row>
    <row r="126" spans="1:9" x14ac:dyDescent="0.25">
      <c r="A126">
        <v>20140225</v>
      </c>
      <c r="B126" t="str">
        <f t="shared" si="8"/>
        <v>000231</v>
      </c>
      <c r="C126" t="str">
        <f t="shared" si="9"/>
        <v>79800</v>
      </c>
      <c r="D126" t="s">
        <v>13</v>
      </c>
      <c r="E126">
        <v>6.41</v>
      </c>
      <c r="F126">
        <v>20140225</v>
      </c>
      <c r="G126" t="s">
        <v>130</v>
      </c>
      <c r="I126" t="s">
        <v>131</v>
      </c>
    </row>
    <row r="127" spans="1:9" x14ac:dyDescent="0.25">
      <c r="A127">
        <v>20140225</v>
      </c>
      <c r="B127" t="str">
        <f t="shared" si="8"/>
        <v>000231</v>
      </c>
      <c r="C127" t="str">
        <f t="shared" si="9"/>
        <v>79800</v>
      </c>
      <c r="D127" t="s">
        <v>13</v>
      </c>
      <c r="E127" s="1">
        <v>24237.45</v>
      </c>
      <c r="F127">
        <v>20140225</v>
      </c>
      <c r="G127" t="s">
        <v>64</v>
      </c>
      <c r="I127" t="s">
        <v>21</v>
      </c>
    </row>
    <row r="128" spans="1:9" x14ac:dyDescent="0.25">
      <c r="A128">
        <v>20140225</v>
      </c>
      <c r="B128" t="str">
        <f t="shared" si="8"/>
        <v>000231</v>
      </c>
      <c r="C128" t="str">
        <f t="shared" si="9"/>
        <v>79800</v>
      </c>
      <c r="D128" t="s">
        <v>13</v>
      </c>
      <c r="E128" s="1">
        <v>1219.58</v>
      </c>
      <c r="F128">
        <v>20140225</v>
      </c>
      <c r="G128" t="s">
        <v>65</v>
      </c>
      <c r="I128" t="s">
        <v>66</v>
      </c>
    </row>
    <row r="129" spans="1:9" x14ac:dyDescent="0.25">
      <c r="A129">
        <v>20140225</v>
      </c>
      <c r="B129" t="str">
        <f t="shared" si="8"/>
        <v>000231</v>
      </c>
      <c r="C129" t="str">
        <f t="shared" si="9"/>
        <v>79800</v>
      </c>
      <c r="D129" t="s">
        <v>13</v>
      </c>
      <c r="E129">
        <v>612.78</v>
      </c>
      <c r="F129">
        <v>20140225</v>
      </c>
      <c r="G129" t="s">
        <v>67</v>
      </c>
      <c r="I129" t="s">
        <v>68</v>
      </c>
    </row>
    <row r="130" spans="1:9" x14ac:dyDescent="0.25">
      <c r="A130">
        <v>20140225</v>
      </c>
      <c r="B130" t="str">
        <f t="shared" si="8"/>
        <v>000231</v>
      </c>
      <c r="C130" t="str">
        <f t="shared" si="9"/>
        <v>79800</v>
      </c>
      <c r="D130" t="s">
        <v>13</v>
      </c>
      <c r="E130">
        <v>966.89</v>
      </c>
      <c r="F130">
        <v>20140225</v>
      </c>
      <c r="G130" t="s">
        <v>69</v>
      </c>
      <c r="I130" t="s">
        <v>12</v>
      </c>
    </row>
    <row r="131" spans="1:9" x14ac:dyDescent="0.25">
      <c r="A131">
        <v>20140225</v>
      </c>
      <c r="B131" t="str">
        <f t="shared" si="8"/>
        <v>000231</v>
      </c>
      <c r="C131" t="str">
        <f t="shared" si="9"/>
        <v>79800</v>
      </c>
      <c r="D131" t="s">
        <v>13</v>
      </c>
      <c r="E131">
        <v>80.510000000000005</v>
      </c>
      <c r="F131">
        <v>20140225</v>
      </c>
      <c r="G131" t="s">
        <v>70</v>
      </c>
      <c r="I131" t="s">
        <v>71</v>
      </c>
    </row>
    <row r="132" spans="1:9" x14ac:dyDescent="0.25">
      <c r="A132">
        <v>20140225</v>
      </c>
      <c r="B132" t="str">
        <f t="shared" si="8"/>
        <v>000231</v>
      </c>
      <c r="C132" t="str">
        <f t="shared" si="9"/>
        <v>79800</v>
      </c>
      <c r="D132" t="s">
        <v>13</v>
      </c>
      <c r="E132">
        <v>119.55</v>
      </c>
      <c r="F132">
        <v>20140225</v>
      </c>
      <c r="G132" t="s">
        <v>72</v>
      </c>
      <c r="I132" t="s">
        <v>73</v>
      </c>
    </row>
    <row r="133" spans="1:9" x14ac:dyDescent="0.25">
      <c r="A133">
        <v>20140225</v>
      </c>
      <c r="B133" t="str">
        <f t="shared" si="8"/>
        <v>000231</v>
      </c>
      <c r="C133" t="str">
        <f t="shared" si="9"/>
        <v>79800</v>
      </c>
      <c r="D133" t="s">
        <v>13</v>
      </c>
      <c r="E133">
        <v>12.5</v>
      </c>
      <c r="F133">
        <v>20140225</v>
      </c>
      <c r="G133" t="s">
        <v>74</v>
      </c>
      <c r="I133" t="s">
        <v>75</v>
      </c>
    </row>
    <row r="134" spans="1:9" x14ac:dyDescent="0.25">
      <c r="A134">
        <v>20140225</v>
      </c>
      <c r="B134" t="str">
        <f t="shared" si="8"/>
        <v>000231</v>
      </c>
      <c r="C134" t="str">
        <f t="shared" si="9"/>
        <v>79800</v>
      </c>
      <c r="D134" t="s">
        <v>13</v>
      </c>
      <c r="E134">
        <v>11.88</v>
      </c>
      <c r="F134">
        <v>20140225</v>
      </c>
      <c r="G134" t="s">
        <v>76</v>
      </c>
      <c r="I134" t="s">
        <v>77</v>
      </c>
    </row>
    <row r="135" spans="1:9" x14ac:dyDescent="0.25">
      <c r="A135">
        <v>20140225</v>
      </c>
      <c r="B135" t="str">
        <f t="shared" si="8"/>
        <v>000231</v>
      </c>
      <c r="C135" t="str">
        <f t="shared" si="9"/>
        <v>79800</v>
      </c>
      <c r="D135" t="s">
        <v>13</v>
      </c>
      <c r="E135">
        <v>474.69</v>
      </c>
      <c r="F135">
        <v>20140225</v>
      </c>
      <c r="G135" t="s">
        <v>78</v>
      </c>
      <c r="I135" t="s">
        <v>79</v>
      </c>
    </row>
    <row r="136" spans="1:9" x14ac:dyDescent="0.25">
      <c r="A136">
        <v>20140225</v>
      </c>
      <c r="B136" t="str">
        <f>"000235"</f>
        <v>000235</v>
      </c>
      <c r="C136" t="str">
        <f>"00383"</f>
        <v>00383</v>
      </c>
      <c r="D136" t="s">
        <v>12</v>
      </c>
      <c r="E136">
        <v>155.25</v>
      </c>
      <c r="F136">
        <v>20140225</v>
      </c>
      <c r="G136" t="s">
        <v>120</v>
      </c>
      <c r="H136" t="s">
        <v>132</v>
      </c>
      <c r="I136" t="s">
        <v>38</v>
      </c>
    </row>
    <row r="137" spans="1:9" x14ac:dyDescent="0.25">
      <c r="A137">
        <v>20140225</v>
      </c>
      <c r="B137" t="str">
        <f>"000236"</f>
        <v>000236</v>
      </c>
      <c r="C137" t="str">
        <f>"00383"</f>
        <v>00383</v>
      </c>
      <c r="D137" t="s">
        <v>12</v>
      </c>
      <c r="E137">
        <v>5.5</v>
      </c>
      <c r="F137">
        <v>20140225</v>
      </c>
      <c r="G137" t="s">
        <v>119</v>
      </c>
      <c r="H137" t="s">
        <v>133</v>
      </c>
      <c r="I137" t="s">
        <v>38</v>
      </c>
    </row>
    <row r="138" spans="1:9" x14ac:dyDescent="0.25">
      <c r="A138">
        <v>20140228</v>
      </c>
      <c r="B138" t="str">
        <f t="shared" ref="B138:B149" si="10">"000238"</f>
        <v>000238</v>
      </c>
      <c r="C138" t="str">
        <f t="shared" ref="C138:C149" si="11">"55555"</f>
        <v>55555</v>
      </c>
      <c r="D138" t="s">
        <v>52</v>
      </c>
      <c r="E138" s="1">
        <v>1421.26</v>
      </c>
      <c r="F138">
        <v>20140225</v>
      </c>
      <c r="G138" t="s">
        <v>80</v>
      </c>
      <c r="I138" t="s">
        <v>61</v>
      </c>
    </row>
    <row r="139" spans="1:9" x14ac:dyDescent="0.25">
      <c r="A139">
        <v>20140228</v>
      </c>
      <c r="B139" t="str">
        <f t="shared" si="10"/>
        <v>000238</v>
      </c>
      <c r="C139" t="str">
        <f t="shared" si="11"/>
        <v>55555</v>
      </c>
      <c r="D139" t="s">
        <v>52</v>
      </c>
      <c r="E139">
        <v>721.21</v>
      </c>
      <c r="F139">
        <v>20140225</v>
      </c>
      <c r="G139" t="s">
        <v>81</v>
      </c>
      <c r="I139" t="s">
        <v>63</v>
      </c>
    </row>
    <row r="140" spans="1:9" x14ac:dyDescent="0.25">
      <c r="A140">
        <v>20140228</v>
      </c>
      <c r="B140" t="str">
        <f t="shared" si="10"/>
        <v>000238</v>
      </c>
      <c r="C140" t="str">
        <f t="shared" si="11"/>
        <v>55555</v>
      </c>
      <c r="D140" t="s">
        <v>52</v>
      </c>
      <c r="E140">
        <v>684.84</v>
      </c>
      <c r="F140">
        <v>20140225</v>
      </c>
      <c r="G140" t="s">
        <v>134</v>
      </c>
      <c r="I140" t="s">
        <v>131</v>
      </c>
    </row>
    <row r="141" spans="1:9" x14ac:dyDescent="0.25">
      <c r="A141">
        <v>20140228</v>
      </c>
      <c r="B141" t="str">
        <f t="shared" si="10"/>
        <v>000238</v>
      </c>
      <c r="C141" t="str">
        <f t="shared" si="11"/>
        <v>55555</v>
      </c>
      <c r="D141" t="s">
        <v>52</v>
      </c>
      <c r="E141" s="1">
        <v>1546391.87</v>
      </c>
      <c r="F141">
        <v>20140225</v>
      </c>
      <c r="G141" t="s">
        <v>53</v>
      </c>
      <c r="I141" t="s">
        <v>21</v>
      </c>
    </row>
    <row r="142" spans="1:9" x14ac:dyDescent="0.25">
      <c r="A142">
        <v>20140228</v>
      </c>
      <c r="B142" t="str">
        <f t="shared" si="10"/>
        <v>000238</v>
      </c>
      <c r="C142" t="str">
        <f t="shared" si="11"/>
        <v>55555</v>
      </c>
      <c r="D142" t="s">
        <v>52</v>
      </c>
      <c r="E142" s="1">
        <v>131119.88</v>
      </c>
      <c r="F142">
        <v>20140225</v>
      </c>
      <c r="G142" t="s">
        <v>82</v>
      </c>
      <c r="I142" t="s">
        <v>66</v>
      </c>
    </row>
    <row r="143" spans="1:9" x14ac:dyDescent="0.25">
      <c r="A143">
        <v>20140228</v>
      </c>
      <c r="B143" t="str">
        <f t="shared" si="10"/>
        <v>000238</v>
      </c>
      <c r="C143" t="str">
        <f t="shared" si="11"/>
        <v>55555</v>
      </c>
      <c r="D143" t="s">
        <v>52</v>
      </c>
      <c r="E143" s="1">
        <v>81236.47</v>
      </c>
      <c r="F143">
        <v>20140225</v>
      </c>
      <c r="G143" t="s">
        <v>83</v>
      </c>
      <c r="I143" t="s">
        <v>68</v>
      </c>
    </row>
    <row r="144" spans="1:9" x14ac:dyDescent="0.25">
      <c r="A144">
        <v>20140228</v>
      </c>
      <c r="B144" t="str">
        <f t="shared" si="10"/>
        <v>000238</v>
      </c>
      <c r="C144" t="str">
        <f t="shared" si="11"/>
        <v>55555</v>
      </c>
      <c r="D144" t="s">
        <v>52</v>
      </c>
      <c r="E144" s="1">
        <v>108360.64</v>
      </c>
      <c r="F144">
        <v>20140225</v>
      </c>
      <c r="G144" t="s">
        <v>84</v>
      </c>
      <c r="I144" t="s">
        <v>12</v>
      </c>
    </row>
    <row r="145" spans="1:9" x14ac:dyDescent="0.25">
      <c r="A145">
        <v>20140228</v>
      </c>
      <c r="B145" t="str">
        <f t="shared" si="10"/>
        <v>000238</v>
      </c>
      <c r="C145" t="str">
        <f t="shared" si="11"/>
        <v>55555</v>
      </c>
      <c r="D145" t="s">
        <v>52</v>
      </c>
      <c r="E145" s="1">
        <v>8747.98</v>
      </c>
      <c r="F145">
        <v>20140225</v>
      </c>
      <c r="G145" t="s">
        <v>85</v>
      </c>
      <c r="I145" t="s">
        <v>71</v>
      </c>
    </row>
    <row r="146" spans="1:9" x14ac:dyDescent="0.25">
      <c r="A146">
        <v>20140228</v>
      </c>
      <c r="B146" t="str">
        <f t="shared" si="10"/>
        <v>000238</v>
      </c>
      <c r="C146" t="str">
        <f t="shared" si="11"/>
        <v>55555</v>
      </c>
      <c r="D146" t="s">
        <v>52</v>
      </c>
      <c r="E146" s="1">
        <v>13436.37</v>
      </c>
      <c r="F146">
        <v>20140225</v>
      </c>
      <c r="G146" t="s">
        <v>86</v>
      </c>
      <c r="I146" t="s">
        <v>73</v>
      </c>
    </row>
    <row r="147" spans="1:9" x14ac:dyDescent="0.25">
      <c r="A147">
        <v>20140228</v>
      </c>
      <c r="B147" t="str">
        <f t="shared" si="10"/>
        <v>000238</v>
      </c>
      <c r="C147" t="str">
        <f t="shared" si="11"/>
        <v>55555</v>
      </c>
      <c r="D147" t="s">
        <v>52</v>
      </c>
      <c r="E147" s="1">
        <v>1728.77</v>
      </c>
      <c r="F147">
        <v>20140225</v>
      </c>
      <c r="G147" t="s">
        <v>87</v>
      </c>
      <c r="I147" t="s">
        <v>75</v>
      </c>
    </row>
    <row r="148" spans="1:9" x14ac:dyDescent="0.25">
      <c r="A148">
        <v>20140228</v>
      </c>
      <c r="B148" t="str">
        <f t="shared" si="10"/>
        <v>000238</v>
      </c>
      <c r="C148" t="str">
        <f t="shared" si="11"/>
        <v>55555</v>
      </c>
      <c r="D148" t="s">
        <v>52</v>
      </c>
      <c r="E148" s="1">
        <v>1284.02</v>
      </c>
      <c r="F148">
        <v>20140225</v>
      </c>
      <c r="G148" t="s">
        <v>88</v>
      </c>
      <c r="I148" t="s">
        <v>77</v>
      </c>
    </row>
    <row r="149" spans="1:9" x14ac:dyDescent="0.25">
      <c r="A149">
        <v>20140228</v>
      </c>
      <c r="B149" t="str">
        <f t="shared" si="10"/>
        <v>000238</v>
      </c>
      <c r="C149" t="str">
        <f t="shared" si="11"/>
        <v>55555</v>
      </c>
      <c r="D149" t="s">
        <v>52</v>
      </c>
      <c r="E149" s="1">
        <v>46352.06</v>
      </c>
      <c r="F149">
        <v>20140225</v>
      </c>
      <c r="G149" t="s">
        <v>89</v>
      </c>
      <c r="I149" t="s">
        <v>79</v>
      </c>
    </row>
    <row r="150" spans="1:9" x14ac:dyDescent="0.25">
      <c r="A150">
        <v>20140227</v>
      </c>
      <c r="B150" t="str">
        <f>"000240"</f>
        <v>000240</v>
      </c>
      <c r="C150" t="str">
        <f>"00362"</f>
        <v>00362</v>
      </c>
      <c r="D150" t="s">
        <v>22</v>
      </c>
      <c r="E150">
        <v>100</v>
      </c>
      <c r="F150">
        <v>20140227</v>
      </c>
      <c r="G150" t="s">
        <v>135</v>
      </c>
      <c r="H150" t="s">
        <v>136</v>
      </c>
      <c r="I150" t="s">
        <v>25</v>
      </c>
    </row>
    <row r="151" spans="1:9" x14ac:dyDescent="0.25">
      <c r="A151">
        <v>20140228</v>
      </c>
      <c r="B151" t="str">
        <f t="shared" ref="B151:B157" si="12">"000245"</f>
        <v>000245</v>
      </c>
      <c r="C151" t="str">
        <f t="shared" ref="C151:C157" si="13">"55555"</f>
        <v>55555</v>
      </c>
      <c r="D151" t="s">
        <v>52</v>
      </c>
      <c r="E151" s="1">
        <v>29715.5</v>
      </c>
      <c r="F151">
        <v>20140228</v>
      </c>
      <c r="G151" t="s">
        <v>53</v>
      </c>
      <c r="I151" t="s">
        <v>21</v>
      </c>
    </row>
    <row r="152" spans="1:9" x14ac:dyDescent="0.25">
      <c r="A152">
        <v>20140228</v>
      </c>
      <c r="B152" t="str">
        <f t="shared" si="12"/>
        <v>000245</v>
      </c>
      <c r="C152" t="str">
        <f t="shared" si="13"/>
        <v>55555</v>
      </c>
      <c r="D152" t="s">
        <v>52</v>
      </c>
      <c r="E152">
        <v>180.22</v>
      </c>
      <c r="F152">
        <v>20140228</v>
      </c>
      <c r="G152" t="s">
        <v>82</v>
      </c>
      <c r="I152" t="s">
        <v>66</v>
      </c>
    </row>
    <row r="153" spans="1:9" x14ac:dyDescent="0.25">
      <c r="A153">
        <v>20140228</v>
      </c>
      <c r="B153" t="str">
        <f t="shared" si="12"/>
        <v>000245</v>
      </c>
      <c r="C153" t="str">
        <f t="shared" si="13"/>
        <v>55555</v>
      </c>
      <c r="D153" t="s">
        <v>52</v>
      </c>
      <c r="E153">
        <v>76.88</v>
      </c>
      <c r="F153">
        <v>20140228</v>
      </c>
      <c r="G153" t="s">
        <v>83</v>
      </c>
      <c r="I153" t="s">
        <v>68</v>
      </c>
    </row>
    <row r="154" spans="1:9" x14ac:dyDescent="0.25">
      <c r="A154">
        <v>20140228</v>
      </c>
      <c r="B154" t="str">
        <f t="shared" si="12"/>
        <v>000245</v>
      </c>
      <c r="C154" t="str">
        <f t="shared" si="13"/>
        <v>55555</v>
      </c>
      <c r="D154" t="s">
        <v>52</v>
      </c>
      <c r="E154">
        <v>49.34</v>
      </c>
      <c r="F154">
        <v>20140228</v>
      </c>
      <c r="G154" t="s">
        <v>85</v>
      </c>
      <c r="I154" t="s">
        <v>71</v>
      </c>
    </row>
    <row r="155" spans="1:9" x14ac:dyDescent="0.25">
      <c r="A155">
        <v>20140228</v>
      </c>
      <c r="B155" t="str">
        <f t="shared" si="12"/>
        <v>000245</v>
      </c>
      <c r="C155" t="str">
        <f t="shared" si="13"/>
        <v>55555</v>
      </c>
      <c r="D155" t="s">
        <v>52</v>
      </c>
      <c r="E155">
        <v>16.46</v>
      </c>
      <c r="F155">
        <v>20140228</v>
      </c>
      <c r="G155" t="s">
        <v>86</v>
      </c>
      <c r="I155" t="s">
        <v>73</v>
      </c>
    </row>
    <row r="156" spans="1:9" x14ac:dyDescent="0.25">
      <c r="A156">
        <v>20140228</v>
      </c>
      <c r="B156" t="str">
        <f t="shared" si="12"/>
        <v>000245</v>
      </c>
      <c r="C156" t="str">
        <f t="shared" si="13"/>
        <v>55555</v>
      </c>
      <c r="D156" t="s">
        <v>52</v>
      </c>
      <c r="E156">
        <v>26.66</v>
      </c>
      <c r="F156">
        <v>20140228</v>
      </c>
      <c r="G156" t="s">
        <v>87</v>
      </c>
      <c r="I156" t="s">
        <v>75</v>
      </c>
    </row>
    <row r="157" spans="1:9" x14ac:dyDescent="0.25">
      <c r="A157">
        <v>20140228</v>
      </c>
      <c r="B157" t="str">
        <f t="shared" si="12"/>
        <v>000245</v>
      </c>
      <c r="C157" t="str">
        <f t="shared" si="13"/>
        <v>55555</v>
      </c>
      <c r="D157" t="s">
        <v>52</v>
      </c>
      <c r="E157">
        <v>502.01</v>
      </c>
      <c r="F157">
        <v>20140228</v>
      </c>
      <c r="G157" t="s">
        <v>89</v>
      </c>
      <c r="I157" t="s">
        <v>79</v>
      </c>
    </row>
    <row r="158" spans="1:9" x14ac:dyDescent="0.25">
      <c r="A158">
        <v>20140228</v>
      </c>
      <c r="B158" t="str">
        <f>"000250"</f>
        <v>000250</v>
      </c>
      <c r="C158" t="str">
        <f>"83309"</f>
        <v>83309</v>
      </c>
      <c r="D158" t="s">
        <v>98</v>
      </c>
      <c r="E158">
        <v>6</v>
      </c>
      <c r="F158">
        <v>20140304</v>
      </c>
      <c r="G158" t="s">
        <v>137</v>
      </c>
      <c r="H158" t="s">
        <v>100</v>
      </c>
      <c r="I158" t="s">
        <v>21</v>
      </c>
    </row>
    <row r="159" spans="1:9" x14ac:dyDescent="0.25">
      <c r="A159">
        <v>20140227</v>
      </c>
      <c r="B159" t="str">
        <f>"000255"</f>
        <v>000255</v>
      </c>
      <c r="C159" t="str">
        <f>"83327"</f>
        <v>83327</v>
      </c>
      <c r="D159" t="s">
        <v>18</v>
      </c>
      <c r="E159" s="1">
        <v>27323.360000000001</v>
      </c>
      <c r="F159">
        <v>20140304</v>
      </c>
      <c r="G159" t="s">
        <v>19</v>
      </c>
      <c r="H159" t="s">
        <v>138</v>
      </c>
      <c r="I159" t="s">
        <v>21</v>
      </c>
    </row>
    <row r="160" spans="1:9" x14ac:dyDescent="0.25">
      <c r="A160">
        <v>20140220</v>
      </c>
      <c r="B160" t="str">
        <f>"000257"</f>
        <v>000257</v>
      </c>
      <c r="C160" t="str">
        <f>"83309"</f>
        <v>83309</v>
      </c>
      <c r="D160" t="s">
        <v>98</v>
      </c>
      <c r="E160">
        <v>54.8</v>
      </c>
      <c r="F160">
        <v>20140304</v>
      </c>
      <c r="G160" t="s">
        <v>95</v>
      </c>
      <c r="H160" t="s">
        <v>139</v>
      </c>
      <c r="I160" t="s">
        <v>38</v>
      </c>
    </row>
    <row r="161" spans="1:9" x14ac:dyDescent="0.25">
      <c r="A161">
        <v>20140306</v>
      </c>
      <c r="B161" t="str">
        <f>"000301"</f>
        <v>000301</v>
      </c>
      <c r="C161" t="str">
        <f>"55555"</f>
        <v>55555</v>
      </c>
      <c r="D161" t="s">
        <v>52</v>
      </c>
      <c r="E161" s="1">
        <v>293509.15999999997</v>
      </c>
      <c r="F161">
        <v>20140306</v>
      </c>
      <c r="G161" t="s">
        <v>53</v>
      </c>
      <c r="H161" t="s">
        <v>54</v>
      </c>
      <c r="I161" t="s">
        <v>21</v>
      </c>
    </row>
    <row r="162" spans="1:9" x14ac:dyDescent="0.25">
      <c r="A162">
        <v>20140304</v>
      </c>
      <c r="B162" t="str">
        <f>"000302"</f>
        <v>000302</v>
      </c>
      <c r="C162" t="str">
        <f>"55555"</f>
        <v>55555</v>
      </c>
      <c r="D162" t="s">
        <v>52</v>
      </c>
      <c r="E162" s="1">
        <v>750000</v>
      </c>
      <c r="F162">
        <v>20140306</v>
      </c>
      <c r="G162" t="s">
        <v>53</v>
      </c>
      <c r="I162" t="s">
        <v>21</v>
      </c>
    </row>
    <row r="163" spans="1:9" x14ac:dyDescent="0.25">
      <c r="A163">
        <v>20140306</v>
      </c>
      <c r="B163" t="str">
        <f>"000303"</f>
        <v>000303</v>
      </c>
      <c r="C163" t="str">
        <f t="shared" ref="C163:C169" si="14">"00362"</f>
        <v>00362</v>
      </c>
      <c r="D163" t="s">
        <v>22</v>
      </c>
      <c r="E163">
        <v>300</v>
      </c>
      <c r="F163">
        <v>20140306</v>
      </c>
      <c r="G163" t="s">
        <v>140</v>
      </c>
      <c r="H163" t="s">
        <v>141</v>
      </c>
      <c r="I163" t="s">
        <v>25</v>
      </c>
    </row>
    <row r="164" spans="1:9" x14ac:dyDescent="0.25">
      <c r="A164">
        <v>20140306</v>
      </c>
      <c r="B164" t="str">
        <f>"000304"</f>
        <v>000304</v>
      </c>
      <c r="C164" t="str">
        <f t="shared" si="14"/>
        <v>00362</v>
      </c>
      <c r="D164" t="s">
        <v>22</v>
      </c>
      <c r="E164">
        <v>325</v>
      </c>
      <c r="F164">
        <v>20140306</v>
      </c>
      <c r="G164" t="s">
        <v>140</v>
      </c>
      <c r="H164" t="s">
        <v>142</v>
      </c>
      <c r="I164" t="s">
        <v>25</v>
      </c>
    </row>
    <row r="165" spans="1:9" x14ac:dyDescent="0.25">
      <c r="A165">
        <v>20140306</v>
      </c>
      <c r="B165" t="str">
        <f>"000305"</f>
        <v>000305</v>
      </c>
      <c r="C165" t="str">
        <f t="shared" si="14"/>
        <v>00362</v>
      </c>
      <c r="D165" t="s">
        <v>22</v>
      </c>
      <c r="E165">
        <v>618</v>
      </c>
      <c r="F165">
        <v>20140306</v>
      </c>
      <c r="G165" t="s">
        <v>143</v>
      </c>
      <c r="H165" t="s">
        <v>144</v>
      </c>
      <c r="I165" t="s">
        <v>25</v>
      </c>
    </row>
    <row r="166" spans="1:9" x14ac:dyDescent="0.25">
      <c r="A166">
        <v>20140306</v>
      </c>
      <c r="B166" t="str">
        <f>"000306"</f>
        <v>000306</v>
      </c>
      <c r="C166" t="str">
        <f t="shared" si="14"/>
        <v>00362</v>
      </c>
      <c r="D166" t="s">
        <v>22</v>
      </c>
      <c r="E166">
        <v>195</v>
      </c>
      <c r="F166">
        <v>20140306</v>
      </c>
      <c r="G166" t="s">
        <v>145</v>
      </c>
      <c r="H166" t="s">
        <v>146</v>
      </c>
      <c r="I166" t="s">
        <v>38</v>
      </c>
    </row>
    <row r="167" spans="1:9" x14ac:dyDescent="0.25">
      <c r="A167">
        <v>20140306</v>
      </c>
      <c r="B167" t="str">
        <f>"000307"</f>
        <v>000307</v>
      </c>
      <c r="C167" t="str">
        <f t="shared" si="14"/>
        <v>00362</v>
      </c>
      <c r="D167" t="s">
        <v>22</v>
      </c>
      <c r="E167">
        <v>195</v>
      </c>
      <c r="F167">
        <v>20140306</v>
      </c>
      <c r="G167" t="s">
        <v>145</v>
      </c>
      <c r="H167" t="s">
        <v>147</v>
      </c>
      <c r="I167" t="s">
        <v>38</v>
      </c>
    </row>
    <row r="168" spans="1:9" x14ac:dyDescent="0.25">
      <c r="A168">
        <v>20140306</v>
      </c>
      <c r="B168" t="str">
        <f>"000308"</f>
        <v>000308</v>
      </c>
      <c r="C168" t="str">
        <f t="shared" si="14"/>
        <v>00362</v>
      </c>
      <c r="D168" t="s">
        <v>22</v>
      </c>
      <c r="E168">
        <v>195</v>
      </c>
      <c r="F168">
        <v>20140306</v>
      </c>
      <c r="G168" t="s">
        <v>145</v>
      </c>
      <c r="H168" t="s">
        <v>148</v>
      </c>
      <c r="I168" t="s">
        <v>38</v>
      </c>
    </row>
    <row r="169" spans="1:9" x14ac:dyDescent="0.25">
      <c r="A169">
        <v>20140306</v>
      </c>
      <c r="B169" t="str">
        <f>"000309"</f>
        <v>000309</v>
      </c>
      <c r="C169" t="str">
        <f t="shared" si="14"/>
        <v>00362</v>
      </c>
      <c r="D169" t="s">
        <v>22</v>
      </c>
      <c r="E169">
        <v>390</v>
      </c>
      <c r="F169">
        <v>20140306</v>
      </c>
      <c r="G169" t="s">
        <v>140</v>
      </c>
      <c r="H169" t="s">
        <v>149</v>
      </c>
      <c r="I169" t="s">
        <v>25</v>
      </c>
    </row>
    <row r="170" spans="1:9" x14ac:dyDescent="0.25">
      <c r="A170">
        <v>20140307</v>
      </c>
      <c r="B170" t="str">
        <f>"000325"</f>
        <v>000325</v>
      </c>
      <c r="C170" t="str">
        <f>"99998"</f>
        <v>99998</v>
      </c>
      <c r="D170" t="s">
        <v>9</v>
      </c>
      <c r="E170">
        <v>129</v>
      </c>
      <c r="F170">
        <v>20140317</v>
      </c>
      <c r="G170" t="s">
        <v>150</v>
      </c>
      <c r="H170" t="s">
        <v>151</v>
      </c>
      <c r="I170" t="s">
        <v>25</v>
      </c>
    </row>
    <row r="171" spans="1:9" x14ac:dyDescent="0.25">
      <c r="A171">
        <v>20140325</v>
      </c>
      <c r="B171" t="str">
        <f>"000325"</f>
        <v>000325</v>
      </c>
      <c r="C171" t="str">
        <f>"99998"</f>
        <v>99998</v>
      </c>
      <c r="D171" t="s">
        <v>9</v>
      </c>
      <c r="E171">
        <v>50</v>
      </c>
      <c r="F171">
        <v>20140331</v>
      </c>
      <c r="G171" t="s">
        <v>152</v>
      </c>
      <c r="H171" t="s">
        <v>153</v>
      </c>
      <c r="I171" t="s">
        <v>38</v>
      </c>
    </row>
    <row r="172" spans="1:9" x14ac:dyDescent="0.25">
      <c r="A172">
        <v>20140319</v>
      </c>
      <c r="B172" t="str">
        <f>"000340"</f>
        <v>000340</v>
      </c>
      <c r="C172" t="str">
        <f t="shared" ref="C172:C177" si="15">"00362"</f>
        <v>00362</v>
      </c>
      <c r="D172" t="s">
        <v>22</v>
      </c>
      <c r="E172">
        <v>195</v>
      </c>
      <c r="F172">
        <v>20140319</v>
      </c>
      <c r="G172" t="s">
        <v>154</v>
      </c>
      <c r="H172" t="s">
        <v>155</v>
      </c>
      <c r="I172" t="s">
        <v>25</v>
      </c>
    </row>
    <row r="173" spans="1:9" x14ac:dyDescent="0.25">
      <c r="A173">
        <v>20140319</v>
      </c>
      <c r="B173" t="str">
        <f>"000340"</f>
        <v>000340</v>
      </c>
      <c r="C173" t="str">
        <f t="shared" si="15"/>
        <v>00362</v>
      </c>
      <c r="D173" t="s">
        <v>22</v>
      </c>
      <c r="E173">
        <v>195</v>
      </c>
      <c r="F173">
        <v>20140319</v>
      </c>
      <c r="G173" t="s">
        <v>156</v>
      </c>
      <c r="H173" t="s">
        <v>155</v>
      </c>
      <c r="I173" t="s">
        <v>25</v>
      </c>
    </row>
    <row r="174" spans="1:9" x14ac:dyDescent="0.25">
      <c r="A174">
        <v>20140320</v>
      </c>
      <c r="B174" t="str">
        <f>"000342"</f>
        <v>000342</v>
      </c>
      <c r="C174" t="str">
        <f t="shared" si="15"/>
        <v>00362</v>
      </c>
      <c r="D174" t="s">
        <v>22</v>
      </c>
      <c r="E174" s="1">
        <v>2189.33</v>
      </c>
      <c r="F174">
        <v>20140320</v>
      </c>
      <c r="G174" t="s">
        <v>34</v>
      </c>
      <c r="H174" t="s">
        <v>94</v>
      </c>
      <c r="I174" t="s">
        <v>29</v>
      </c>
    </row>
    <row r="175" spans="1:9" x14ac:dyDescent="0.25">
      <c r="A175">
        <v>20140324</v>
      </c>
      <c r="B175" t="str">
        <f>"000346"</f>
        <v>000346</v>
      </c>
      <c r="C175" t="str">
        <f t="shared" si="15"/>
        <v>00362</v>
      </c>
      <c r="D175" t="s">
        <v>22</v>
      </c>
      <c r="E175">
        <v>325</v>
      </c>
      <c r="F175">
        <v>20140324</v>
      </c>
      <c r="G175" t="s">
        <v>157</v>
      </c>
      <c r="H175" t="s">
        <v>158</v>
      </c>
      <c r="I175" t="s">
        <v>25</v>
      </c>
    </row>
    <row r="176" spans="1:9" x14ac:dyDescent="0.25">
      <c r="A176">
        <v>20140324</v>
      </c>
      <c r="B176" t="str">
        <f>"000346"</f>
        <v>000346</v>
      </c>
      <c r="C176" t="str">
        <f t="shared" si="15"/>
        <v>00362</v>
      </c>
      <c r="D176" t="s">
        <v>22</v>
      </c>
      <c r="E176">
        <v>695</v>
      </c>
      <c r="F176">
        <v>20140324</v>
      </c>
      <c r="G176" t="s">
        <v>157</v>
      </c>
      <c r="H176" t="s">
        <v>158</v>
      </c>
      <c r="I176" t="s">
        <v>25</v>
      </c>
    </row>
    <row r="177" spans="1:9" x14ac:dyDescent="0.25">
      <c r="A177">
        <v>20140319</v>
      </c>
      <c r="B177" t="str">
        <f>"000350"</f>
        <v>000350</v>
      </c>
      <c r="C177" t="str">
        <f t="shared" si="15"/>
        <v>00362</v>
      </c>
      <c r="D177" t="s">
        <v>22</v>
      </c>
      <c r="E177" s="1">
        <v>1400</v>
      </c>
      <c r="F177">
        <v>20140319</v>
      </c>
      <c r="G177" t="s">
        <v>159</v>
      </c>
      <c r="H177" t="s">
        <v>160</v>
      </c>
      <c r="I177" t="s">
        <v>25</v>
      </c>
    </row>
    <row r="178" spans="1:9" x14ac:dyDescent="0.25">
      <c r="A178">
        <v>20140228</v>
      </c>
      <c r="B178" t="str">
        <f t="shared" ref="B178:B188" si="16">"000352"</f>
        <v>000352</v>
      </c>
      <c r="C178" t="str">
        <f t="shared" ref="C178:C189" si="17">"55555"</f>
        <v>55555</v>
      </c>
      <c r="D178" t="s">
        <v>52</v>
      </c>
      <c r="E178">
        <v>882.69</v>
      </c>
      <c r="F178">
        <v>20140325</v>
      </c>
      <c r="G178" t="s">
        <v>80</v>
      </c>
      <c r="H178" t="s">
        <v>161</v>
      </c>
      <c r="I178" t="s">
        <v>61</v>
      </c>
    </row>
    <row r="179" spans="1:9" x14ac:dyDescent="0.25">
      <c r="A179">
        <v>20140228</v>
      </c>
      <c r="B179" t="str">
        <f t="shared" si="16"/>
        <v>000352</v>
      </c>
      <c r="C179" t="str">
        <f t="shared" si="17"/>
        <v>55555</v>
      </c>
      <c r="D179" t="s">
        <v>52</v>
      </c>
      <c r="E179">
        <v>363.77</v>
      </c>
      <c r="F179">
        <v>20140325</v>
      </c>
      <c r="G179" t="s">
        <v>81</v>
      </c>
      <c r="H179" t="s">
        <v>161</v>
      </c>
      <c r="I179" t="s">
        <v>63</v>
      </c>
    </row>
    <row r="180" spans="1:9" x14ac:dyDescent="0.25">
      <c r="A180">
        <v>20140228</v>
      </c>
      <c r="B180" t="str">
        <f t="shared" si="16"/>
        <v>000352</v>
      </c>
      <c r="C180" t="str">
        <f t="shared" si="17"/>
        <v>55555</v>
      </c>
      <c r="D180" t="s">
        <v>52</v>
      </c>
      <c r="E180">
        <v>355.11</v>
      </c>
      <c r="F180">
        <v>20140325</v>
      </c>
      <c r="G180" t="s">
        <v>134</v>
      </c>
      <c r="H180" t="s">
        <v>161</v>
      </c>
      <c r="I180" t="s">
        <v>131</v>
      </c>
    </row>
    <row r="181" spans="1:9" x14ac:dyDescent="0.25">
      <c r="A181">
        <v>20140228</v>
      </c>
      <c r="B181" t="str">
        <f t="shared" si="16"/>
        <v>000352</v>
      </c>
      <c r="C181" t="str">
        <f t="shared" si="17"/>
        <v>55555</v>
      </c>
      <c r="D181" t="s">
        <v>52</v>
      </c>
      <c r="E181" s="1">
        <v>1492150.43</v>
      </c>
      <c r="F181">
        <v>20140325</v>
      </c>
      <c r="G181" t="s">
        <v>53</v>
      </c>
      <c r="H181" t="s">
        <v>161</v>
      </c>
      <c r="I181" t="s">
        <v>21</v>
      </c>
    </row>
    <row r="182" spans="1:9" x14ac:dyDescent="0.25">
      <c r="A182">
        <v>20140228</v>
      </c>
      <c r="B182" t="str">
        <f t="shared" si="16"/>
        <v>000352</v>
      </c>
      <c r="C182" t="str">
        <f t="shared" si="17"/>
        <v>55555</v>
      </c>
      <c r="D182" t="s">
        <v>52</v>
      </c>
      <c r="E182" s="1">
        <v>128225.65</v>
      </c>
      <c r="F182">
        <v>20140325</v>
      </c>
      <c r="G182" t="s">
        <v>82</v>
      </c>
      <c r="H182" t="s">
        <v>161</v>
      </c>
      <c r="I182" t="s">
        <v>66</v>
      </c>
    </row>
    <row r="183" spans="1:9" x14ac:dyDescent="0.25">
      <c r="A183">
        <v>20140228</v>
      </c>
      <c r="B183" t="str">
        <f t="shared" si="16"/>
        <v>000352</v>
      </c>
      <c r="C183" t="str">
        <f t="shared" si="17"/>
        <v>55555</v>
      </c>
      <c r="D183" t="s">
        <v>52</v>
      </c>
      <c r="E183" s="1">
        <v>73577.94</v>
      </c>
      <c r="F183">
        <v>20140325</v>
      </c>
      <c r="G183" t="s">
        <v>83</v>
      </c>
      <c r="H183" t="s">
        <v>161</v>
      </c>
      <c r="I183" t="s">
        <v>68</v>
      </c>
    </row>
    <row r="184" spans="1:9" x14ac:dyDescent="0.25">
      <c r="A184">
        <v>20140228</v>
      </c>
      <c r="B184" t="str">
        <f t="shared" si="16"/>
        <v>000352</v>
      </c>
      <c r="C184" t="str">
        <f t="shared" si="17"/>
        <v>55555</v>
      </c>
      <c r="D184" t="s">
        <v>52</v>
      </c>
      <c r="E184" s="1">
        <v>102176.11</v>
      </c>
      <c r="F184">
        <v>20140325</v>
      </c>
      <c r="G184" t="s">
        <v>84</v>
      </c>
      <c r="H184" t="s">
        <v>161</v>
      </c>
      <c r="I184" t="s">
        <v>12</v>
      </c>
    </row>
    <row r="185" spans="1:9" x14ac:dyDescent="0.25">
      <c r="A185">
        <v>20140228</v>
      </c>
      <c r="B185" t="str">
        <f t="shared" si="16"/>
        <v>000352</v>
      </c>
      <c r="C185" t="str">
        <f t="shared" si="17"/>
        <v>55555</v>
      </c>
      <c r="D185" t="s">
        <v>52</v>
      </c>
      <c r="E185" s="1">
        <v>8747.98</v>
      </c>
      <c r="F185">
        <v>20140325</v>
      </c>
      <c r="G185" t="s">
        <v>85</v>
      </c>
      <c r="H185" t="s">
        <v>161</v>
      </c>
      <c r="I185" t="s">
        <v>71</v>
      </c>
    </row>
    <row r="186" spans="1:9" x14ac:dyDescent="0.25">
      <c r="A186">
        <v>20140228</v>
      </c>
      <c r="B186" t="str">
        <f t="shared" si="16"/>
        <v>000352</v>
      </c>
      <c r="C186" t="str">
        <f t="shared" si="17"/>
        <v>55555</v>
      </c>
      <c r="D186" t="s">
        <v>52</v>
      </c>
      <c r="E186" s="1">
        <v>13436.41</v>
      </c>
      <c r="F186">
        <v>20140325</v>
      </c>
      <c r="G186" t="s">
        <v>86</v>
      </c>
      <c r="H186" t="s">
        <v>161</v>
      </c>
      <c r="I186" t="s">
        <v>73</v>
      </c>
    </row>
    <row r="187" spans="1:9" x14ac:dyDescent="0.25">
      <c r="A187">
        <v>20140228</v>
      </c>
      <c r="B187" t="str">
        <f t="shared" si="16"/>
        <v>000352</v>
      </c>
      <c r="C187" t="str">
        <f t="shared" si="17"/>
        <v>55555</v>
      </c>
      <c r="D187" t="s">
        <v>52</v>
      </c>
      <c r="E187" s="1">
        <v>1728.77</v>
      </c>
      <c r="F187">
        <v>20140325</v>
      </c>
      <c r="G187" t="s">
        <v>87</v>
      </c>
      <c r="H187" t="s">
        <v>161</v>
      </c>
      <c r="I187" t="s">
        <v>75</v>
      </c>
    </row>
    <row r="188" spans="1:9" x14ac:dyDescent="0.25">
      <c r="A188">
        <v>20140228</v>
      </c>
      <c r="B188" t="str">
        <f t="shared" si="16"/>
        <v>000352</v>
      </c>
      <c r="C188" t="str">
        <f t="shared" si="17"/>
        <v>55555</v>
      </c>
      <c r="D188" t="s">
        <v>52</v>
      </c>
      <c r="E188" s="1">
        <v>46766.62</v>
      </c>
      <c r="F188">
        <v>20140325</v>
      </c>
      <c r="G188" t="s">
        <v>89</v>
      </c>
      <c r="H188" t="s">
        <v>161</v>
      </c>
      <c r="I188" t="s">
        <v>79</v>
      </c>
    </row>
    <row r="189" spans="1:9" x14ac:dyDescent="0.25">
      <c r="A189">
        <v>20140331</v>
      </c>
      <c r="B189" t="str">
        <f>"000353"</f>
        <v>000353</v>
      </c>
      <c r="C189" t="str">
        <f t="shared" si="17"/>
        <v>55555</v>
      </c>
      <c r="D189" t="s">
        <v>52</v>
      </c>
      <c r="E189" s="1">
        <v>750000</v>
      </c>
      <c r="F189">
        <v>20140325</v>
      </c>
      <c r="G189" t="s">
        <v>53</v>
      </c>
      <c r="H189" t="s">
        <v>161</v>
      </c>
      <c r="I189" t="s">
        <v>21</v>
      </c>
    </row>
    <row r="190" spans="1:9" x14ac:dyDescent="0.25">
      <c r="A190">
        <v>20140325</v>
      </c>
      <c r="B190" t="str">
        <f t="shared" ref="B190:B200" si="18">"000355"</f>
        <v>000355</v>
      </c>
      <c r="C190" t="str">
        <f t="shared" ref="C190:C200" si="19">"79801"</f>
        <v>79801</v>
      </c>
      <c r="D190" t="s">
        <v>17</v>
      </c>
      <c r="E190">
        <v>8</v>
      </c>
      <c r="F190">
        <v>20140325</v>
      </c>
      <c r="G190" t="s">
        <v>60</v>
      </c>
      <c r="I190" t="s">
        <v>61</v>
      </c>
    </row>
    <row r="191" spans="1:9" x14ac:dyDescent="0.25">
      <c r="A191">
        <v>20140325</v>
      </c>
      <c r="B191" t="str">
        <f t="shared" si="18"/>
        <v>000355</v>
      </c>
      <c r="C191" t="str">
        <f t="shared" si="19"/>
        <v>79801</v>
      </c>
      <c r="D191" t="s">
        <v>17</v>
      </c>
      <c r="E191">
        <v>3.29</v>
      </c>
      <c r="F191">
        <v>20140325</v>
      </c>
      <c r="G191" t="s">
        <v>62</v>
      </c>
      <c r="I191" t="s">
        <v>63</v>
      </c>
    </row>
    <row r="192" spans="1:9" x14ac:dyDescent="0.25">
      <c r="A192">
        <v>20140325</v>
      </c>
      <c r="B192" t="str">
        <f t="shared" si="18"/>
        <v>000355</v>
      </c>
      <c r="C192" t="str">
        <f t="shared" si="19"/>
        <v>79801</v>
      </c>
      <c r="D192" t="s">
        <v>17</v>
      </c>
      <c r="E192">
        <v>3.33</v>
      </c>
      <c r="F192">
        <v>20140325</v>
      </c>
      <c r="G192" t="s">
        <v>130</v>
      </c>
      <c r="I192" t="s">
        <v>131</v>
      </c>
    </row>
    <row r="193" spans="1:9" x14ac:dyDescent="0.25">
      <c r="A193">
        <v>20140325</v>
      </c>
      <c r="B193" t="str">
        <f t="shared" si="18"/>
        <v>000355</v>
      </c>
      <c r="C193" t="str">
        <f t="shared" si="19"/>
        <v>79801</v>
      </c>
      <c r="D193" t="s">
        <v>17</v>
      </c>
      <c r="E193" s="1">
        <v>23882.63</v>
      </c>
      <c r="F193">
        <v>20140325</v>
      </c>
      <c r="G193" t="s">
        <v>64</v>
      </c>
      <c r="I193" t="s">
        <v>21</v>
      </c>
    </row>
    <row r="194" spans="1:9" x14ac:dyDescent="0.25">
      <c r="A194">
        <v>20140325</v>
      </c>
      <c r="B194" t="str">
        <f t="shared" si="18"/>
        <v>000355</v>
      </c>
      <c r="C194" t="str">
        <f t="shared" si="19"/>
        <v>79801</v>
      </c>
      <c r="D194" t="s">
        <v>17</v>
      </c>
      <c r="E194" s="1">
        <v>1193.1300000000001</v>
      </c>
      <c r="F194">
        <v>20140325</v>
      </c>
      <c r="G194" t="s">
        <v>65</v>
      </c>
      <c r="I194" t="s">
        <v>66</v>
      </c>
    </row>
    <row r="195" spans="1:9" x14ac:dyDescent="0.25">
      <c r="A195">
        <v>20140325</v>
      </c>
      <c r="B195" t="str">
        <f t="shared" si="18"/>
        <v>000355</v>
      </c>
      <c r="C195" t="str">
        <f t="shared" si="19"/>
        <v>79801</v>
      </c>
      <c r="D195" t="s">
        <v>17</v>
      </c>
      <c r="E195">
        <v>546.48</v>
      </c>
      <c r="F195">
        <v>20140325</v>
      </c>
      <c r="G195" t="s">
        <v>67</v>
      </c>
      <c r="I195" t="s">
        <v>68</v>
      </c>
    </row>
    <row r="196" spans="1:9" x14ac:dyDescent="0.25">
      <c r="A196">
        <v>20140325</v>
      </c>
      <c r="B196" t="str">
        <f t="shared" si="18"/>
        <v>000355</v>
      </c>
      <c r="C196" t="str">
        <f t="shared" si="19"/>
        <v>79801</v>
      </c>
      <c r="D196" t="s">
        <v>17</v>
      </c>
      <c r="E196">
        <v>914.28</v>
      </c>
      <c r="F196">
        <v>20140325</v>
      </c>
      <c r="G196" t="s">
        <v>69</v>
      </c>
      <c r="I196" t="s">
        <v>12</v>
      </c>
    </row>
    <row r="197" spans="1:9" x14ac:dyDescent="0.25">
      <c r="A197">
        <v>20140325</v>
      </c>
      <c r="B197" t="str">
        <f t="shared" si="18"/>
        <v>000355</v>
      </c>
      <c r="C197" t="str">
        <f t="shared" si="19"/>
        <v>79801</v>
      </c>
      <c r="D197" t="s">
        <v>17</v>
      </c>
      <c r="E197">
        <v>80.510000000000005</v>
      </c>
      <c r="F197">
        <v>20140325</v>
      </c>
      <c r="G197" t="s">
        <v>70</v>
      </c>
      <c r="I197" t="s">
        <v>71</v>
      </c>
    </row>
    <row r="198" spans="1:9" x14ac:dyDescent="0.25">
      <c r="A198">
        <v>20140325</v>
      </c>
      <c r="B198" t="str">
        <f t="shared" si="18"/>
        <v>000355</v>
      </c>
      <c r="C198" t="str">
        <f t="shared" si="19"/>
        <v>79801</v>
      </c>
      <c r="D198" t="s">
        <v>17</v>
      </c>
      <c r="E198">
        <v>119.55</v>
      </c>
      <c r="F198">
        <v>20140325</v>
      </c>
      <c r="G198" t="s">
        <v>72</v>
      </c>
      <c r="I198" t="s">
        <v>73</v>
      </c>
    </row>
    <row r="199" spans="1:9" x14ac:dyDescent="0.25">
      <c r="A199">
        <v>20140325</v>
      </c>
      <c r="B199" t="str">
        <f t="shared" si="18"/>
        <v>000355</v>
      </c>
      <c r="C199" t="str">
        <f t="shared" si="19"/>
        <v>79801</v>
      </c>
      <c r="D199" t="s">
        <v>17</v>
      </c>
      <c r="E199">
        <v>12.5</v>
      </c>
      <c r="F199">
        <v>20140325</v>
      </c>
      <c r="G199" t="s">
        <v>74</v>
      </c>
      <c r="I199" t="s">
        <v>75</v>
      </c>
    </row>
    <row r="200" spans="1:9" x14ac:dyDescent="0.25">
      <c r="A200">
        <v>20140325</v>
      </c>
      <c r="B200" t="str">
        <f t="shared" si="18"/>
        <v>000355</v>
      </c>
      <c r="C200" t="str">
        <f t="shared" si="19"/>
        <v>79801</v>
      </c>
      <c r="D200" t="s">
        <v>17</v>
      </c>
      <c r="E200">
        <v>478.61</v>
      </c>
      <c r="F200">
        <v>20140325</v>
      </c>
      <c r="G200" t="s">
        <v>78</v>
      </c>
      <c r="I200" t="s">
        <v>79</v>
      </c>
    </row>
    <row r="201" spans="1:9" x14ac:dyDescent="0.25">
      <c r="A201">
        <v>20140327</v>
      </c>
      <c r="B201" t="str">
        <f>"000357"</f>
        <v>000357</v>
      </c>
      <c r="C201" t="str">
        <f>"00362"</f>
        <v>00362</v>
      </c>
      <c r="D201" t="s">
        <v>22</v>
      </c>
      <c r="E201">
        <v>120</v>
      </c>
      <c r="F201">
        <v>20140327</v>
      </c>
      <c r="G201" t="s">
        <v>41</v>
      </c>
      <c r="H201" t="s">
        <v>162</v>
      </c>
      <c r="I201" t="s">
        <v>38</v>
      </c>
    </row>
    <row r="202" spans="1:9" x14ac:dyDescent="0.25">
      <c r="A202">
        <v>20140327</v>
      </c>
      <c r="B202" t="str">
        <f>"000358"</f>
        <v>000358</v>
      </c>
      <c r="C202" t="str">
        <f>"00362"</f>
        <v>00362</v>
      </c>
      <c r="D202" t="s">
        <v>22</v>
      </c>
      <c r="E202">
        <v>325</v>
      </c>
      <c r="F202">
        <v>20140327</v>
      </c>
      <c r="G202" t="s">
        <v>41</v>
      </c>
      <c r="H202" t="s">
        <v>163</v>
      </c>
      <c r="I202" t="s">
        <v>38</v>
      </c>
    </row>
    <row r="203" spans="1:9" x14ac:dyDescent="0.25">
      <c r="A203">
        <v>20140328</v>
      </c>
      <c r="B203" t="str">
        <f t="shared" ref="B203:B209" si="20">"000359"</f>
        <v>000359</v>
      </c>
      <c r="C203" t="str">
        <f t="shared" ref="C203:C211" si="21">"55555"</f>
        <v>55555</v>
      </c>
      <c r="D203" t="s">
        <v>52</v>
      </c>
      <c r="E203" s="1">
        <v>29008.13</v>
      </c>
      <c r="F203">
        <v>20140328</v>
      </c>
      <c r="G203" t="s">
        <v>53</v>
      </c>
      <c r="I203" t="s">
        <v>21</v>
      </c>
    </row>
    <row r="204" spans="1:9" x14ac:dyDescent="0.25">
      <c r="A204">
        <v>20140328</v>
      </c>
      <c r="B204" t="str">
        <f t="shared" si="20"/>
        <v>000359</v>
      </c>
      <c r="C204" t="str">
        <f t="shared" si="21"/>
        <v>55555</v>
      </c>
      <c r="D204" t="s">
        <v>52</v>
      </c>
      <c r="E204">
        <v>180.22</v>
      </c>
      <c r="F204">
        <v>20140328</v>
      </c>
      <c r="G204" t="s">
        <v>82</v>
      </c>
      <c r="I204" t="s">
        <v>66</v>
      </c>
    </row>
    <row r="205" spans="1:9" x14ac:dyDescent="0.25">
      <c r="A205">
        <v>20140328</v>
      </c>
      <c r="B205" t="str">
        <f t="shared" si="20"/>
        <v>000359</v>
      </c>
      <c r="C205" t="str">
        <f t="shared" si="21"/>
        <v>55555</v>
      </c>
      <c r="D205" t="s">
        <v>52</v>
      </c>
      <c r="E205">
        <v>76.88</v>
      </c>
      <c r="F205">
        <v>20140328</v>
      </c>
      <c r="G205" t="s">
        <v>83</v>
      </c>
      <c r="I205" t="s">
        <v>68</v>
      </c>
    </row>
    <row r="206" spans="1:9" x14ac:dyDescent="0.25">
      <c r="A206">
        <v>20140328</v>
      </c>
      <c r="B206" t="str">
        <f t="shared" si="20"/>
        <v>000359</v>
      </c>
      <c r="C206" t="str">
        <f t="shared" si="21"/>
        <v>55555</v>
      </c>
      <c r="D206" t="s">
        <v>52</v>
      </c>
      <c r="E206">
        <v>49.34</v>
      </c>
      <c r="F206">
        <v>20140328</v>
      </c>
      <c r="G206" t="s">
        <v>85</v>
      </c>
      <c r="I206" t="s">
        <v>71</v>
      </c>
    </row>
    <row r="207" spans="1:9" x14ac:dyDescent="0.25">
      <c r="A207">
        <v>20140328</v>
      </c>
      <c r="B207" t="str">
        <f t="shared" si="20"/>
        <v>000359</v>
      </c>
      <c r="C207" t="str">
        <f t="shared" si="21"/>
        <v>55555</v>
      </c>
      <c r="D207" t="s">
        <v>52</v>
      </c>
      <c r="E207">
        <v>16.46</v>
      </c>
      <c r="F207">
        <v>20140328</v>
      </c>
      <c r="G207" t="s">
        <v>86</v>
      </c>
      <c r="I207" t="s">
        <v>73</v>
      </c>
    </row>
    <row r="208" spans="1:9" x14ac:dyDescent="0.25">
      <c r="A208">
        <v>20140328</v>
      </c>
      <c r="B208" t="str">
        <f t="shared" si="20"/>
        <v>000359</v>
      </c>
      <c r="C208" t="str">
        <f t="shared" si="21"/>
        <v>55555</v>
      </c>
      <c r="D208" t="s">
        <v>52</v>
      </c>
      <c r="E208">
        <v>26.66</v>
      </c>
      <c r="F208">
        <v>20140328</v>
      </c>
      <c r="G208" t="s">
        <v>87</v>
      </c>
      <c r="I208" t="s">
        <v>75</v>
      </c>
    </row>
    <row r="209" spans="1:9" x14ac:dyDescent="0.25">
      <c r="A209">
        <v>20140328</v>
      </c>
      <c r="B209" t="str">
        <f t="shared" si="20"/>
        <v>000359</v>
      </c>
      <c r="C209" t="str">
        <f t="shared" si="21"/>
        <v>55555</v>
      </c>
      <c r="D209" t="s">
        <v>52</v>
      </c>
      <c r="E209">
        <v>503.91</v>
      </c>
      <c r="F209">
        <v>20140328</v>
      </c>
      <c r="G209" t="s">
        <v>89</v>
      </c>
      <c r="I209" t="s">
        <v>79</v>
      </c>
    </row>
    <row r="210" spans="1:9" x14ac:dyDescent="0.25">
      <c r="A210">
        <v>20140328</v>
      </c>
      <c r="B210" t="str">
        <f>"000360"</f>
        <v>000360</v>
      </c>
      <c r="C210" t="str">
        <f t="shared" si="21"/>
        <v>55555</v>
      </c>
      <c r="D210" t="s">
        <v>52</v>
      </c>
      <c r="E210">
        <v>120.18</v>
      </c>
      <c r="F210">
        <v>20140328</v>
      </c>
      <c r="G210" t="s">
        <v>53</v>
      </c>
      <c r="I210" t="s">
        <v>21</v>
      </c>
    </row>
    <row r="211" spans="1:9" x14ac:dyDescent="0.25">
      <c r="A211">
        <v>20140328</v>
      </c>
      <c r="B211" t="str">
        <f>"000360"</f>
        <v>000360</v>
      </c>
      <c r="C211" t="str">
        <f t="shared" si="21"/>
        <v>55555</v>
      </c>
      <c r="D211" t="s">
        <v>52</v>
      </c>
      <c r="E211">
        <v>-120.18</v>
      </c>
      <c r="F211">
        <v>20140401</v>
      </c>
      <c r="G211" t="s">
        <v>53</v>
      </c>
      <c r="H211" t="s">
        <v>164</v>
      </c>
      <c r="I211" t="s">
        <v>21</v>
      </c>
    </row>
    <row r="212" spans="1:9" x14ac:dyDescent="0.25">
      <c r="A212">
        <v>20140331</v>
      </c>
      <c r="B212" t="str">
        <f>"000360"</f>
        <v>000360</v>
      </c>
      <c r="C212" t="str">
        <f>"83309"</f>
        <v>83309</v>
      </c>
      <c r="D212" t="s">
        <v>98</v>
      </c>
      <c r="E212">
        <v>6</v>
      </c>
      <c r="F212">
        <v>20140401</v>
      </c>
      <c r="G212" t="s">
        <v>99</v>
      </c>
      <c r="H212" t="s">
        <v>100</v>
      </c>
      <c r="I212" t="s">
        <v>21</v>
      </c>
    </row>
    <row r="213" spans="1:9" x14ac:dyDescent="0.25">
      <c r="A213">
        <v>20140325</v>
      </c>
      <c r="B213" t="str">
        <f>"000361"</f>
        <v>000361</v>
      </c>
      <c r="C213" t="str">
        <f>"83327"</f>
        <v>83327</v>
      </c>
      <c r="D213" t="s">
        <v>18</v>
      </c>
      <c r="E213" s="1">
        <v>69617.440000000002</v>
      </c>
      <c r="F213">
        <v>20140401</v>
      </c>
      <c r="G213" t="s">
        <v>19</v>
      </c>
      <c r="I213" t="s">
        <v>21</v>
      </c>
    </row>
    <row r="214" spans="1:9" x14ac:dyDescent="0.25">
      <c r="A214">
        <v>20140402</v>
      </c>
      <c r="B214" t="str">
        <f>"000402"</f>
        <v>000402</v>
      </c>
      <c r="C214" t="str">
        <f>"00362"</f>
        <v>00362</v>
      </c>
      <c r="D214" t="s">
        <v>22</v>
      </c>
      <c r="E214" s="1">
        <v>1015</v>
      </c>
      <c r="F214">
        <v>20140402</v>
      </c>
      <c r="G214" t="s">
        <v>165</v>
      </c>
      <c r="H214" t="s">
        <v>166</v>
      </c>
      <c r="I214" t="s">
        <v>21</v>
      </c>
    </row>
    <row r="215" spans="1:9" x14ac:dyDescent="0.25">
      <c r="A215">
        <v>20140403</v>
      </c>
      <c r="B215" t="str">
        <f>"000403"</f>
        <v>000403</v>
      </c>
      <c r="C215" t="str">
        <f>"55555"</f>
        <v>55555</v>
      </c>
      <c r="D215" t="s">
        <v>52</v>
      </c>
      <c r="E215">
        <v>120.18</v>
      </c>
      <c r="F215">
        <v>20140403</v>
      </c>
      <c r="G215" t="s">
        <v>53</v>
      </c>
      <c r="H215" t="s">
        <v>167</v>
      </c>
      <c r="I215" t="s">
        <v>21</v>
      </c>
    </row>
    <row r="216" spans="1:9" x14ac:dyDescent="0.25">
      <c r="A216">
        <v>20140403</v>
      </c>
      <c r="B216" t="str">
        <f>"000404"</f>
        <v>000404</v>
      </c>
      <c r="C216" t="str">
        <f>"00362"</f>
        <v>00362</v>
      </c>
      <c r="D216" t="s">
        <v>22</v>
      </c>
      <c r="E216">
        <v>395</v>
      </c>
      <c r="F216">
        <v>20140404</v>
      </c>
      <c r="G216" t="s">
        <v>157</v>
      </c>
      <c r="H216" t="s">
        <v>168</v>
      </c>
      <c r="I216" t="s">
        <v>25</v>
      </c>
    </row>
    <row r="217" spans="1:9" x14ac:dyDescent="0.25">
      <c r="A217">
        <v>20140414</v>
      </c>
      <c r="B217" t="str">
        <f>"000405"</f>
        <v>000405</v>
      </c>
      <c r="C217" t="str">
        <f>"55555"</f>
        <v>55555</v>
      </c>
      <c r="D217" t="s">
        <v>52</v>
      </c>
      <c r="E217" s="1">
        <v>291125.15999999997</v>
      </c>
      <c r="F217">
        <v>20140411</v>
      </c>
      <c r="G217" t="s">
        <v>53</v>
      </c>
      <c r="H217" t="s">
        <v>54</v>
      </c>
      <c r="I217" t="s">
        <v>21</v>
      </c>
    </row>
    <row r="218" spans="1:9" x14ac:dyDescent="0.25">
      <c r="A218">
        <v>20140404</v>
      </c>
      <c r="B218" t="str">
        <f>"000409"</f>
        <v>000409</v>
      </c>
      <c r="C218" t="str">
        <f>"73700"</f>
        <v>73700</v>
      </c>
      <c r="D218" t="s">
        <v>55</v>
      </c>
      <c r="E218" s="1">
        <v>575000</v>
      </c>
      <c r="F218">
        <v>20140414</v>
      </c>
      <c r="G218" t="s">
        <v>56</v>
      </c>
      <c r="I218" t="s">
        <v>21</v>
      </c>
    </row>
    <row r="219" spans="1:9" x14ac:dyDescent="0.25">
      <c r="A219">
        <v>20140414</v>
      </c>
      <c r="B219" t="str">
        <f>"000410"</f>
        <v>000410</v>
      </c>
      <c r="C219" t="str">
        <f>"00362"</f>
        <v>00362</v>
      </c>
      <c r="D219" t="s">
        <v>22</v>
      </c>
      <c r="E219">
        <v>120</v>
      </c>
      <c r="F219">
        <v>20140414</v>
      </c>
      <c r="G219" t="s">
        <v>169</v>
      </c>
      <c r="H219" t="s">
        <v>170</v>
      </c>
      <c r="I219" t="s">
        <v>21</v>
      </c>
    </row>
    <row r="220" spans="1:9" x14ac:dyDescent="0.25">
      <c r="A220">
        <v>20140414</v>
      </c>
      <c r="B220" t="str">
        <f>"000411"</f>
        <v>000411</v>
      </c>
      <c r="C220" t="str">
        <f>"00383"</f>
        <v>00383</v>
      </c>
      <c r="D220" t="s">
        <v>12</v>
      </c>
      <c r="E220">
        <v>18.579999999999998</v>
      </c>
      <c r="F220">
        <v>20140414</v>
      </c>
      <c r="G220" t="s">
        <v>171</v>
      </c>
      <c r="H220" t="s">
        <v>172</v>
      </c>
      <c r="I220" t="s">
        <v>38</v>
      </c>
    </row>
    <row r="221" spans="1:9" x14ac:dyDescent="0.25">
      <c r="A221">
        <v>20140415</v>
      </c>
      <c r="B221" t="str">
        <f>"000412"</f>
        <v>000412</v>
      </c>
      <c r="C221" t="str">
        <f>"00362"</f>
        <v>00362</v>
      </c>
      <c r="D221" t="s">
        <v>22</v>
      </c>
      <c r="E221" s="1">
        <v>1747.4</v>
      </c>
      <c r="F221">
        <v>20140415</v>
      </c>
      <c r="G221" t="s">
        <v>34</v>
      </c>
      <c r="H221" t="s">
        <v>173</v>
      </c>
      <c r="I221" t="s">
        <v>29</v>
      </c>
    </row>
    <row r="222" spans="1:9" x14ac:dyDescent="0.25">
      <c r="A222">
        <v>20140415</v>
      </c>
      <c r="B222" t="str">
        <f>"000412"</f>
        <v>000412</v>
      </c>
      <c r="C222" t="str">
        <f>"00362"</f>
        <v>00362</v>
      </c>
      <c r="D222" t="s">
        <v>22</v>
      </c>
      <c r="E222">
        <v>21.33</v>
      </c>
      <c r="F222">
        <v>20140415</v>
      </c>
      <c r="G222" t="s">
        <v>31</v>
      </c>
      <c r="I222" t="s">
        <v>29</v>
      </c>
    </row>
    <row r="223" spans="1:9" x14ac:dyDescent="0.25">
      <c r="A223">
        <v>20140415</v>
      </c>
      <c r="B223" t="str">
        <f>"000412"</f>
        <v>000412</v>
      </c>
      <c r="C223" t="str">
        <f>"00362"</f>
        <v>00362</v>
      </c>
      <c r="D223" t="s">
        <v>22</v>
      </c>
      <c r="E223">
        <v>123.52</v>
      </c>
      <c r="F223">
        <v>20140415</v>
      </c>
      <c r="G223" t="s">
        <v>32</v>
      </c>
      <c r="I223" t="s">
        <v>33</v>
      </c>
    </row>
    <row r="224" spans="1:9" x14ac:dyDescent="0.25">
      <c r="A224">
        <v>20140414</v>
      </c>
      <c r="B224" t="str">
        <f>"000413"</f>
        <v>000413</v>
      </c>
      <c r="C224" t="str">
        <f>"99998"</f>
        <v>99998</v>
      </c>
      <c r="D224" t="s">
        <v>9</v>
      </c>
      <c r="E224">
        <v>20</v>
      </c>
      <c r="F224">
        <v>20140415</v>
      </c>
      <c r="G224" t="s">
        <v>174</v>
      </c>
      <c r="H224" t="s">
        <v>175</v>
      </c>
      <c r="I224" t="s">
        <v>25</v>
      </c>
    </row>
    <row r="225" spans="1:9" x14ac:dyDescent="0.25">
      <c r="A225">
        <v>20140414</v>
      </c>
      <c r="B225" t="str">
        <f>"000413"</f>
        <v>000413</v>
      </c>
      <c r="C225" t="str">
        <f>"99998"</f>
        <v>99998</v>
      </c>
      <c r="D225" t="s">
        <v>9</v>
      </c>
      <c r="E225">
        <v>35</v>
      </c>
      <c r="F225">
        <v>20140415</v>
      </c>
      <c r="G225" t="s">
        <v>176</v>
      </c>
      <c r="H225" t="s">
        <v>177</v>
      </c>
      <c r="I225" t="s">
        <v>25</v>
      </c>
    </row>
    <row r="226" spans="1:9" x14ac:dyDescent="0.25">
      <c r="A226">
        <v>20140415</v>
      </c>
      <c r="B226" t="str">
        <f>"000414"</f>
        <v>000414</v>
      </c>
      <c r="C226" t="str">
        <f>"87269"</f>
        <v>87269</v>
      </c>
      <c r="D226" t="s">
        <v>178</v>
      </c>
      <c r="E226">
        <v>300</v>
      </c>
      <c r="F226">
        <v>20140415</v>
      </c>
      <c r="G226" t="s">
        <v>179</v>
      </c>
      <c r="H226" t="s">
        <v>180</v>
      </c>
      <c r="I226" t="s">
        <v>21</v>
      </c>
    </row>
    <row r="227" spans="1:9" x14ac:dyDescent="0.25">
      <c r="A227">
        <v>20140418</v>
      </c>
      <c r="B227" t="str">
        <f>"000415"</f>
        <v>000415</v>
      </c>
      <c r="C227" t="str">
        <f>"00383"</f>
        <v>00383</v>
      </c>
      <c r="D227" t="s">
        <v>12</v>
      </c>
      <c r="E227">
        <v>187.52</v>
      </c>
      <c r="F227">
        <v>20140418</v>
      </c>
      <c r="G227" t="s">
        <v>181</v>
      </c>
      <c r="H227" t="s">
        <v>182</v>
      </c>
      <c r="I227" t="s">
        <v>38</v>
      </c>
    </row>
    <row r="228" spans="1:9" x14ac:dyDescent="0.25">
      <c r="A228">
        <v>20140421</v>
      </c>
      <c r="B228" t="str">
        <f t="shared" ref="B228:B239" si="22">"000416"</f>
        <v>000416</v>
      </c>
      <c r="C228" t="str">
        <f t="shared" ref="C228:C239" si="23">"79801"</f>
        <v>79801</v>
      </c>
      <c r="D228" t="s">
        <v>17</v>
      </c>
      <c r="E228">
        <v>5.89</v>
      </c>
      <c r="F228">
        <v>20140422</v>
      </c>
      <c r="G228" t="s">
        <v>60</v>
      </c>
      <c r="I228" t="s">
        <v>61</v>
      </c>
    </row>
    <row r="229" spans="1:9" x14ac:dyDescent="0.25">
      <c r="A229">
        <v>20140421</v>
      </c>
      <c r="B229" t="str">
        <f t="shared" si="22"/>
        <v>000416</v>
      </c>
      <c r="C229" t="str">
        <f t="shared" si="23"/>
        <v>79801</v>
      </c>
      <c r="D229" t="s">
        <v>17</v>
      </c>
      <c r="E229">
        <v>1.71</v>
      </c>
      <c r="F229">
        <v>20140422</v>
      </c>
      <c r="G229" t="s">
        <v>62</v>
      </c>
      <c r="I229" t="s">
        <v>63</v>
      </c>
    </row>
    <row r="230" spans="1:9" x14ac:dyDescent="0.25">
      <c r="A230">
        <v>20140421</v>
      </c>
      <c r="B230" t="str">
        <f t="shared" si="22"/>
        <v>000416</v>
      </c>
      <c r="C230" t="str">
        <f t="shared" si="23"/>
        <v>79801</v>
      </c>
      <c r="D230" t="s">
        <v>17</v>
      </c>
      <c r="E230">
        <v>7.61</v>
      </c>
      <c r="F230">
        <v>20140422</v>
      </c>
      <c r="G230" t="s">
        <v>130</v>
      </c>
      <c r="I230" t="s">
        <v>131</v>
      </c>
    </row>
    <row r="231" spans="1:9" x14ac:dyDescent="0.25">
      <c r="A231">
        <v>20140421</v>
      </c>
      <c r="B231" t="str">
        <f t="shared" si="22"/>
        <v>000416</v>
      </c>
      <c r="C231" t="str">
        <f t="shared" si="23"/>
        <v>79801</v>
      </c>
      <c r="D231" t="s">
        <v>17</v>
      </c>
      <c r="E231" s="1">
        <v>23903.62</v>
      </c>
      <c r="F231">
        <v>20140422</v>
      </c>
      <c r="G231" t="s">
        <v>64</v>
      </c>
      <c r="I231" t="s">
        <v>21</v>
      </c>
    </row>
    <row r="232" spans="1:9" x14ac:dyDescent="0.25">
      <c r="A232">
        <v>20140421</v>
      </c>
      <c r="B232" t="str">
        <f t="shared" si="22"/>
        <v>000416</v>
      </c>
      <c r="C232" t="str">
        <f t="shared" si="23"/>
        <v>79801</v>
      </c>
      <c r="D232" t="s">
        <v>17</v>
      </c>
      <c r="E232" s="1">
        <v>1188.3599999999999</v>
      </c>
      <c r="F232">
        <v>20140422</v>
      </c>
      <c r="G232" t="s">
        <v>65</v>
      </c>
      <c r="I232" t="s">
        <v>66</v>
      </c>
    </row>
    <row r="233" spans="1:9" x14ac:dyDescent="0.25">
      <c r="A233">
        <v>20140421</v>
      </c>
      <c r="B233" t="str">
        <f t="shared" si="22"/>
        <v>000416</v>
      </c>
      <c r="C233" t="str">
        <f t="shared" si="23"/>
        <v>79801</v>
      </c>
      <c r="D233" t="s">
        <v>17</v>
      </c>
      <c r="E233">
        <v>587.51</v>
      </c>
      <c r="F233">
        <v>20140422</v>
      </c>
      <c r="G233" t="s">
        <v>67</v>
      </c>
      <c r="I233" t="s">
        <v>68</v>
      </c>
    </row>
    <row r="234" spans="1:9" x14ac:dyDescent="0.25">
      <c r="A234">
        <v>20140421</v>
      </c>
      <c r="B234" t="str">
        <f t="shared" si="22"/>
        <v>000416</v>
      </c>
      <c r="C234" t="str">
        <f t="shared" si="23"/>
        <v>79801</v>
      </c>
      <c r="D234" t="s">
        <v>17</v>
      </c>
      <c r="E234">
        <v>960.22</v>
      </c>
      <c r="F234">
        <v>20140422</v>
      </c>
      <c r="G234" t="s">
        <v>69</v>
      </c>
      <c r="I234" t="s">
        <v>12</v>
      </c>
    </row>
    <row r="235" spans="1:9" x14ac:dyDescent="0.25">
      <c r="A235">
        <v>20140421</v>
      </c>
      <c r="B235" t="str">
        <f t="shared" si="22"/>
        <v>000416</v>
      </c>
      <c r="C235" t="str">
        <f t="shared" si="23"/>
        <v>79801</v>
      </c>
      <c r="D235" t="s">
        <v>17</v>
      </c>
      <c r="E235">
        <v>80.510000000000005</v>
      </c>
      <c r="F235">
        <v>20140422</v>
      </c>
      <c r="G235" t="s">
        <v>70</v>
      </c>
      <c r="I235" t="s">
        <v>71</v>
      </c>
    </row>
    <row r="236" spans="1:9" x14ac:dyDescent="0.25">
      <c r="A236">
        <v>20140421</v>
      </c>
      <c r="B236" t="str">
        <f t="shared" si="22"/>
        <v>000416</v>
      </c>
      <c r="C236" t="str">
        <f t="shared" si="23"/>
        <v>79801</v>
      </c>
      <c r="D236" t="s">
        <v>17</v>
      </c>
      <c r="E236">
        <v>119.55</v>
      </c>
      <c r="F236">
        <v>20140422</v>
      </c>
      <c r="G236" t="s">
        <v>72</v>
      </c>
      <c r="I236" t="s">
        <v>73</v>
      </c>
    </row>
    <row r="237" spans="1:9" x14ac:dyDescent="0.25">
      <c r="A237">
        <v>20140421</v>
      </c>
      <c r="B237" t="str">
        <f t="shared" si="22"/>
        <v>000416</v>
      </c>
      <c r="C237" t="str">
        <f t="shared" si="23"/>
        <v>79801</v>
      </c>
      <c r="D237" t="s">
        <v>17</v>
      </c>
      <c r="E237">
        <v>12.5</v>
      </c>
      <c r="F237">
        <v>20140422</v>
      </c>
      <c r="G237" t="s">
        <v>74</v>
      </c>
      <c r="I237" t="s">
        <v>75</v>
      </c>
    </row>
    <row r="238" spans="1:9" x14ac:dyDescent="0.25">
      <c r="A238">
        <v>20140421</v>
      </c>
      <c r="B238" t="str">
        <f t="shared" si="22"/>
        <v>000416</v>
      </c>
      <c r="C238" t="str">
        <f t="shared" si="23"/>
        <v>79801</v>
      </c>
      <c r="D238" t="s">
        <v>17</v>
      </c>
      <c r="E238">
        <v>15.49</v>
      </c>
      <c r="F238">
        <v>20140422</v>
      </c>
      <c r="G238" t="s">
        <v>76</v>
      </c>
      <c r="I238" t="s">
        <v>77</v>
      </c>
    </row>
    <row r="239" spans="1:9" x14ac:dyDescent="0.25">
      <c r="A239">
        <v>20140421</v>
      </c>
      <c r="B239" t="str">
        <f t="shared" si="22"/>
        <v>000416</v>
      </c>
      <c r="C239" t="str">
        <f t="shared" si="23"/>
        <v>79801</v>
      </c>
      <c r="D239" t="s">
        <v>17</v>
      </c>
      <c r="E239">
        <v>487.66</v>
      </c>
      <c r="F239">
        <v>20140422</v>
      </c>
      <c r="G239" t="s">
        <v>78</v>
      </c>
      <c r="I239" t="s">
        <v>79</v>
      </c>
    </row>
    <row r="240" spans="1:9" x14ac:dyDescent="0.25">
      <c r="A240">
        <v>20140422</v>
      </c>
      <c r="B240" t="str">
        <f>"000417"</f>
        <v>000417</v>
      </c>
      <c r="C240" t="str">
        <f>"00150"</f>
        <v>00150</v>
      </c>
      <c r="D240" t="s">
        <v>183</v>
      </c>
      <c r="E240">
        <v>9.69</v>
      </c>
      <c r="F240">
        <v>20140422</v>
      </c>
      <c r="G240" t="s">
        <v>184</v>
      </c>
      <c r="H240" t="s">
        <v>185</v>
      </c>
      <c r="I240" t="s">
        <v>25</v>
      </c>
    </row>
    <row r="241" spans="1:9" x14ac:dyDescent="0.25">
      <c r="A241">
        <v>20140425</v>
      </c>
      <c r="B241" t="str">
        <f t="shared" ref="B241:B252" si="24">"000418"</f>
        <v>000418</v>
      </c>
      <c r="C241" t="str">
        <f t="shared" ref="C241:C253" si="25">"55555"</f>
        <v>55555</v>
      </c>
      <c r="D241" t="s">
        <v>52</v>
      </c>
      <c r="E241">
        <v>646</v>
      </c>
      <c r="F241">
        <v>20140423</v>
      </c>
      <c r="G241" t="s">
        <v>80</v>
      </c>
      <c r="I241" t="s">
        <v>61</v>
      </c>
    </row>
    <row r="242" spans="1:9" x14ac:dyDescent="0.25">
      <c r="A242">
        <v>20140425</v>
      </c>
      <c r="B242" t="str">
        <f t="shared" si="24"/>
        <v>000418</v>
      </c>
      <c r="C242" t="str">
        <f t="shared" si="25"/>
        <v>55555</v>
      </c>
      <c r="D242" t="s">
        <v>52</v>
      </c>
      <c r="E242">
        <v>183.35</v>
      </c>
      <c r="F242">
        <v>20140423</v>
      </c>
      <c r="G242" t="s">
        <v>81</v>
      </c>
      <c r="I242" t="s">
        <v>63</v>
      </c>
    </row>
    <row r="243" spans="1:9" x14ac:dyDescent="0.25">
      <c r="A243">
        <v>20140425</v>
      </c>
      <c r="B243" t="str">
        <f t="shared" si="24"/>
        <v>000418</v>
      </c>
      <c r="C243" t="str">
        <f t="shared" si="25"/>
        <v>55555</v>
      </c>
      <c r="D243" t="s">
        <v>52</v>
      </c>
      <c r="E243">
        <v>812.71</v>
      </c>
      <c r="F243">
        <v>20140423</v>
      </c>
      <c r="G243" t="s">
        <v>134</v>
      </c>
      <c r="I243" t="s">
        <v>131</v>
      </c>
    </row>
    <row r="244" spans="1:9" x14ac:dyDescent="0.25">
      <c r="A244">
        <v>20140425</v>
      </c>
      <c r="B244" t="str">
        <f t="shared" si="24"/>
        <v>000418</v>
      </c>
      <c r="C244" t="str">
        <f t="shared" si="25"/>
        <v>55555</v>
      </c>
      <c r="D244" t="s">
        <v>52</v>
      </c>
      <c r="E244" s="1">
        <v>1524579.04</v>
      </c>
      <c r="F244">
        <v>20140423</v>
      </c>
      <c r="G244" t="s">
        <v>53</v>
      </c>
      <c r="I244" t="s">
        <v>21</v>
      </c>
    </row>
    <row r="245" spans="1:9" x14ac:dyDescent="0.25">
      <c r="A245">
        <v>20140425</v>
      </c>
      <c r="B245" t="str">
        <f t="shared" si="24"/>
        <v>000418</v>
      </c>
      <c r="C245" t="str">
        <f t="shared" si="25"/>
        <v>55555</v>
      </c>
      <c r="D245" t="s">
        <v>52</v>
      </c>
      <c r="E245" s="1">
        <v>124608.79</v>
      </c>
      <c r="F245">
        <v>20140423</v>
      </c>
      <c r="G245" t="s">
        <v>82</v>
      </c>
      <c r="I245" t="s">
        <v>66</v>
      </c>
    </row>
    <row r="246" spans="1:9" x14ac:dyDescent="0.25">
      <c r="A246">
        <v>20140425</v>
      </c>
      <c r="B246" t="str">
        <f t="shared" si="24"/>
        <v>000418</v>
      </c>
      <c r="C246" t="str">
        <f t="shared" si="25"/>
        <v>55555</v>
      </c>
      <c r="D246" t="s">
        <v>52</v>
      </c>
      <c r="E246" s="1">
        <v>78318.06</v>
      </c>
      <c r="F246">
        <v>20140423</v>
      </c>
      <c r="G246" t="s">
        <v>83</v>
      </c>
      <c r="I246" t="s">
        <v>68</v>
      </c>
    </row>
    <row r="247" spans="1:9" x14ac:dyDescent="0.25">
      <c r="A247">
        <v>20140425</v>
      </c>
      <c r="B247" t="str">
        <f t="shared" si="24"/>
        <v>000418</v>
      </c>
      <c r="C247" t="str">
        <f t="shared" si="25"/>
        <v>55555</v>
      </c>
      <c r="D247" t="s">
        <v>52</v>
      </c>
      <c r="E247" s="1">
        <v>106916.17</v>
      </c>
      <c r="F247">
        <v>20140423</v>
      </c>
      <c r="G247" t="s">
        <v>84</v>
      </c>
      <c r="I247" t="s">
        <v>12</v>
      </c>
    </row>
    <row r="248" spans="1:9" x14ac:dyDescent="0.25">
      <c r="A248">
        <v>20140425</v>
      </c>
      <c r="B248" t="str">
        <f t="shared" si="24"/>
        <v>000418</v>
      </c>
      <c r="C248" t="str">
        <f t="shared" si="25"/>
        <v>55555</v>
      </c>
      <c r="D248" t="s">
        <v>52</v>
      </c>
      <c r="E248" s="1">
        <v>8747.98</v>
      </c>
      <c r="F248">
        <v>20140423</v>
      </c>
      <c r="G248" t="s">
        <v>85</v>
      </c>
      <c r="I248" t="s">
        <v>71</v>
      </c>
    </row>
    <row r="249" spans="1:9" x14ac:dyDescent="0.25">
      <c r="A249">
        <v>20140425</v>
      </c>
      <c r="B249" t="str">
        <f t="shared" si="24"/>
        <v>000418</v>
      </c>
      <c r="C249" t="str">
        <f t="shared" si="25"/>
        <v>55555</v>
      </c>
      <c r="D249" t="s">
        <v>52</v>
      </c>
      <c r="E249" s="1">
        <v>13436.37</v>
      </c>
      <c r="F249">
        <v>20140423</v>
      </c>
      <c r="G249" t="s">
        <v>86</v>
      </c>
      <c r="I249" t="s">
        <v>73</v>
      </c>
    </row>
    <row r="250" spans="1:9" x14ac:dyDescent="0.25">
      <c r="A250">
        <v>20140425</v>
      </c>
      <c r="B250" t="str">
        <f t="shared" si="24"/>
        <v>000418</v>
      </c>
      <c r="C250" t="str">
        <f t="shared" si="25"/>
        <v>55555</v>
      </c>
      <c r="D250" t="s">
        <v>52</v>
      </c>
      <c r="E250" s="1">
        <v>1728.77</v>
      </c>
      <c r="F250">
        <v>20140423</v>
      </c>
      <c r="G250" t="s">
        <v>87</v>
      </c>
      <c r="I250" t="s">
        <v>75</v>
      </c>
    </row>
    <row r="251" spans="1:9" x14ac:dyDescent="0.25">
      <c r="A251">
        <v>20140425</v>
      </c>
      <c r="B251" t="str">
        <f t="shared" si="24"/>
        <v>000418</v>
      </c>
      <c r="C251" t="str">
        <f t="shared" si="25"/>
        <v>55555</v>
      </c>
      <c r="D251" t="s">
        <v>52</v>
      </c>
      <c r="E251" s="1">
        <v>1298.05</v>
      </c>
      <c r="F251">
        <v>20140423</v>
      </c>
      <c r="G251" t="s">
        <v>88</v>
      </c>
      <c r="I251" t="s">
        <v>77</v>
      </c>
    </row>
    <row r="252" spans="1:9" x14ac:dyDescent="0.25">
      <c r="A252">
        <v>20140425</v>
      </c>
      <c r="B252" t="str">
        <f t="shared" si="24"/>
        <v>000418</v>
      </c>
      <c r="C252" t="str">
        <f t="shared" si="25"/>
        <v>55555</v>
      </c>
      <c r="D252" t="s">
        <v>52</v>
      </c>
      <c r="E252" s="1">
        <v>47739.76</v>
      </c>
      <c r="F252">
        <v>20140423</v>
      </c>
      <c r="G252" t="s">
        <v>89</v>
      </c>
      <c r="I252" t="s">
        <v>79</v>
      </c>
    </row>
    <row r="253" spans="1:9" x14ac:dyDescent="0.25">
      <c r="A253">
        <v>20140428</v>
      </c>
      <c r="B253" t="str">
        <f>"000419"</f>
        <v>000419</v>
      </c>
      <c r="C253" t="str">
        <f t="shared" si="25"/>
        <v>55555</v>
      </c>
      <c r="D253" t="s">
        <v>52</v>
      </c>
      <c r="E253" s="1">
        <v>750000</v>
      </c>
      <c r="F253">
        <v>20140423</v>
      </c>
      <c r="G253" t="s">
        <v>53</v>
      </c>
      <c r="I253" t="s">
        <v>21</v>
      </c>
    </row>
    <row r="254" spans="1:9" x14ac:dyDescent="0.25">
      <c r="A254">
        <v>20140424</v>
      </c>
      <c r="B254" t="str">
        <f>"000420"</f>
        <v>000420</v>
      </c>
      <c r="C254" t="str">
        <f>"00362"</f>
        <v>00362</v>
      </c>
      <c r="D254" t="s">
        <v>22</v>
      </c>
      <c r="E254">
        <v>214</v>
      </c>
      <c r="F254">
        <v>20140424</v>
      </c>
      <c r="G254" t="s">
        <v>186</v>
      </c>
      <c r="H254" t="s">
        <v>187</v>
      </c>
      <c r="I254" t="s">
        <v>61</v>
      </c>
    </row>
    <row r="255" spans="1:9" x14ac:dyDescent="0.25">
      <c r="A255">
        <v>20140424</v>
      </c>
      <c r="B255" t="str">
        <f>"000421"</f>
        <v>000421</v>
      </c>
      <c r="C255" t="str">
        <f>"00362"</f>
        <v>00362</v>
      </c>
      <c r="D255" t="s">
        <v>22</v>
      </c>
      <c r="E255">
        <v>395</v>
      </c>
      <c r="F255">
        <v>20140424</v>
      </c>
      <c r="G255" t="s">
        <v>145</v>
      </c>
      <c r="H255" t="s">
        <v>188</v>
      </c>
      <c r="I255" t="s">
        <v>38</v>
      </c>
    </row>
    <row r="256" spans="1:9" x14ac:dyDescent="0.25">
      <c r="A256">
        <v>20140424</v>
      </c>
      <c r="B256" t="str">
        <f>"000422"</f>
        <v>000422</v>
      </c>
      <c r="C256" t="str">
        <f>"99998"</f>
        <v>99998</v>
      </c>
      <c r="D256" t="s">
        <v>9</v>
      </c>
      <c r="E256">
        <v>36</v>
      </c>
      <c r="F256">
        <v>20140424</v>
      </c>
      <c r="G256" t="s">
        <v>189</v>
      </c>
      <c r="H256" t="s">
        <v>190</v>
      </c>
      <c r="I256" t="s">
        <v>25</v>
      </c>
    </row>
    <row r="257" spans="1:9" x14ac:dyDescent="0.25">
      <c r="A257">
        <v>20140425</v>
      </c>
      <c r="B257" t="str">
        <f>"000423"</f>
        <v>000423</v>
      </c>
      <c r="C257" t="str">
        <f>"99998"</f>
        <v>99998</v>
      </c>
      <c r="D257" t="s">
        <v>9</v>
      </c>
      <c r="E257">
        <v>500</v>
      </c>
      <c r="F257">
        <v>20140425</v>
      </c>
      <c r="G257" t="s">
        <v>191</v>
      </c>
      <c r="H257" t="s">
        <v>192</v>
      </c>
      <c r="I257" t="s">
        <v>25</v>
      </c>
    </row>
    <row r="258" spans="1:9" x14ac:dyDescent="0.25">
      <c r="A258">
        <v>20140425</v>
      </c>
      <c r="B258" t="str">
        <f t="shared" ref="B258:B265" si="26">"000425"</f>
        <v>000425</v>
      </c>
      <c r="C258" t="str">
        <f t="shared" ref="C258:C265" si="27">"55555"</f>
        <v>55555</v>
      </c>
      <c r="D258" t="s">
        <v>52</v>
      </c>
      <c r="E258">
        <v>3.53</v>
      </c>
      <c r="F258">
        <v>20140425</v>
      </c>
      <c r="G258" t="s">
        <v>134</v>
      </c>
      <c r="I258" t="s">
        <v>131</v>
      </c>
    </row>
    <row r="259" spans="1:9" x14ac:dyDescent="0.25">
      <c r="A259">
        <v>20140425</v>
      </c>
      <c r="B259" t="str">
        <f t="shared" si="26"/>
        <v>000425</v>
      </c>
      <c r="C259" t="str">
        <f t="shared" si="27"/>
        <v>55555</v>
      </c>
      <c r="D259" t="s">
        <v>52</v>
      </c>
      <c r="E259" s="1">
        <v>29245.48</v>
      </c>
      <c r="F259">
        <v>20140425</v>
      </c>
      <c r="G259" t="s">
        <v>53</v>
      </c>
      <c r="I259" t="s">
        <v>21</v>
      </c>
    </row>
    <row r="260" spans="1:9" x14ac:dyDescent="0.25">
      <c r="A260">
        <v>20140425</v>
      </c>
      <c r="B260" t="str">
        <f t="shared" si="26"/>
        <v>000425</v>
      </c>
      <c r="C260" t="str">
        <f t="shared" si="27"/>
        <v>55555</v>
      </c>
      <c r="D260" t="s">
        <v>52</v>
      </c>
      <c r="E260">
        <v>180.22</v>
      </c>
      <c r="F260">
        <v>20140425</v>
      </c>
      <c r="G260" t="s">
        <v>82</v>
      </c>
      <c r="I260" t="s">
        <v>66</v>
      </c>
    </row>
    <row r="261" spans="1:9" x14ac:dyDescent="0.25">
      <c r="A261">
        <v>20140425</v>
      </c>
      <c r="B261" t="str">
        <f t="shared" si="26"/>
        <v>000425</v>
      </c>
      <c r="C261" t="str">
        <f t="shared" si="27"/>
        <v>55555</v>
      </c>
      <c r="D261" t="s">
        <v>52</v>
      </c>
      <c r="E261">
        <v>76.88</v>
      </c>
      <c r="F261">
        <v>20140425</v>
      </c>
      <c r="G261" t="s">
        <v>83</v>
      </c>
      <c r="I261" t="s">
        <v>68</v>
      </c>
    </row>
    <row r="262" spans="1:9" x14ac:dyDescent="0.25">
      <c r="A262">
        <v>20140425</v>
      </c>
      <c r="B262" t="str">
        <f t="shared" si="26"/>
        <v>000425</v>
      </c>
      <c r="C262" t="str">
        <f t="shared" si="27"/>
        <v>55555</v>
      </c>
      <c r="D262" t="s">
        <v>52</v>
      </c>
      <c r="E262">
        <v>49.34</v>
      </c>
      <c r="F262">
        <v>20140425</v>
      </c>
      <c r="G262" t="s">
        <v>85</v>
      </c>
      <c r="I262" t="s">
        <v>71</v>
      </c>
    </row>
    <row r="263" spans="1:9" x14ac:dyDescent="0.25">
      <c r="A263">
        <v>20140425</v>
      </c>
      <c r="B263" t="str">
        <f t="shared" si="26"/>
        <v>000425</v>
      </c>
      <c r="C263" t="str">
        <f t="shared" si="27"/>
        <v>55555</v>
      </c>
      <c r="D263" t="s">
        <v>52</v>
      </c>
      <c r="E263">
        <v>16.46</v>
      </c>
      <c r="F263">
        <v>20140425</v>
      </c>
      <c r="G263" t="s">
        <v>86</v>
      </c>
      <c r="I263" t="s">
        <v>73</v>
      </c>
    </row>
    <row r="264" spans="1:9" x14ac:dyDescent="0.25">
      <c r="A264">
        <v>20140425</v>
      </c>
      <c r="B264" t="str">
        <f t="shared" si="26"/>
        <v>000425</v>
      </c>
      <c r="C264" t="str">
        <f t="shared" si="27"/>
        <v>55555</v>
      </c>
      <c r="D264" t="s">
        <v>52</v>
      </c>
      <c r="E264">
        <v>26.66</v>
      </c>
      <c r="F264">
        <v>20140425</v>
      </c>
      <c r="G264" t="s">
        <v>87</v>
      </c>
      <c r="I264" t="s">
        <v>75</v>
      </c>
    </row>
    <row r="265" spans="1:9" x14ac:dyDescent="0.25">
      <c r="A265">
        <v>20140425</v>
      </c>
      <c r="B265" t="str">
        <f t="shared" si="26"/>
        <v>000425</v>
      </c>
      <c r="C265" t="str">
        <f t="shared" si="27"/>
        <v>55555</v>
      </c>
      <c r="D265" t="s">
        <v>52</v>
      </c>
      <c r="E265">
        <v>509.46</v>
      </c>
      <c r="F265">
        <v>20140425</v>
      </c>
      <c r="G265" t="s">
        <v>89</v>
      </c>
      <c r="I265" t="s">
        <v>79</v>
      </c>
    </row>
    <row r="266" spans="1:9" x14ac:dyDescent="0.25">
      <c r="A266">
        <v>20140425</v>
      </c>
      <c r="B266" t="str">
        <f>"000426"</f>
        <v>000426</v>
      </c>
      <c r="C266" t="str">
        <f>"00362"</f>
        <v>00362</v>
      </c>
      <c r="D266" t="s">
        <v>22</v>
      </c>
      <c r="E266">
        <v>325</v>
      </c>
      <c r="F266">
        <v>20140425</v>
      </c>
      <c r="G266" t="s">
        <v>41</v>
      </c>
      <c r="H266" t="s">
        <v>193</v>
      </c>
      <c r="I266" t="s">
        <v>38</v>
      </c>
    </row>
    <row r="267" spans="1:9" x14ac:dyDescent="0.25">
      <c r="A267">
        <v>20140425</v>
      </c>
      <c r="B267" t="str">
        <f>"000427"</f>
        <v>000427</v>
      </c>
      <c r="C267" t="str">
        <f>"00362"</f>
        <v>00362</v>
      </c>
      <c r="D267" t="s">
        <v>22</v>
      </c>
      <c r="E267">
        <v>390</v>
      </c>
      <c r="F267">
        <v>20140425</v>
      </c>
      <c r="G267" t="s">
        <v>194</v>
      </c>
      <c r="H267" t="s">
        <v>195</v>
      </c>
      <c r="I267" t="s">
        <v>25</v>
      </c>
    </row>
    <row r="268" spans="1:9" x14ac:dyDescent="0.25">
      <c r="A268">
        <v>20140428</v>
      </c>
      <c r="B268" t="str">
        <f>"000428"</f>
        <v>000428</v>
      </c>
      <c r="C268" t="str">
        <f>"55555"</f>
        <v>55555</v>
      </c>
      <c r="D268" t="s">
        <v>52</v>
      </c>
      <c r="E268">
        <v>161.47999999999999</v>
      </c>
      <c r="F268">
        <v>20140428</v>
      </c>
      <c r="G268" t="s">
        <v>53</v>
      </c>
      <c r="I268" t="s">
        <v>21</v>
      </c>
    </row>
    <row r="269" spans="1:9" x14ac:dyDescent="0.25">
      <c r="A269">
        <v>20140428</v>
      </c>
      <c r="B269" t="str">
        <f>"000429"</f>
        <v>000429</v>
      </c>
      <c r="C269" t="str">
        <f>"00362"</f>
        <v>00362</v>
      </c>
      <c r="D269" t="s">
        <v>22</v>
      </c>
      <c r="E269" s="1">
        <v>1170</v>
      </c>
      <c r="F269">
        <v>20140428</v>
      </c>
      <c r="G269" t="s">
        <v>145</v>
      </c>
      <c r="H269" t="s">
        <v>196</v>
      </c>
      <c r="I269" t="s">
        <v>38</v>
      </c>
    </row>
    <row r="270" spans="1:9" x14ac:dyDescent="0.25">
      <c r="A270">
        <v>20140429</v>
      </c>
      <c r="B270" t="str">
        <f>"000430"</f>
        <v>000430</v>
      </c>
      <c r="C270" t="str">
        <f>"83327"</f>
        <v>83327</v>
      </c>
      <c r="D270" t="s">
        <v>18</v>
      </c>
      <c r="E270" s="1">
        <v>49407.519999999997</v>
      </c>
      <c r="F270">
        <v>20140429</v>
      </c>
      <c r="G270" t="s">
        <v>19</v>
      </c>
      <c r="H270" t="s">
        <v>197</v>
      </c>
      <c r="I270" t="s">
        <v>21</v>
      </c>
    </row>
    <row r="271" spans="1:9" x14ac:dyDescent="0.25">
      <c r="A271">
        <v>20140430</v>
      </c>
      <c r="B271" t="str">
        <f>"000431"</f>
        <v>000431</v>
      </c>
      <c r="C271" t="str">
        <f>"83309"</f>
        <v>83309</v>
      </c>
      <c r="D271" t="s">
        <v>98</v>
      </c>
      <c r="E271">
        <v>6</v>
      </c>
      <c r="F271">
        <v>20140501</v>
      </c>
      <c r="G271" t="s">
        <v>99</v>
      </c>
      <c r="H271" t="s">
        <v>100</v>
      </c>
      <c r="I271" t="s">
        <v>21</v>
      </c>
    </row>
    <row r="272" spans="1:9" x14ac:dyDescent="0.25">
      <c r="A272">
        <v>20140505</v>
      </c>
      <c r="B272" t="str">
        <f>"000501"</f>
        <v>000501</v>
      </c>
      <c r="C272" t="str">
        <f>"00383"</f>
        <v>00383</v>
      </c>
      <c r="D272" t="s">
        <v>12</v>
      </c>
      <c r="E272">
        <v>35.75</v>
      </c>
      <c r="F272">
        <v>20140505</v>
      </c>
      <c r="G272" t="s">
        <v>39</v>
      </c>
      <c r="H272" t="s">
        <v>198</v>
      </c>
      <c r="I272" t="s">
        <v>38</v>
      </c>
    </row>
    <row r="273" spans="1:9" x14ac:dyDescent="0.25">
      <c r="A273">
        <v>20140506</v>
      </c>
      <c r="B273" t="str">
        <f>"000502"</f>
        <v>000502</v>
      </c>
      <c r="C273" t="str">
        <f>"55555"</f>
        <v>55555</v>
      </c>
      <c r="D273" t="s">
        <v>52</v>
      </c>
      <c r="E273" s="1">
        <v>292922.15999999997</v>
      </c>
      <c r="F273">
        <v>20140506</v>
      </c>
      <c r="G273" t="s">
        <v>53</v>
      </c>
      <c r="I273" t="s">
        <v>21</v>
      </c>
    </row>
    <row r="274" spans="1:9" x14ac:dyDescent="0.25">
      <c r="A274">
        <v>20140508</v>
      </c>
      <c r="B274" t="str">
        <f>"000508"</f>
        <v>000508</v>
      </c>
      <c r="C274" t="str">
        <f>"00383"</f>
        <v>00383</v>
      </c>
      <c r="D274" t="s">
        <v>12</v>
      </c>
      <c r="E274">
        <v>206.01</v>
      </c>
      <c r="F274">
        <v>20140508</v>
      </c>
      <c r="G274" t="s">
        <v>181</v>
      </c>
      <c r="H274" t="s">
        <v>199</v>
      </c>
      <c r="I274" t="s">
        <v>38</v>
      </c>
    </row>
    <row r="275" spans="1:9" x14ac:dyDescent="0.25">
      <c r="A275">
        <v>20140509</v>
      </c>
      <c r="B275" t="str">
        <f>"000509"</f>
        <v>000509</v>
      </c>
      <c r="C275" t="str">
        <f>"73700"</f>
        <v>73700</v>
      </c>
      <c r="D275" t="s">
        <v>55</v>
      </c>
      <c r="E275" s="1">
        <v>250000</v>
      </c>
      <c r="F275">
        <v>20140509</v>
      </c>
      <c r="G275" t="s">
        <v>56</v>
      </c>
      <c r="I275" t="s">
        <v>21</v>
      </c>
    </row>
    <row r="276" spans="1:9" x14ac:dyDescent="0.25">
      <c r="A276">
        <v>20140512</v>
      </c>
      <c r="B276" t="str">
        <f>"000512"</f>
        <v>000512</v>
      </c>
      <c r="C276" t="str">
        <f>"00362"</f>
        <v>00362</v>
      </c>
      <c r="D276" t="s">
        <v>22</v>
      </c>
      <c r="E276" s="1">
        <v>1886.42</v>
      </c>
      <c r="F276">
        <v>20140512</v>
      </c>
      <c r="G276" t="s">
        <v>200</v>
      </c>
      <c r="H276" t="s">
        <v>185</v>
      </c>
      <c r="I276" t="s">
        <v>38</v>
      </c>
    </row>
    <row r="277" spans="1:9" x14ac:dyDescent="0.25">
      <c r="A277">
        <v>20140514</v>
      </c>
      <c r="B277" t="str">
        <f>"000515"</f>
        <v>000515</v>
      </c>
      <c r="C277" t="str">
        <f>"86801"</f>
        <v>86801</v>
      </c>
      <c r="D277" t="s">
        <v>90</v>
      </c>
      <c r="E277" s="1">
        <v>161000</v>
      </c>
      <c r="F277">
        <v>20140513</v>
      </c>
      <c r="G277" t="s">
        <v>57</v>
      </c>
      <c r="I277" t="s">
        <v>58</v>
      </c>
    </row>
    <row r="278" spans="1:9" x14ac:dyDescent="0.25">
      <c r="A278">
        <v>20140514</v>
      </c>
      <c r="B278" t="str">
        <f>"000521"</f>
        <v>000521</v>
      </c>
      <c r="C278" t="str">
        <f>"83327"</f>
        <v>83327</v>
      </c>
      <c r="D278" t="s">
        <v>18</v>
      </c>
      <c r="E278" s="1">
        <v>13658.74</v>
      </c>
      <c r="F278">
        <v>20140514</v>
      </c>
      <c r="G278" t="s">
        <v>19</v>
      </c>
      <c r="H278" t="s">
        <v>201</v>
      </c>
      <c r="I278" t="s">
        <v>21</v>
      </c>
    </row>
    <row r="279" spans="1:9" x14ac:dyDescent="0.25">
      <c r="A279">
        <v>20140523</v>
      </c>
      <c r="B279" t="str">
        <f>"000523"</f>
        <v>000523</v>
      </c>
      <c r="C279" t="str">
        <f>"83309"</f>
        <v>83309</v>
      </c>
      <c r="D279" t="s">
        <v>98</v>
      </c>
      <c r="E279">
        <v>162.53</v>
      </c>
      <c r="F279">
        <v>20140522</v>
      </c>
      <c r="G279" t="s">
        <v>202</v>
      </c>
      <c r="H279" t="s">
        <v>139</v>
      </c>
      <c r="I279" t="s">
        <v>12</v>
      </c>
    </row>
    <row r="280" spans="1:9" x14ac:dyDescent="0.25">
      <c r="A280">
        <v>20140521</v>
      </c>
      <c r="B280" t="str">
        <f>"000530"</f>
        <v>000530</v>
      </c>
      <c r="C280" t="str">
        <f>"00383"</f>
        <v>00383</v>
      </c>
      <c r="D280" t="s">
        <v>12</v>
      </c>
      <c r="E280">
        <v>7</v>
      </c>
      <c r="F280">
        <v>20140521</v>
      </c>
      <c r="G280" t="s">
        <v>181</v>
      </c>
      <c r="H280" t="s">
        <v>203</v>
      </c>
      <c r="I280" t="s">
        <v>38</v>
      </c>
    </row>
    <row r="281" spans="1:9" x14ac:dyDescent="0.25">
      <c r="A281">
        <v>20140530</v>
      </c>
      <c r="B281" t="str">
        <f t="shared" ref="B281:B287" si="28">"000531"</f>
        <v>000531</v>
      </c>
      <c r="C281" t="str">
        <f t="shared" ref="C281:C287" si="29">"55555"</f>
        <v>55555</v>
      </c>
      <c r="D281" t="s">
        <v>52</v>
      </c>
      <c r="E281" s="1">
        <v>30092.5</v>
      </c>
      <c r="F281">
        <v>20140530</v>
      </c>
      <c r="G281" t="s">
        <v>53</v>
      </c>
      <c r="I281" t="s">
        <v>21</v>
      </c>
    </row>
    <row r="282" spans="1:9" x14ac:dyDescent="0.25">
      <c r="A282">
        <v>20140530</v>
      </c>
      <c r="B282" t="str">
        <f t="shared" si="28"/>
        <v>000531</v>
      </c>
      <c r="C282" t="str">
        <f t="shared" si="29"/>
        <v>55555</v>
      </c>
      <c r="D282" t="s">
        <v>52</v>
      </c>
      <c r="E282">
        <v>180.22</v>
      </c>
      <c r="F282">
        <v>20140530</v>
      </c>
      <c r="G282" t="s">
        <v>82</v>
      </c>
      <c r="I282" t="s">
        <v>66</v>
      </c>
    </row>
    <row r="283" spans="1:9" x14ac:dyDescent="0.25">
      <c r="A283">
        <v>20140530</v>
      </c>
      <c r="B283" t="str">
        <f t="shared" si="28"/>
        <v>000531</v>
      </c>
      <c r="C283" t="str">
        <f t="shared" si="29"/>
        <v>55555</v>
      </c>
      <c r="D283" t="s">
        <v>52</v>
      </c>
      <c r="E283">
        <v>76.88</v>
      </c>
      <c r="F283">
        <v>20140530</v>
      </c>
      <c r="G283" t="s">
        <v>83</v>
      </c>
      <c r="I283" t="s">
        <v>68</v>
      </c>
    </row>
    <row r="284" spans="1:9" x14ac:dyDescent="0.25">
      <c r="A284">
        <v>20140530</v>
      </c>
      <c r="B284" t="str">
        <f t="shared" si="28"/>
        <v>000531</v>
      </c>
      <c r="C284" t="str">
        <f t="shared" si="29"/>
        <v>55555</v>
      </c>
      <c r="D284" t="s">
        <v>52</v>
      </c>
      <c r="E284">
        <v>49.34</v>
      </c>
      <c r="F284">
        <v>20140530</v>
      </c>
      <c r="G284" t="s">
        <v>85</v>
      </c>
      <c r="I284" t="s">
        <v>71</v>
      </c>
    </row>
    <row r="285" spans="1:9" x14ac:dyDescent="0.25">
      <c r="A285">
        <v>20140530</v>
      </c>
      <c r="B285" t="str">
        <f t="shared" si="28"/>
        <v>000531</v>
      </c>
      <c r="C285" t="str">
        <f t="shared" si="29"/>
        <v>55555</v>
      </c>
      <c r="D285" t="s">
        <v>52</v>
      </c>
      <c r="E285">
        <v>16.46</v>
      </c>
      <c r="F285">
        <v>20140530</v>
      </c>
      <c r="G285" t="s">
        <v>86</v>
      </c>
      <c r="I285" t="s">
        <v>73</v>
      </c>
    </row>
    <row r="286" spans="1:9" x14ac:dyDescent="0.25">
      <c r="A286">
        <v>20140530</v>
      </c>
      <c r="B286" t="str">
        <f t="shared" si="28"/>
        <v>000531</v>
      </c>
      <c r="C286" t="str">
        <f t="shared" si="29"/>
        <v>55555</v>
      </c>
      <c r="D286" t="s">
        <v>52</v>
      </c>
      <c r="E286">
        <v>26.66</v>
      </c>
      <c r="F286">
        <v>20140530</v>
      </c>
      <c r="G286" t="s">
        <v>87</v>
      </c>
      <c r="I286" t="s">
        <v>75</v>
      </c>
    </row>
    <row r="287" spans="1:9" x14ac:dyDescent="0.25">
      <c r="A287">
        <v>20140530</v>
      </c>
      <c r="B287" t="str">
        <f t="shared" si="28"/>
        <v>000531</v>
      </c>
      <c r="C287" t="str">
        <f t="shared" si="29"/>
        <v>55555</v>
      </c>
      <c r="D287" t="s">
        <v>52</v>
      </c>
      <c r="E287">
        <v>507.57</v>
      </c>
      <c r="F287">
        <v>20140530</v>
      </c>
      <c r="G287" t="s">
        <v>89</v>
      </c>
      <c r="I287" t="s">
        <v>79</v>
      </c>
    </row>
    <row r="288" spans="1:9" x14ac:dyDescent="0.25">
      <c r="A288">
        <v>20140519</v>
      </c>
      <c r="B288" t="str">
        <f>"000533"</f>
        <v>000533</v>
      </c>
      <c r="C288" t="str">
        <f>"99998"</f>
        <v>99998</v>
      </c>
      <c r="D288" t="s">
        <v>9</v>
      </c>
      <c r="E288">
        <v>10</v>
      </c>
      <c r="F288">
        <v>20140527</v>
      </c>
      <c r="G288" t="s">
        <v>152</v>
      </c>
      <c r="H288" t="s">
        <v>204</v>
      </c>
      <c r="I288" t="s">
        <v>38</v>
      </c>
    </row>
    <row r="289" spans="1:9" x14ac:dyDescent="0.25">
      <c r="A289">
        <v>20140527</v>
      </c>
      <c r="B289" t="str">
        <f>"000535"</f>
        <v>000535</v>
      </c>
      <c r="C289" t="str">
        <f>"00362"</f>
        <v>00362</v>
      </c>
      <c r="D289" t="s">
        <v>22</v>
      </c>
      <c r="E289" s="1">
        <v>2000</v>
      </c>
      <c r="F289">
        <v>20140527</v>
      </c>
      <c r="G289" t="s">
        <v>174</v>
      </c>
      <c r="H289" t="s">
        <v>205</v>
      </c>
      <c r="I289" t="s">
        <v>25</v>
      </c>
    </row>
    <row r="290" spans="1:9" x14ac:dyDescent="0.25">
      <c r="A290">
        <v>20140530</v>
      </c>
      <c r="B290" t="str">
        <f>"000535"</f>
        <v>000535</v>
      </c>
      <c r="C290" t="str">
        <f>"83309"</f>
        <v>83309</v>
      </c>
      <c r="D290" t="s">
        <v>98</v>
      </c>
      <c r="E290">
        <v>6</v>
      </c>
      <c r="F290">
        <v>20140602</v>
      </c>
      <c r="G290" t="s">
        <v>99</v>
      </c>
      <c r="H290" t="s">
        <v>100</v>
      </c>
      <c r="I290" t="s">
        <v>21</v>
      </c>
    </row>
    <row r="291" spans="1:9" x14ac:dyDescent="0.25">
      <c r="A291">
        <v>20140527</v>
      </c>
      <c r="B291" t="str">
        <f>"000536"</f>
        <v>000536</v>
      </c>
      <c r="C291" t="str">
        <f>"00362"</f>
        <v>00362</v>
      </c>
      <c r="D291" t="s">
        <v>22</v>
      </c>
      <c r="E291">
        <v>275</v>
      </c>
      <c r="F291">
        <v>20140527</v>
      </c>
      <c r="G291" t="s">
        <v>206</v>
      </c>
      <c r="H291" t="s">
        <v>207</v>
      </c>
      <c r="I291" t="s">
        <v>25</v>
      </c>
    </row>
    <row r="292" spans="1:9" x14ac:dyDescent="0.25">
      <c r="A292">
        <v>20140529</v>
      </c>
      <c r="B292" t="str">
        <f>"000540"</f>
        <v>000540</v>
      </c>
      <c r="C292" t="str">
        <f>"00362"</f>
        <v>00362</v>
      </c>
      <c r="D292" t="s">
        <v>22</v>
      </c>
      <c r="E292" s="1">
        <v>1200</v>
      </c>
      <c r="F292">
        <v>20140529</v>
      </c>
      <c r="G292" t="s">
        <v>150</v>
      </c>
      <c r="H292" t="s">
        <v>208</v>
      </c>
      <c r="I292" t="s">
        <v>25</v>
      </c>
    </row>
    <row r="293" spans="1:9" x14ac:dyDescent="0.25">
      <c r="A293">
        <v>20140529</v>
      </c>
      <c r="B293" t="str">
        <f>"000541"</f>
        <v>000541</v>
      </c>
      <c r="C293" t="str">
        <f>"00362"</f>
        <v>00362</v>
      </c>
      <c r="D293" t="s">
        <v>22</v>
      </c>
      <c r="E293">
        <v>650</v>
      </c>
      <c r="F293">
        <v>20140529</v>
      </c>
      <c r="G293" t="s">
        <v>209</v>
      </c>
      <c r="H293" t="s">
        <v>210</v>
      </c>
      <c r="I293" t="s">
        <v>25</v>
      </c>
    </row>
    <row r="294" spans="1:9" x14ac:dyDescent="0.25">
      <c r="A294">
        <v>20140529</v>
      </c>
      <c r="B294" t="str">
        <f>"000542"</f>
        <v>000542</v>
      </c>
      <c r="C294" t="str">
        <f>"00383"</f>
        <v>00383</v>
      </c>
      <c r="D294" t="s">
        <v>12</v>
      </c>
      <c r="E294">
        <v>11</v>
      </c>
      <c r="F294">
        <v>20140529</v>
      </c>
      <c r="G294" t="s">
        <v>181</v>
      </c>
      <c r="H294" t="s">
        <v>211</v>
      </c>
      <c r="I294" t="s">
        <v>38</v>
      </c>
    </row>
    <row r="295" spans="1:9" x14ac:dyDescent="0.25">
      <c r="A295">
        <v>20140528</v>
      </c>
      <c r="B295" t="str">
        <f t="shared" ref="B295:B306" si="30">"000543"</f>
        <v>000543</v>
      </c>
      <c r="C295" t="str">
        <f t="shared" ref="C295:C306" si="31">"79801"</f>
        <v>79801</v>
      </c>
      <c r="D295" t="s">
        <v>17</v>
      </c>
      <c r="E295">
        <v>4.1100000000000003</v>
      </c>
      <c r="F295">
        <v>20140529</v>
      </c>
      <c r="G295" t="s">
        <v>60</v>
      </c>
      <c r="I295" t="s">
        <v>61</v>
      </c>
    </row>
    <row r="296" spans="1:9" x14ac:dyDescent="0.25">
      <c r="A296">
        <v>20140528</v>
      </c>
      <c r="B296" t="str">
        <f t="shared" si="30"/>
        <v>000543</v>
      </c>
      <c r="C296" t="str">
        <f t="shared" si="31"/>
        <v>79801</v>
      </c>
      <c r="D296" t="s">
        <v>17</v>
      </c>
      <c r="E296">
        <v>7.95</v>
      </c>
      <c r="F296">
        <v>20140529</v>
      </c>
      <c r="G296" t="s">
        <v>62</v>
      </c>
      <c r="I296" t="s">
        <v>63</v>
      </c>
    </row>
    <row r="297" spans="1:9" x14ac:dyDescent="0.25">
      <c r="A297">
        <v>20140528</v>
      </c>
      <c r="B297" t="str">
        <f t="shared" si="30"/>
        <v>000543</v>
      </c>
      <c r="C297" t="str">
        <f t="shared" si="31"/>
        <v>79801</v>
      </c>
      <c r="D297" t="s">
        <v>17</v>
      </c>
      <c r="E297">
        <v>6.53</v>
      </c>
      <c r="F297">
        <v>20140529</v>
      </c>
      <c r="G297" t="s">
        <v>130</v>
      </c>
      <c r="I297" t="s">
        <v>131</v>
      </c>
    </row>
    <row r="298" spans="1:9" x14ac:dyDescent="0.25">
      <c r="A298">
        <v>20140528</v>
      </c>
      <c r="B298" t="str">
        <f t="shared" si="30"/>
        <v>000543</v>
      </c>
      <c r="C298" t="str">
        <f t="shared" si="31"/>
        <v>79801</v>
      </c>
      <c r="D298" t="s">
        <v>17</v>
      </c>
      <c r="E298" s="1">
        <v>24520.54</v>
      </c>
      <c r="F298">
        <v>20140529</v>
      </c>
      <c r="G298" t="s">
        <v>64</v>
      </c>
      <c r="I298" t="s">
        <v>21</v>
      </c>
    </row>
    <row r="299" spans="1:9" x14ac:dyDescent="0.25">
      <c r="A299">
        <v>20140528</v>
      </c>
      <c r="B299" t="str">
        <f t="shared" si="30"/>
        <v>000543</v>
      </c>
      <c r="C299" t="str">
        <f t="shared" si="31"/>
        <v>79801</v>
      </c>
      <c r="D299" t="s">
        <v>17</v>
      </c>
      <c r="E299" s="1">
        <v>1189.29</v>
      </c>
      <c r="F299">
        <v>20140529</v>
      </c>
      <c r="G299" t="s">
        <v>65</v>
      </c>
      <c r="I299" t="s">
        <v>66</v>
      </c>
    </row>
    <row r="300" spans="1:9" x14ac:dyDescent="0.25">
      <c r="A300">
        <v>20140528</v>
      </c>
      <c r="B300" t="str">
        <f t="shared" si="30"/>
        <v>000543</v>
      </c>
      <c r="C300" t="str">
        <f t="shared" si="31"/>
        <v>79801</v>
      </c>
      <c r="D300" t="s">
        <v>17</v>
      </c>
      <c r="E300">
        <v>593.61</v>
      </c>
      <c r="F300">
        <v>20140529</v>
      </c>
      <c r="G300" t="s">
        <v>67</v>
      </c>
      <c r="I300" t="s">
        <v>68</v>
      </c>
    </row>
    <row r="301" spans="1:9" x14ac:dyDescent="0.25">
      <c r="A301">
        <v>20140528</v>
      </c>
      <c r="B301" t="str">
        <f t="shared" si="30"/>
        <v>000543</v>
      </c>
      <c r="C301" t="str">
        <f t="shared" si="31"/>
        <v>79801</v>
      </c>
      <c r="D301" t="s">
        <v>17</v>
      </c>
      <c r="E301">
        <v>976.15</v>
      </c>
      <c r="F301">
        <v>20140529</v>
      </c>
      <c r="G301" t="s">
        <v>69</v>
      </c>
      <c r="I301" t="s">
        <v>12</v>
      </c>
    </row>
    <row r="302" spans="1:9" x14ac:dyDescent="0.25">
      <c r="A302">
        <v>20140528</v>
      </c>
      <c r="B302" t="str">
        <f t="shared" si="30"/>
        <v>000543</v>
      </c>
      <c r="C302" t="str">
        <f t="shared" si="31"/>
        <v>79801</v>
      </c>
      <c r="D302" t="s">
        <v>17</v>
      </c>
      <c r="E302">
        <v>77.33</v>
      </c>
      <c r="F302">
        <v>20140529</v>
      </c>
      <c r="G302" t="s">
        <v>70</v>
      </c>
      <c r="I302" t="s">
        <v>71</v>
      </c>
    </row>
    <row r="303" spans="1:9" x14ac:dyDescent="0.25">
      <c r="A303">
        <v>20140528</v>
      </c>
      <c r="B303" t="str">
        <f t="shared" si="30"/>
        <v>000543</v>
      </c>
      <c r="C303" t="str">
        <f t="shared" si="31"/>
        <v>79801</v>
      </c>
      <c r="D303" t="s">
        <v>17</v>
      </c>
      <c r="E303">
        <v>119.55</v>
      </c>
      <c r="F303">
        <v>20140529</v>
      </c>
      <c r="G303" t="s">
        <v>72</v>
      </c>
      <c r="I303" t="s">
        <v>73</v>
      </c>
    </row>
    <row r="304" spans="1:9" x14ac:dyDescent="0.25">
      <c r="A304">
        <v>20140528</v>
      </c>
      <c r="B304" t="str">
        <f t="shared" si="30"/>
        <v>000543</v>
      </c>
      <c r="C304" t="str">
        <f t="shared" si="31"/>
        <v>79801</v>
      </c>
      <c r="D304" t="s">
        <v>17</v>
      </c>
      <c r="E304">
        <v>12.5</v>
      </c>
      <c r="F304">
        <v>20140529</v>
      </c>
      <c r="G304" t="s">
        <v>74</v>
      </c>
      <c r="I304" t="s">
        <v>75</v>
      </c>
    </row>
    <row r="305" spans="1:9" x14ac:dyDescent="0.25">
      <c r="A305">
        <v>20140528</v>
      </c>
      <c r="B305" t="str">
        <f t="shared" si="30"/>
        <v>000543</v>
      </c>
      <c r="C305" t="str">
        <f t="shared" si="31"/>
        <v>79801</v>
      </c>
      <c r="D305" t="s">
        <v>17</v>
      </c>
      <c r="E305">
        <v>13.21</v>
      </c>
      <c r="F305">
        <v>20140529</v>
      </c>
      <c r="G305" t="s">
        <v>76</v>
      </c>
      <c r="I305" t="s">
        <v>77</v>
      </c>
    </row>
    <row r="306" spans="1:9" x14ac:dyDescent="0.25">
      <c r="A306">
        <v>20140528</v>
      </c>
      <c r="B306" t="str">
        <f t="shared" si="30"/>
        <v>000543</v>
      </c>
      <c r="C306" t="str">
        <f t="shared" si="31"/>
        <v>79801</v>
      </c>
      <c r="D306" t="s">
        <v>17</v>
      </c>
      <c r="E306">
        <v>468.22</v>
      </c>
      <c r="F306">
        <v>20140529</v>
      </c>
      <c r="G306" t="s">
        <v>78</v>
      </c>
      <c r="I306" t="s">
        <v>79</v>
      </c>
    </row>
    <row r="307" spans="1:9" x14ac:dyDescent="0.25">
      <c r="A307">
        <v>20140530</v>
      </c>
      <c r="B307" t="str">
        <f t="shared" ref="B307:B318" si="32">"000544"</f>
        <v>000544</v>
      </c>
      <c r="C307" t="str">
        <f t="shared" ref="C307:C318" si="33">"55555"</f>
        <v>55555</v>
      </c>
      <c r="D307" t="s">
        <v>52</v>
      </c>
      <c r="E307">
        <v>440.97</v>
      </c>
      <c r="F307">
        <v>20140529</v>
      </c>
      <c r="G307" t="s">
        <v>80</v>
      </c>
      <c r="I307" t="s">
        <v>61</v>
      </c>
    </row>
    <row r="308" spans="1:9" x14ac:dyDescent="0.25">
      <c r="A308">
        <v>20140530</v>
      </c>
      <c r="B308" t="str">
        <f t="shared" si="32"/>
        <v>000544</v>
      </c>
      <c r="C308" t="str">
        <f t="shared" si="33"/>
        <v>55555</v>
      </c>
      <c r="D308" t="s">
        <v>52</v>
      </c>
      <c r="E308">
        <v>861.51</v>
      </c>
      <c r="F308">
        <v>20140529</v>
      </c>
      <c r="G308" t="s">
        <v>81</v>
      </c>
      <c r="I308" t="s">
        <v>63</v>
      </c>
    </row>
    <row r="309" spans="1:9" x14ac:dyDescent="0.25">
      <c r="A309">
        <v>20140530</v>
      </c>
      <c r="B309" t="str">
        <f t="shared" si="32"/>
        <v>000544</v>
      </c>
      <c r="C309" t="str">
        <f t="shared" si="33"/>
        <v>55555</v>
      </c>
      <c r="D309" t="s">
        <v>52</v>
      </c>
      <c r="E309">
        <v>697.49</v>
      </c>
      <c r="F309">
        <v>20140529</v>
      </c>
      <c r="G309" t="s">
        <v>134</v>
      </c>
      <c r="I309" t="s">
        <v>131</v>
      </c>
    </row>
    <row r="310" spans="1:9" x14ac:dyDescent="0.25">
      <c r="A310">
        <v>20140530</v>
      </c>
      <c r="B310" t="str">
        <f t="shared" si="32"/>
        <v>000544</v>
      </c>
      <c r="C310" t="str">
        <f t="shared" si="33"/>
        <v>55555</v>
      </c>
      <c r="D310" t="s">
        <v>52</v>
      </c>
      <c r="E310" s="1">
        <v>2351593.46</v>
      </c>
      <c r="F310">
        <v>20140529</v>
      </c>
      <c r="G310" t="s">
        <v>53</v>
      </c>
      <c r="I310" t="s">
        <v>21</v>
      </c>
    </row>
    <row r="311" spans="1:9" x14ac:dyDescent="0.25">
      <c r="A311">
        <v>20140530</v>
      </c>
      <c r="B311" t="str">
        <f t="shared" si="32"/>
        <v>000544</v>
      </c>
      <c r="C311" t="str">
        <f t="shared" si="33"/>
        <v>55555</v>
      </c>
      <c r="D311" t="s">
        <v>52</v>
      </c>
      <c r="E311" s="1">
        <v>127312.34</v>
      </c>
      <c r="F311">
        <v>20140529</v>
      </c>
      <c r="G311" t="s">
        <v>82</v>
      </c>
      <c r="I311" t="s">
        <v>66</v>
      </c>
    </row>
    <row r="312" spans="1:9" x14ac:dyDescent="0.25">
      <c r="A312">
        <v>20140530</v>
      </c>
      <c r="B312" t="str">
        <f t="shared" si="32"/>
        <v>000544</v>
      </c>
      <c r="C312" t="str">
        <f t="shared" si="33"/>
        <v>55555</v>
      </c>
      <c r="D312" t="s">
        <v>52</v>
      </c>
      <c r="E312" s="1">
        <v>79025.81</v>
      </c>
      <c r="F312">
        <v>20140529</v>
      </c>
      <c r="G312" t="s">
        <v>83</v>
      </c>
      <c r="I312" t="s">
        <v>68</v>
      </c>
    </row>
    <row r="313" spans="1:9" x14ac:dyDescent="0.25">
      <c r="A313">
        <v>20140530</v>
      </c>
      <c r="B313" t="str">
        <f t="shared" si="32"/>
        <v>000544</v>
      </c>
      <c r="C313" t="str">
        <f t="shared" si="33"/>
        <v>55555</v>
      </c>
      <c r="D313" t="s">
        <v>52</v>
      </c>
      <c r="E313" s="1">
        <v>109765.13</v>
      </c>
      <c r="F313">
        <v>20140529</v>
      </c>
      <c r="G313" t="s">
        <v>84</v>
      </c>
      <c r="I313" t="s">
        <v>12</v>
      </c>
    </row>
    <row r="314" spans="1:9" x14ac:dyDescent="0.25">
      <c r="A314">
        <v>20140530</v>
      </c>
      <c r="B314" t="str">
        <f t="shared" si="32"/>
        <v>000544</v>
      </c>
      <c r="C314" t="str">
        <f t="shared" si="33"/>
        <v>55555</v>
      </c>
      <c r="D314" t="s">
        <v>52</v>
      </c>
      <c r="E314" s="1">
        <v>8379.82</v>
      </c>
      <c r="F314">
        <v>20140529</v>
      </c>
      <c r="G314" t="s">
        <v>85</v>
      </c>
      <c r="I314" t="s">
        <v>71</v>
      </c>
    </row>
    <row r="315" spans="1:9" x14ac:dyDescent="0.25">
      <c r="A315">
        <v>20140530</v>
      </c>
      <c r="B315" t="str">
        <f t="shared" si="32"/>
        <v>000544</v>
      </c>
      <c r="C315" t="str">
        <f t="shared" si="33"/>
        <v>55555</v>
      </c>
      <c r="D315" t="s">
        <v>52</v>
      </c>
      <c r="E315" s="1">
        <v>13436.42</v>
      </c>
      <c r="F315">
        <v>20140529</v>
      </c>
      <c r="G315" t="s">
        <v>86</v>
      </c>
      <c r="I315" t="s">
        <v>73</v>
      </c>
    </row>
    <row r="316" spans="1:9" x14ac:dyDescent="0.25">
      <c r="A316">
        <v>20140530</v>
      </c>
      <c r="B316" t="str">
        <f t="shared" si="32"/>
        <v>000544</v>
      </c>
      <c r="C316" t="str">
        <f t="shared" si="33"/>
        <v>55555</v>
      </c>
      <c r="D316" t="s">
        <v>52</v>
      </c>
      <c r="E316" s="1">
        <v>1728.77</v>
      </c>
      <c r="F316">
        <v>20140529</v>
      </c>
      <c r="G316" t="s">
        <v>87</v>
      </c>
      <c r="I316" t="s">
        <v>75</v>
      </c>
    </row>
    <row r="317" spans="1:9" x14ac:dyDescent="0.25">
      <c r="A317">
        <v>20140530</v>
      </c>
      <c r="B317" t="str">
        <f t="shared" si="32"/>
        <v>000544</v>
      </c>
      <c r="C317" t="str">
        <f t="shared" si="33"/>
        <v>55555</v>
      </c>
      <c r="D317" t="s">
        <v>52</v>
      </c>
      <c r="E317" s="1">
        <v>1033.8399999999999</v>
      </c>
      <c r="F317">
        <v>20140529</v>
      </c>
      <c r="G317" t="s">
        <v>88</v>
      </c>
      <c r="I317" t="s">
        <v>77</v>
      </c>
    </row>
    <row r="318" spans="1:9" x14ac:dyDescent="0.25">
      <c r="A318">
        <v>20140530</v>
      </c>
      <c r="B318" t="str">
        <f t="shared" si="32"/>
        <v>000544</v>
      </c>
      <c r="C318" t="str">
        <f t="shared" si="33"/>
        <v>55555</v>
      </c>
      <c r="D318" t="s">
        <v>52</v>
      </c>
      <c r="E318" s="1">
        <v>45657.98</v>
      </c>
      <c r="F318">
        <v>20140529</v>
      </c>
      <c r="G318" t="s">
        <v>89</v>
      </c>
      <c r="I318" t="s">
        <v>79</v>
      </c>
    </row>
    <row r="319" spans="1:9" x14ac:dyDescent="0.25">
      <c r="A319">
        <v>20140530</v>
      </c>
      <c r="B319" t="str">
        <f>"000545"</f>
        <v>000545</v>
      </c>
      <c r="C319" t="str">
        <f>"83327"</f>
        <v>83327</v>
      </c>
      <c r="D319" t="s">
        <v>18</v>
      </c>
      <c r="E319" s="1">
        <v>15178.29</v>
      </c>
      <c r="F319">
        <v>20140602</v>
      </c>
      <c r="G319" t="s">
        <v>19</v>
      </c>
      <c r="H319" t="s">
        <v>212</v>
      </c>
      <c r="I319" t="s">
        <v>21</v>
      </c>
    </row>
    <row r="320" spans="1:9" x14ac:dyDescent="0.25">
      <c r="A320">
        <v>20140519</v>
      </c>
      <c r="B320" t="str">
        <f>"000550"</f>
        <v>000550</v>
      </c>
      <c r="C320" t="str">
        <f>"73700"</f>
        <v>73700</v>
      </c>
      <c r="D320" t="s">
        <v>55</v>
      </c>
      <c r="E320" s="1">
        <v>175000</v>
      </c>
      <c r="F320">
        <v>20140521</v>
      </c>
      <c r="G320" t="s">
        <v>59</v>
      </c>
      <c r="I320" t="s">
        <v>12</v>
      </c>
    </row>
    <row r="321" spans="1:9" x14ac:dyDescent="0.25">
      <c r="A321">
        <v>20140604</v>
      </c>
      <c r="B321" t="str">
        <f>"000601"</f>
        <v>000601</v>
      </c>
      <c r="C321" t="str">
        <f>"00362"</f>
        <v>00362</v>
      </c>
      <c r="D321" t="s">
        <v>22</v>
      </c>
      <c r="E321" s="1">
        <v>3625.41</v>
      </c>
      <c r="F321">
        <v>20140604</v>
      </c>
      <c r="G321" t="s">
        <v>34</v>
      </c>
      <c r="I321" t="s">
        <v>29</v>
      </c>
    </row>
    <row r="322" spans="1:9" x14ac:dyDescent="0.25">
      <c r="A322">
        <v>20140604</v>
      </c>
      <c r="B322" t="str">
        <f>"000601"</f>
        <v>000601</v>
      </c>
      <c r="C322" t="str">
        <f>"00362"</f>
        <v>00362</v>
      </c>
      <c r="D322" t="s">
        <v>22</v>
      </c>
      <c r="E322">
        <v>42.83</v>
      </c>
      <c r="F322">
        <v>20140604</v>
      </c>
      <c r="G322" t="s">
        <v>31</v>
      </c>
      <c r="I322" t="s">
        <v>29</v>
      </c>
    </row>
    <row r="323" spans="1:9" x14ac:dyDescent="0.25">
      <c r="A323">
        <v>20140604</v>
      </c>
      <c r="B323" t="str">
        <f>"000601"</f>
        <v>000601</v>
      </c>
      <c r="C323" t="str">
        <f>"00362"</f>
        <v>00362</v>
      </c>
      <c r="D323" t="s">
        <v>22</v>
      </c>
      <c r="E323">
        <v>94.98</v>
      </c>
      <c r="F323">
        <v>20140604</v>
      </c>
      <c r="G323" t="s">
        <v>32</v>
      </c>
      <c r="I323" t="s">
        <v>33</v>
      </c>
    </row>
    <row r="324" spans="1:9" x14ac:dyDescent="0.25">
      <c r="A324">
        <v>20140604</v>
      </c>
      <c r="B324" t="str">
        <f>"000602"</f>
        <v>000602</v>
      </c>
      <c r="C324" t="str">
        <f>"55555"</f>
        <v>55555</v>
      </c>
      <c r="D324" t="s">
        <v>52</v>
      </c>
      <c r="E324" s="1">
        <v>3886.86</v>
      </c>
      <c r="F324">
        <v>20140604</v>
      </c>
      <c r="G324" t="s">
        <v>53</v>
      </c>
      <c r="H324" t="s">
        <v>213</v>
      </c>
      <c r="I324" t="s">
        <v>21</v>
      </c>
    </row>
    <row r="325" spans="1:9" x14ac:dyDescent="0.25">
      <c r="A325">
        <v>20140605</v>
      </c>
      <c r="B325" t="str">
        <f>"000603"</f>
        <v>000603</v>
      </c>
      <c r="C325" t="str">
        <f>"55555"</f>
        <v>55555</v>
      </c>
      <c r="D325" t="s">
        <v>52</v>
      </c>
      <c r="E325">
        <v>538.25</v>
      </c>
      <c r="F325">
        <v>20140606</v>
      </c>
      <c r="G325" t="s">
        <v>53</v>
      </c>
      <c r="H325" t="s">
        <v>213</v>
      </c>
      <c r="I325" t="s">
        <v>21</v>
      </c>
    </row>
    <row r="326" spans="1:9" x14ac:dyDescent="0.25">
      <c r="A326">
        <v>20140604</v>
      </c>
      <c r="B326" t="str">
        <f>"000604"</f>
        <v>000604</v>
      </c>
      <c r="C326" t="str">
        <f>"83309"</f>
        <v>83309</v>
      </c>
      <c r="D326" t="s">
        <v>98</v>
      </c>
      <c r="E326">
        <v>90.71</v>
      </c>
      <c r="F326">
        <v>20140609</v>
      </c>
      <c r="G326" t="s">
        <v>200</v>
      </c>
      <c r="H326" t="s">
        <v>139</v>
      </c>
      <c r="I326" t="s">
        <v>38</v>
      </c>
    </row>
    <row r="327" spans="1:9" x14ac:dyDescent="0.25">
      <c r="A327">
        <v>20140610</v>
      </c>
      <c r="B327" t="str">
        <f>"000605"</f>
        <v>000605</v>
      </c>
      <c r="C327" t="str">
        <f>"55555"</f>
        <v>55555</v>
      </c>
      <c r="D327" t="s">
        <v>52</v>
      </c>
      <c r="E327" s="1">
        <v>291527.65999999997</v>
      </c>
      <c r="F327">
        <v>20140610</v>
      </c>
      <c r="G327" t="s">
        <v>53</v>
      </c>
      <c r="H327" t="s">
        <v>54</v>
      </c>
      <c r="I327" t="s">
        <v>21</v>
      </c>
    </row>
    <row r="328" spans="1:9" x14ac:dyDescent="0.25">
      <c r="A328">
        <v>20140617</v>
      </c>
      <c r="B328" t="str">
        <f>"000615"</f>
        <v>000615</v>
      </c>
      <c r="C328" t="str">
        <f>"00362"</f>
        <v>00362</v>
      </c>
      <c r="D328" t="s">
        <v>22</v>
      </c>
      <c r="E328">
        <v>390</v>
      </c>
      <c r="F328">
        <v>20140617</v>
      </c>
      <c r="G328" t="s">
        <v>214</v>
      </c>
      <c r="H328" t="s">
        <v>215</v>
      </c>
      <c r="I328" t="s">
        <v>38</v>
      </c>
    </row>
    <row r="329" spans="1:9" x14ac:dyDescent="0.25">
      <c r="A329">
        <v>20140619</v>
      </c>
      <c r="B329" t="str">
        <f>"000616"</f>
        <v>000616</v>
      </c>
      <c r="C329" t="str">
        <f>"83327"</f>
        <v>83327</v>
      </c>
      <c r="D329" t="s">
        <v>18</v>
      </c>
      <c r="E329" s="1">
        <v>38055.56</v>
      </c>
      <c r="F329">
        <v>20140619</v>
      </c>
      <c r="G329" t="s">
        <v>19</v>
      </c>
      <c r="H329" t="s">
        <v>216</v>
      </c>
      <c r="I329" t="s">
        <v>21</v>
      </c>
    </row>
    <row r="330" spans="1:9" x14ac:dyDescent="0.25">
      <c r="A330">
        <v>20140619</v>
      </c>
      <c r="B330" t="str">
        <f>"000616"</f>
        <v>000616</v>
      </c>
      <c r="C330" t="str">
        <f>"83327"</f>
        <v>83327</v>
      </c>
      <c r="D330" t="s">
        <v>18</v>
      </c>
      <c r="E330">
        <v>900</v>
      </c>
      <c r="F330">
        <v>20140619</v>
      </c>
      <c r="G330" t="s">
        <v>19</v>
      </c>
      <c r="H330" t="s">
        <v>216</v>
      </c>
      <c r="I330" t="s">
        <v>21</v>
      </c>
    </row>
    <row r="331" spans="1:9" x14ac:dyDescent="0.25">
      <c r="A331">
        <v>20140620</v>
      </c>
      <c r="B331" t="str">
        <f t="shared" ref="B331:B342" si="34">"000617"</f>
        <v>000617</v>
      </c>
      <c r="C331" t="str">
        <f t="shared" ref="C331:C342" si="35">"79801"</f>
        <v>79801</v>
      </c>
      <c r="D331" t="s">
        <v>17</v>
      </c>
      <c r="E331">
        <v>3.93</v>
      </c>
      <c r="F331">
        <v>20140619</v>
      </c>
      <c r="G331" t="s">
        <v>60</v>
      </c>
      <c r="I331" t="s">
        <v>61</v>
      </c>
    </row>
    <row r="332" spans="1:9" x14ac:dyDescent="0.25">
      <c r="A332">
        <v>20140620</v>
      </c>
      <c r="B332" t="str">
        <f t="shared" si="34"/>
        <v>000617</v>
      </c>
      <c r="C332" t="str">
        <f t="shared" si="35"/>
        <v>79801</v>
      </c>
      <c r="D332" t="s">
        <v>17</v>
      </c>
      <c r="E332">
        <v>2.39</v>
      </c>
      <c r="F332">
        <v>20140619</v>
      </c>
      <c r="G332" t="s">
        <v>62</v>
      </c>
      <c r="I332" t="s">
        <v>63</v>
      </c>
    </row>
    <row r="333" spans="1:9" x14ac:dyDescent="0.25">
      <c r="A333">
        <v>20140620</v>
      </c>
      <c r="B333" t="str">
        <f t="shared" si="34"/>
        <v>000617</v>
      </c>
      <c r="C333" t="str">
        <f t="shared" si="35"/>
        <v>79801</v>
      </c>
      <c r="D333" t="s">
        <v>17</v>
      </c>
      <c r="E333" s="1">
        <v>23463.71</v>
      </c>
      <c r="F333">
        <v>20140619</v>
      </c>
      <c r="G333" t="s">
        <v>64</v>
      </c>
      <c r="I333" t="s">
        <v>21</v>
      </c>
    </row>
    <row r="334" spans="1:9" x14ac:dyDescent="0.25">
      <c r="A334">
        <v>20140620</v>
      </c>
      <c r="B334" t="str">
        <f t="shared" si="34"/>
        <v>000617</v>
      </c>
      <c r="C334" t="str">
        <f t="shared" si="35"/>
        <v>79801</v>
      </c>
      <c r="D334" t="s">
        <v>17</v>
      </c>
      <c r="E334" s="1">
        <v>1182.6600000000001</v>
      </c>
      <c r="F334">
        <v>20140619</v>
      </c>
      <c r="G334" t="s">
        <v>65</v>
      </c>
      <c r="I334" t="s">
        <v>66</v>
      </c>
    </row>
    <row r="335" spans="1:9" x14ac:dyDescent="0.25">
      <c r="A335">
        <v>20140620</v>
      </c>
      <c r="B335" t="str">
        <f t="shared" si="34"/>
        <v>000617</v>
      </c>
      <c r="C335" t="str">
        <f t="shared" si="35"/>
        <v>79801</v>
      </c>
      <c r="D335" t="s">
        <v>17</v>
      </c>
      <c r="E335">
        <v>539.80999999999995</v>
      </c>
      <c r="F335">
        <v>20140619</v>
      </c>
      <c r="G335" t="s">
        <v>67</v>
      </c>
      <c r="I335" t="s">
        <v>68</v>
      </c>
    </row>
    <row r="336" spans="1:9" x14ac:dyDescent="0.25">
      <c r="A336">
        <v>20140620</v>
      </c>
      <c r="B336" t="str">
        <f t="shared" si="34"/>
        <v>000617</v>
      </c>
      <c r="C336" t="str">
        <f t="shared" si="35"/>
        <v>79801</v>
      </c>
      <c r="D336" t="s">
        <v>17</v>
      </c>
      <c r="E336">
        <v>913.1</v>
      </c>
      <c r="F336">
        <v>20140619</v>
      </c>
      <c r="G336" t="s">
        <v>69</v>
      </c>
      <c r="I336" t="s">
        <v>12</v>
      </c>
    </row>
    <row r="337" spans="1:9" x14ac:dyDescent="0.25">
      <c r="A337">
        <v>20140620</v>
      </c>
      <c r="B337" t="str">
        <f t="shared" si="34"/>
        <v>000617</v>
      </c>
      <c r="C337" t="str">
        <f t="shared" si="35"/>
        <v>79801</v>
      </c>
      <c r="D337" t="s">
        <v>17</v>
      </c>
      <c r="E337">
        <v>25.65</v>
      </c>
      <c r="F337">
        <v>20140619</v>
      </c>
      <c r="G337" t="s">
        <v>217</v>
      </c>
      <c r="I337" t="s">
        <v>218</v>
      </c>
    </row>
    <row r="338" spans="1:9" x14ac:dyDescent="0.25">
      <c r="A338">
        <v>20140620</v>
      </c>
      <c r="B338" t="str">
        <f t="shared" si="34"/>
        <v>000617</v>
      </c>
      <c r="C338" t="str">
        <f t="shared" si="35"/>
        <v>79801</v>
      </c>
      <c r="D338" t="s">
        <v>17</v>
      </c>
      <c r="E338">
        <v>80.510000000000005</v>
      </c>
      <c r="F338">
        <v>20140619</v>
      </c>
      <c r="G338" t="s">
        <v>70</v>
      </c>
      <c r="I338" t="s">
        <v>71</v>
      </c>
    </row>
    <row r="339" spans="1:9" x14ac:dyDescent="0.25">
      <c r="A339">
        <v>20140620</v>
      </c>
      <c r="B339" t="str">
        <f t="shared" si="34"/>
        <v>000617</v>
      </c>
      <c r="C339" t="str">
        <f t="shared" si="35"/>
        <v>79801</v>
      </c>
      <c r="D339" t="s">
        <v>17</v>
      </c>
      <c r="E339">
        <v>119.55</v>
      </c>
      <c r="F339">
        <v>20140619</v>
      </c>
      <c r="G339" t="s">
        <v>72</v>
      </c>
      <c r="I339" t="s">
        <v>73</v>
      </c>
    </row>
    <row r="340" spans="1:9" x14ac:dyDescent="0.25">
      <c r="A340">
        <v>20140620</v>
      </c>
      <c r="B340" t="str">
        <f t="shared" si="34"/>
        <v>000617</v>
      </c>
      <c r="C340" t="str">
        <f t="shared" si="35"/>
        <v>79801</v>
      </c>
      <c r="D340" t="s">
        <v>17</v>
      </c>
      <c r="E340">
        <v>12.5</v>
      </c>
      <c r="F340">
        <v>20140619</v>
      </c>
      <c r="G340" t="s">
        <v>74</v>
      </c>
      <c r="I340" t="s">
        <v>75</v>
      </c>
    </row>
    <row r="341" spans="1:9" x14ac:dyDescent="0.25">
      <c r="A341">
        <v>20140620</v>
      </c>
      <c r="B341" t="str">
        <f t="shared" si="34"/>
        <v>000617</v>
      </c>
      <c r="C341" t="str">
        <f t="shared" si="35"/>
        <v>79801</v>
      </c>
      <c r="D341" t="s">
        <v>17</v>
      </c>
      <c r="E341">
        <v>15.11</v>
      </c>
      <c r="F341">
        <v>20140619</v>
      </c>
      <c r="G341" t="s">
        <v>76</v>
      </c>
      <c r="I341" t="s">
        <v>77</v>
      </c>
    </row>
    <row r="342" spans="1:9" x14ac:dyDescent="0.25">
      <c r="A342">
        <v>20140620</v>
      </c>
      <c r="B342" t="str">
        <f t="shared" si="34"/>
        <v>000617</v>
      </c>
      <c r="C342" t="str">
        <f t="shared" si="35"/>
        <v>79801</v>
      </c>
      <c r="D342" t="s">
        <v>17</v>
      </c>
      <c r="E342">
        <v>472.99</v>
      </c>
      <c r="F342">
        <v>20140619</v>
      </c>
      <c r="G342" t="s">
        <v>78</v>
      </c>
      <c r="I342" t="s">
        <v>79</v>
      </c>
    </row>
    <row r="343" spans="1:9" x14ac:dyDescent="0.25">
      <c r="A343">
        <v>20140611</v>
      </c>
      <c r="B343" t="str">
        <f>"000620"</f>
        <v>000620</v>
      </c>
      <c r="C343" t="str">
        <f>"99998"</f>
        <v>99998</v>
      </c>
      <c r="D343" t="s">
        <v>9</v>
      </c>
      <c r="E343">
        <v>70</v>
      </c>
      <c r="F343">
        <v>20140619</v>
      </c>
      <c r="G343" t="s">
        <v>45</v>
      </c>
      <c r="H343" t="s">
        <v>219</v>
      </c>
      <c r="I343" t="s">
        <v>25</v>
      </c>
    </row>
    <row r="344" spans="1:9" x14ac:dyDescent="0.25">
      <c r="A344">
        <v>20140611</v>
      </c>
      <c r="B344" t="str">
        <f>"000620"</f>
        <v>000620</v>
      </c>
      <c r="C344" t="str">
        <f>"99998"</f>
        <v>99998</v>
      </c>
      <c r="D344" t="s">
        <v>9</v>
      </c>
      <c r="E344">
        <v>70</v>
      </c>
      <c r="F344">
        <v>20140619</v>
      </c>
      <c r="G344" t="s">
        <v>154</v>
      </c>
      <c r="H344" t="s">
        <v>220</v>
      </c>
      <c r="I344" t="s">
        <v>25</v>
      </c>
    </row>
    <row r="345" spans="1:9" x14ac:dyDescent="0.25">
      <c r="A345">
        <v>20140611</v>
      </c>
      <c r="B345" t="str">
        <f>"000620"</f>
        <v>000620</v>
      </c>
      <c r="C345" t="str">
        <f>"99998"</f>
        <v>99998</v>
      </c>
      <c r="D345" t="s">
        <v>9</v>
      </c>
      <c r="E345">
        <v>183</v>
      </c>
      <c r="F345">
        <v>20140630</v>
      </c>
      <c r="G345" t="s">
        <v>221</v>
      </c>
      <c r="H345" t="s">
        <v>222</v>
      </c>
      <c r="I345" t="s">
        <v>25</v>
      </c>
    </row>
    <row r="346" spans="1:9" x14ac:dyDescent="0.25">
      <c r="A346">
        <v>20140611</v>
      </c>
      <c r="B346" t="str">
        <f>"000620"</f>
        <v>000620</v>
      </c>
      <c r="C346" t="str">
        <f>"99998"</f>
        <v>99998</v>
      </c>
      <c r="D346" t="s">
        <v>9</v>
      </c>
      <c r="E346">
        <v>12</v>
      </c>
      <c r="F346">
        <v>20140619</v>
      </c>
      <c r="G346" t="s">
        <v>223</v>
      </c>
      <c r="H346" t="s">
        <v>224</v>
      </c>
      <c r="I346" t="s">
        <v>25</v>
      </c>
    </row>
    <row r="347" spans="1:9" x14ac:dyDescent="0.25">
      <c r="A347">
        <v>20140611</v>
      </c>
      <c r="B347" t="str">
        <f>"000620"</f>
        <v>000620</v>
      </c>
      <c r="C347" t="str">
        <f>"99998"</f>
        <v>99998</v>
      </c>
      <c r="D347" t="s">
        <v>9</v>
      </c>
      <c r="E347">
        <v>55</v>
      </c>
      <c r="F347">
        <v>20140619</v>
      </c>
      <c r="G347" t="s">
        <v>156</v>
      </c>
      <c r="H347" t="s">
        <v>225</v>
      </c>
      <c r="I347" t="s">
        <v>25</v>
      </c>
    </row>
    <row r="348" spans="1:9" x14ac:dyDescent="0.25">
      <c r="A348">
        <v>20140625</v>
      </c>
      <c r="B348" t="str">
        <f t="shared" ref="B348:B359" si="36">"000621"</f>
        <v>000621</v>
      </c>
      <c r="C348" t="str">
        <f t="shared" ref="C348:C359" si="37">"55555"</f>
        <v>55555</v>
      </c>
      <c r="D348" t="s">
        <v>52</v>
      </c>
      <c r="E348">
        <v>444.06</v>
      </c>
      <c r="F348">
        <v>20140619</v>
      </c>
      <c r="G348" t="s">
        <v>80</v>
      </c>
      <c r="I348" t="s">
        <v>61</v>
      </c>
    </row>
    <row r="349" spans="1:9" x14ac:dyDescent="0.25">
      <c r="A349">
        <v>20140625</v>
      </c>
      <c r="B349" t="str">
        <f t="shared" si="36"/>
        <v>000621</v>
      </c>
      <c r="C349" t="str">
        <f t="shared" si="37"/>
        <v>55555</v>
      </c>
      <c r="D349" t="s">
        <v>52</v>
      </c>
      <c r="E349">
        <v>254.9</v>
      </c>
      <c r="F349">
        <v>20140619</v>
      </c>
      <c r="G349" t="s">
        <v>81</v>
      </c>
      <c r="I349" t="s">
        <v>63</v>
      </c>
    </row>
    <row r="350" spans="1:9" x14ac:dyDescent="0.25">
      <c r="A350">
        <v>20140625</v>
      </c>
      <c r="B350" t="str">
        <f t="shared" si="36"/>
        <v>000621</v>
      </c>
      <c r="C350" t="str">
        <f t="shared" si="37"/>
        <v>55555</v>
      </c>
      <c r="D350" t="s">
        <v>52</v>
      </c>
      <c r="E350" s="1">
        <v>2296248.2400000002</v>
      </c>
      <c r="F350">
        <v>20140619</v>
      </c>
      <c r="G350" t="s">
        <v>53</v>
      </c>
      <c r="I350" t="s">
        <v>21</v>
      </c>
    </row>
    <row r="351" spans="1:9" x14ac:dyDescent="0.25">
      <c r="A351">
        <v>20140625</v>
      </c>
      <c r="B351" t="str">
        <f t="shared" si="36"/>
        <v>000621</v>
      </c>
      <c r="C351" t="str">
        <f t="shared" si="37"/>
        <v>55555</v>
      </c>
      <c r="D351" t="s">
        <v>52</v>
      </c>
      <c r="E351" s="1">
        <v>129150.45</v>
      </c>
      <c r="F351">
        <v>20140619</v>
      </c>
      <c r="G351" t="s">
        <v>82</v>
      </c>
      <c r="I351" t="s">
        <v>66</v>
      </c>
    </row>
    <row r="352" spans="1:9" x14ac:dyDescent="0.25">
      <c r="A352">
        <v>20140625</v>
      </c>
      <c r="B352" t="str">
        <f t="shared" si="36"/>
        <v>000621</v>
      </c>
      <c r="C352" t="str">
        <f t="shared" si="37"/>
        <v>55555</v>
      </c>
      <c r="D352" t="s">
        <v>52</v>
      </c>
      <c r="E352" s="1">
        <v>73613.48</v>
      </c>
      <c r="F352">
        <v>20140619</v>
      </c>
      <c r="G352" t="s">
        <v>83</v>
      </c>
      <c r="I352" t="s">
        <v>68</v>
      </c>
    </row>
    <row r="353" spans="1:9" x14ac:dyDescent="0.25">
      <c r="A353">
        <v>20140625</v>
      </c>
      <c r="B353" t="str">
        <f t="shared" si="36"/>
        <v>000621</v>
      </c>
      <c r="C353" t="str">
        <f t="shared" si="37"/>
        <v>55555</v>
      </c>
      <c r="D353" t="s">
        <v>52</v>
      </c>
      <c r="E353" s="1">
        <v>101737.08</v>
      </c>
      <c r="F353">
        <v>20140619</v>
      </c>
      <c r="G353" t="s">
        <v>84</v>
      </c>
      <c r="I353" t="s">
        <v>12</v>
      </c>
    </row>
    <row r="354" spans="1:9" x14ac:dyDescent="0.25">
      <c r="A354">
        <v>20140625</v>
      </c>
      <c r="B354" t="str">
        <f t="shared" si="36"/>
        <v>000621</v>
      </c>
      <c r="C354" t="str">
        <f t="shared" si="37"/>
        <v>55555</v>
      </c>
      <c r="D354" t="s">
        <v>52</v>
      </c>
      <c r="E354" s="1">
        <v>2958.2</v>
      </c>
      <c r="F354">
        <v>20140619</v>
      </c>
      <c r="G354" t="s">
        <v>226</v>
      </c>
      <c r="I354" t="s">
        <v>218</v>
      </c>
    </row>
    <row r="355" spans="1:9" x14ac:dyDescent="0.25">
      <c r="A355">
        <v>20140625</v>
      </c>
      <c r="B355" t="str">
        <f t="shared" si="36"/>
        <v>000621</v>
      </c>
      <c r="C355" t="str">
        <f t="shared" si="37"/>
        <v>55555</v>
      </c>
      <c r="D355" t="s">
        <v>52</v>
      </c>
      <c r="E355" s="1">
        <v>8747.98</v>
      </c>
      <c r="F355">
        <v>20140619</v>
      </c>
      <c r="G355" t="s">
        <v>85</v>
      </c>
      <c r="I355" t="s">
        <v>71</v>
      </c>
    </row>
    <row r="356" spans="1:9" x14ac:dyDescent="0.25">
      <c r="A356">
        <v>20140625</v>
      </c>
      <c r="B356" t="str">
        <f t="shared" si="36"/>
        <v>000621</v>
      </c>
      <c r="C356" t="str">
        <f t="shared" si="37"/>
        <v>55555</v>
      </c>
      <c r="D356" t="s">
        <v>52</v>
      </c>
      <c r="E356" s="1">
        <v>13436.37</v>
      </c>
      <c r="F356">
        <v>20140619</v>
      </c>
      <c r="G356" t="s">
        <v>86</v>
      </c>
      <c r="I356" t="s">
        <v>73</v>
      </c>
    </row>
    <row r="357" spans="1:9" x14ac:dyDescent="0.25">
      <c r="A357">
        <v>20140625</v>
      </c>
      <c r="B357" t="str">
        <f t="shared" si="36"/>
        <v>000621</v>
      </c>
      <c r="C357" t="str">
        <f t="shared" si="37"/>
        <v>55555</v>
      </c>
      <c r="D357" t="s">
        <v>52</v>
      </c>
      <c r="E357" s="1">
        <v>1728.77</v>
      </c>
      <c r="F357">
        <v>20140619</v>
      </c>
      <c r="G357" t="s">
        <v>87</v>
      </c>
      <c r="I357" t="s">
        <v>75</v>
      </c>
    </row>
    <row r="358" spans="1:9" x14ac:dyDescent="0.25">
      <c r="A358">
        <v>20140625</v>
      </c>
      <c r="B358" t="str">
        <f t="shared" si="36"/>
        <v>000621</v>
      </c>
      <c r="C358" t="str">
        <f t="shared" si="37"/>
        <v>55555</v>
      </c>
      <c r="D358" t="s">
        <v>52</v>
      </c>
      <c r="E358" s="1">
        <v>2284.9699999999998</v>
      </c>
      <c r="F358">
        <v>20140619</v>
      </c>
      <c r="G358" t="s">
        <v>88</v>
      </c>
      <c r="I358" t="s">
        <v>77</v>
      </c>
    </row>
    <row r="359" spans="1:9" x14ac:dyDescent="0.25">
      <c r="A359">
        <v>20140625</v>
      </c>
      <c r="B359" t="str">
        <f t="shared" si="36"/>
        <v>000621</v>
      </c>
      <c r="C359" t="str">
        <f t="shared" si="37"/>
        <v>55555</v>
      </c>
      <c r="D359" t="s">
        <v>52</v>
      </c>
      <c r="E359" s="1">
        <v>44990.82</v>
      </c>
      <c r="F359">
        <v>20140619</v>
      </c>
      <c r="G359" t="s">
        <v>89</v>
      </c>
      <c r="I359" t="s">
        <v>79</v>
      </c>
    </row>
    <row r="360" spans="1:9" x14ac:dyDescent="0.25">
      <c r="A360">
        <v>20140620</v>
      </c>
      <c r="B360" t="str">
        <f>"000622"</f>
        <v>000622</v>
      </c>
      <c r="C360" t="str">
        <f>"84431"</f>
        <v>84431</v>
      </c>
      <c r="D360" t="s">
        <v>227</v>
      </c>
      <c r="E360" s="1">
        <v>50000</v>
      </c>
      <c r="F360">
        <v>20140619</v>
      </c>
      <c r="G360" t="s">
        <v>57</v>
      </c>
      <c r="I360" t="s">
        <v>58</v>
      </c>
    </row>
    <row r="361" spans="1:9" x14ac:dyDescent="0.25">
      <c r="A361">
        <v>20140620</v>
      </c>
      <c r="B361" t="str">
        <f>"000623"</f>
        <v>000623</v>
      </c>
      <c r="C361" t="str">
        <f>"73700"</f>
        <v>73700</v>
      </c>
      <c r="D361" t="s">
        <v>55</v>
      </c>
      <c r="E361" s="1">
        <v>50000</v>
      </c>
      <c r="F361">
        <v>20140619</v>
      </c>
      <c r="G361" t="s">
        <v>228</v>
      </c>
      <c r="I361" t="s">
        <v>15</v>
      </c>
    </row>
    <row r="362" spans="1:9" x14ac:dyDescent="0.25">
      <c r="A362">
        <v>20140630</v>
      </c>
      <c r="B362" t="str">
        <f t="shared" ref="B362:B368" si="38">"000630"</f>
        <v>000630</v>
      </c>
      <c r="C362" t="str">
        <f t="shared" ref="C362:C368" si="39">"55555"</f>
        <v>55555</v>
      </c>
      <c r="D362" t="s">
        <v>52</v>
      </c>
      <c r="E362" s="1">
        <v>29553.51</v>
      </c>
      <c r="F362">
        <v>20140630</v>
      </c>
      <c r="G362" t="s">
        <v>53</v>
      </c>
      <c r="I362" t="s">
        <v>21</v>
      </c>
    </row>
    <row r="363" spans="1:9" x14ac:dyDescent="0.25">
      <c r="A363">
        <v>20140630</v>
      </c>
      <c r="B363" t="str">
        <f t="shared" si="38"/>
        <v>000630</v>
      </c>
      <c r="C363" t="str">
        <f t="shared" si="39"/>
        <v>55555</v>
      </c>
      <c r="D363" t="s">
        <v>52</v>
      </c>
      <c r="E363">
        <v>180.22</v>
      </c>
      <c r="F363">
        <v>20140630</v>
      </c>
      <c r="G363" t="s">
        <v>82</v>
      </c>
      <c r="I363" t="s">
        <v>66</v>
      </c>
    </row>
    <row r="364" spans="1:9" x14ac:dyDescent="0.25">
      <c r="A364">
        <v>20140630</v>
      </c>
      <c r="B364" t="str">
        <f t="shared" si="38"/>
        <v>000630</v>
      </c>
      <c r="C364" t="str">
        <f t="shared" si="39"/>
        <v>55555</v>
      </c>
      <c r="D364" t="s">
        <v>52</v>
      </c>
      <c r="E364">
        <v>76.88</v>
      </c>
      <c r="F364">
        <v>20140630</v>
      </c>
      <c r="G364" t="s">
        <v>83</v>
      </c>
      <c r="I364" t="s">
        <v>68</v>
      </c>
    </row>
    <row r="365" spans="1:9" x14ac:dyDescent="0.25">
      <c r="A365">
        <v>20140630</v>
      </c>
      <c r="B365" t="str">
        <f t="shared" si="38"/>
        <v>000630</v>
      </c>
      <c r="C365" t="str">
        <f t="shared" si="39"/>
        <v>55555</v>
      </c>
      <c r="D365" t="s">
        <v>52</v>
      </c>
      <c r="E365">
        <v>49.34</v>
      </c>
      <c r="F365">
        <v>20140630</v>
      </c>
      <c r="G365" t="s">
        <v>85</v>
      </c>
      <c r="I365" t="s">
        <v>71</v>
      </c>
    </row>
    <row r="366" spans="1:9" x14ac:dyDescent="0.25">
      <c r="A366">
        <v>20140630</v>
      </c>
      <c r="B366" t="str">
        <f t="shared" si="38"/>
        <v>000630</v>
      </c>
      <c r="C366" t="str">
        <f t="shared" si="39"/>
        <v>55555</v>
      </c>
      <c r="D366" t="s">
        <v>52</v>
      </c>
      <c r="E366">
        <v>16.46</v>
      </c>
      <c r="F366">
        <v>20140630</v>
      </c>
      <c r="G366" t="s">
        <v>86</v>
      </c>
      <c r="I366" t="s">
        <v>73</v>
      </c>
    </row>
    <row r="367" spans="1:9" x14ac:dyDescent="0.25">
      <c r="A367">
        <v>20140630</v>
      </c>
      <c r="B367" t="str">
        <f t="shared" si="38"/>
        <v>000630</v>
      </c>
      <c r="C367" t="str">
        <f t="shared" si="39"/>
        <v>55555</v>
      </c>
      <c r="D367" t="s">
        <v>52</v>
      </c>
      <c r="E367">
        <v>26.66</v>
      </c>
      <c r="F367">
        <v>20140630</v>
      </c>
      <c r="G367" t="s">
        <v>87</v>
      </c>
      <c r="I367" t="s">
        <v>75</v>
      </c>
    </row>
    <row r="368" spans="1:9" x14ac:dyDescent="0.25">
      <c r="A368">
        <v>20140630</v>
      </c>
      <c r="B368" t="str">
        <f t="shared" si="38"/>
        <v>000630</v>
      </c>
      <c r="C368" t="str">
        <f t="shared" si="39"/>
        <v>55555</v>
      </c>
      <c r="D368" t="s">
        <v>52</v>
      </c>
      <c r="E368">
        <v>508.65</v>
      </c>
      <c r="F368">
        <v>20140630</v>
      </c>
      <c r="G368" t="s">
        <v>89</v>
      </c>
      <c r="I368" t="s">
        <v>79</v>
      </c>
    </row>
    <row r="369" spans="1:9" x14ac:dyDescent="0.25">
      <c r="A369">
        <v>20140630</v>
      </c>
      <c r="B369" t="str">
        <f>"000631"</f>
        <v>000631</v>
      </c>
      <c r="C369" t="str">
        <f>"83327"</f>
        <v>83327</v>
      </c>
      <c r="D369" t="s">
        <v>18</v>
      </c>
      <c r="E369" s="1">
        <v>4628.42</v>
      </c>
      <c r="F369">
        <v>20140630</v>
      </c>
      <c r="G369" t="s">
        <v>19</v>
      </c>
      <c r="H369" t="s">
        <v>229</v>
      </c>
      <c r="I369" t="s">
        <v>21</v>
      </c>
    </row>
    <row r="370" spans="1:9" x14ac:dyDescent="0.25">
      <c r="A370">
        <v>20140630</v>
      </c>
      <c r="B370" t="str">
        <f>"000632"</f>
        <v>000632</v>
      </c>
      <c r="C370" t="str">
        <f>"83309"</f>
        <v>83309</v>
      </c>
      <c r="D370" t="s">
        <v>98</v>
      </c>
      <c r="E370">
        <v>6</v>
      </c>
      <c r="F370">
        <v>20140701</v>
      </c>
      <c r="G370" t="s">
        <v>99</v>
      </c>
      <c r="H370" t="s">
        <v>100</v>
      </c>
      <c r="I370" t="s">
        <v>21</v>
      </c>
    </row>
    <row r="371" spans="1:9" x14ac:dyDescent="0.25">
      <c r="A371">
        <v>20140616</v>
      </c>
      <c r="B371" t="str">
        <f>"000698"</f>
        <v>000698</v>
      </c>
      <c r="C371" t="str">
        <f>"79801"</f>
        <v>79801</v>
      </c>
      <c r="D371" t="s">
        <v>17</v>
      </c>
      <c r="E371" s="1">
        <v>2775</v>
      </c>
      <c r="F371">
        <v>20140630</v>
      </c>
      <c r="G371" t="s">
        <v>14</v>
      </c>
      <c r="I371" t="s">
        <v>15</v>
      </c>
    </row>
    <row r="372" spans="1:9" x14ac:dyDescent="0.25">
      <c r="A372">
        <v>20140620</v>
      </c>
      <c r="B372" t="str">
        <f>"000699"</f>
        <v>000699</v>
      </c>
      <c r="C372" t="str">
        <f>"79801"</f>
        <v>79801</v>
      </c>
      <c r="D372" t="s">
        <v>17</v>
      </c>
      <c r="E372">
        <v>300</v>
      </c>
      <c r="F372">
        <v>20140630</v>
      </c>
      <c r="G372" t="s">
        <v>14</v>
      </c>
      <c r="I372" t="s">
        <v>15</v>
      </c>
    </row>
    <row r="373" spans="1:9" x14ac:dyDescent="0.25">
      <c r="A373">
        <v>20140708</v>
      </c>
      <c r="B373" t="str">
        <f>"000701"</f>
        <v>000701</v>
      </c>
      <c r="C373" t="str">
        <f>"55555"</f>
        <v>55555</v>
      </c>
      <c r="D373" t="s">
        <v>52</v>
      </c>
      <c r="E373" s="1">
        <v>288145.65999999997</v>
      </c>
      <c r="F373">
        <v>20140708</v>
      </c>
      <c r="G373" t="s">
        <v>53</v>
      </c>
      <c r="H373" t="s">
        <v>54</v>
      </c>
      <c r="I373" t="s">
        <v>21</v>
      </c>
    </row>
    <row r="374" spans="1:9" x14ac:dyDescent="0.25">
      <c r="A374">
        <v>20140709</v>
      </c>
      <c r="B374" t="str">
        <f>"000702"</f>
        <v>000702</v>
      </c>
      <c r="C374" t="str">
        <f>"00362"</f>
        <v>00362</v>
      </c>
      <c r="D374" t="s">
        <v>22</v>
      </c>
      <c r="E374">
        <v>325</v>
      </c>
      <c r="F374">
        <v>20140709</v>
      </c>
      <c r="G374" t="s">
        <v>48</v>
      </c>
      <c r="H374" t="s">
        <v>42</v>
      </c>
      <c r="I374" t="s">
        <v>25</v>
      </c>
    </row>
    <row r="375" spans="1:9" x14ac:dyDescent="0.25">
      <c r="A375">
        <v>20140709</v>
      </c>
      <c r="B375" t="str">
        <f>"000703"</f>
        <v>000703</v>
      </c>
      <c r="C375" t="str">
        <f>"00383"</f>
        <v>00383</v>
      </c>
      <c r="D375" t="s">
        <v>12</v>
      </c>
      <c r="E375">
        <v>37.35</v>
      </c>
      <c r="F375">
        <v>20140709</v>
      </c>
      <c r="G375" t="s">
        <v>39</v>
      </c>
      <c r="H375" t="s">
        <v>230</v>
      </c>
      <c r="I375" t="s">
        <v>38</v>
      </c>
    </row>
    <row r="376" spans="1:9" x14ac:dyDescent="0.25">
      <c r="A376">
        <v>20140709</v>
      </c>
      <c r="B376" t="str">
        <f>"000704"</f>
        <v>000704</v>
      </c>
      <c r="C376" t="str">
        <f>"00383"</f>
        <v>00383</v>
      </c>
      <c r="D376" t="s">
        <v>12</v>
      </c>
      <c r="E376" s="1">
        <v>1204.4100000000001</v>
      </c>
      <c r="F376">
        <v>20140709</v>
      </c>
      <c r="G376" t="s">
        <v>99</v>
      </c>
      <c r="H376" t="s">
        <v>231</v>
      </c>
      <c r="I376" t="s">
        <v>21</v>
      </c>
    </row>
    <row r="377" spans="1:9" x14ac:dyDescent="0.25">
      <c r="A377">
        <v>20140709</v>
      </c>
      <c r="B377" t="str">
        <f>"000706"</f>
        <v>000706</v>
      </c>
      <c r="C377" t="str">
        <f>"00137"</f>
        <v>00137</v>
      </c>
      <c r="D377" t="s">
        <v>26</v>
      </c>
      <c r="E377">
        <v>29.58</v>
      </c>
      <c r="F377">
        <v>20140709</v>
      </c>
      <c r="G377" t="s">
        <v>31</v>
      </c>
      <c r="I377" t="s">
        <v>29</v>
      </c>
    </row>
    <row r="378" spans="1:9" x14ac:dyDescent="0.25">
      <c r="A378">
        <v>20140709</v>
      </c>
      <c r="B378" t="str">
        <f>"000706"</f>
        <v>000706</v>
      </c>
      <c r="C378" t="str">
        <f>"00137"</f>
        <v>00137</v>
      </c>
      <c r="D378" t="s">
        <v>26</v>
      </c>
      <c r="E378">
        <v>54.07</v>
      </c>
      <c r="F378">
        <v>20140709</v>
      </c>
      <c r="G378" t="s">
        <v>32</v>
      </c>
      <c r="I378" t="s">
        <v>33</v>
      </c>
    </row>
    <row r="379" spans="1:9" x14ac:dyDescent="0.25">
      <c r="A379">
        <v>20140715</v>
      </c>
      <c r="B379" t="str">
        <f>"000715"</f>
        <v>000715</v>
      </c>
      <c r="C379" t="str">
        <f>"73700"</f>
        <v>73700</v>
      </c>
      <c r="D379" t="s">
        <v>55</v>
      </c>
      <c r="E379" s="1">
        <v>218000</v>
      </c>
      <c r="F379">
        <v>20140714</v>
      </c>
      <c r="G379" t="s">
        <v>59</v>
      </c>
      <c r="I379" t="s">
        <v>12</v>
      </c>
    </row>
    <row r="380" spans="1:9" x14ac:dyDescent="0.25">
      <c r="A380">
        <v>20140725</v>
      </c>
      <c r="B380" t="str">
        <f>"000716"</f>
        <v>000716</v>
      </c>
      <c r="C380" t="str">
        <f>"73700"</f>
        <v>73700</v>
      </c>
      <c r="D380" t="s">
        <v>55</v>
      </c>
      <c r="E380" s="1">
        <v>2000000</v>
      </c>
      <c r="F380">
        <v>20140721</v>
      </c>
      <c r="G380" t="s">
        <v>56</v>
      </c>
      <c r="I380" t="s">
        <v>21</v>
      </c>
    </row>
    <row r="381" spans="1:9" x14ac:dyDescent="0.25">
      <c r="A381">
        <v>20140717</v>
      </c>
      <c r="B381" t="str">
        <f t="shared" ref="B381:B389" si="40">"000720"</f>
        <v>000720</v>
      </c>
      <c r="C381" t="str">
        <f t="shared" ref="C381:C389" si="41">"79801"</f>
        <v>79801</v>
      </c>
      <c r="D381" t="s">
        <v>17</v>
      </c>
      <c r="E381">
        <v>8.08</v>
      </c>
      <c r="F381">
        <v>20140717</v>
      </c>
      <c r="G381" t="s">
        <v>130</v>
      </c>
      <c r="I381" t="s">
        <v>131</v>
      </c>
    </row>
    <row r="382" spans="1:9" x14ac:dyDescent="0.25">
      <c r="A382">
        <v>20140717</v>
      </c>
      <c r="B382" t="str">
        <f t="shared" si="40"/>
        <v>000720</v>
      </c>
      <c r="C382" t="str">
        <f t="shared" si="41"/>
        <v>79801</v>
      </c>
      <c r="D382" t="s">
        <v>17</v>
      </c>
      <c r="E382" s="1">
        <v>3111.3</v>
      </c>
      <c r="F382">
        <v>20140717</v>
      </c>
      <c r="G382" t="s">
        <v>64</v>
      </c>
      <c r="I382" t="s">
        <v>21</v>
      </c>
    </row>
    <row r="383" spans="1:9" x14ac:dyDescent="0.25">
      <c r="A383">
        <v>20140717</v>
      </c>
      <c r="B383" t="str">
        <f t="shared" si="40"/>
        <v>000720</v>
      </c>
      <c r="C383" t="str">
        <f t="shared" si="41"/>
        <v>79801</v>
      </c>
      <c r="D383" t="s">
        <v>17</v>
      </c>
      <c r="E383">
        <v>598.03</v>
      </c>
      <c r="F383">
        <v>20140717</v>
      </c>
      <c r="G383" t="s">
        <v>65</v>
      </c>
      <c r="I383" t="s">
        <v>66</v>
      </c>
    </row>
    <row r="384" spans="1:9" x14ac:dyDescent="0.25">
      <c r="A384">
        <v>20140717</v>
      </c>
      <c r="B384" t="str">
        <f t="shared" si="40"/>
        <v>000720</v>
      </c>
      <c r="C384" t="str">
        <f t="shared" si="41"/>
        <v>79801</v>
      </c>
      <c r="D384" t="s">
        <v>17</v>
      </c>
      <c r="E384">
        <v>41.25</v>
      </c>
      <c r="F384">
        <v>20140717</v>
      </c>
      <c r="G384" t="s">
        <v>67</v>
      </c>
      <c r="I384" t="s">
        <v>68</v>
      </c>
    </row>
    <row r="385" spans="1:9" x14ac:dyDescent="0.25">
      <c r="A385">
        <v>20140717</v>
      </c>
      <c r="B385" t="str">
        <f t="shared" si="40"/>
        <v>000720</v>
      </c>
      <c r="C385" t="str">
        <f t="shared" si="41"/>
        <v>79801</v>
      </c>
      <c r="D385" t="s">
        <v>17</v>
      </c>
      <c r="E385">
        <v>8.17</v>
      </c>
      <c r="F385">
        <v>20140717</v>
      </c>
      <c r="G385" t="s">
        <v>69</v>
      </c>
      <c r="I385" t="s">
        <v>12</v>
      </c>
    </row>
    <row r="386" spans="1:9" x14ac:dyDescent="0.25">
      <c r="A386">
        <v>20140717</v>
      </c>
      <c r="B386" t="str">
        <f t="shared" si="40"/>
        <v>000720</v>
      </c>
      <c r="C386" t="str">
        <f t="shared" si="41"/>
        <v>79801</v>
      </c>
      <c r="D386" t="s">
        <v>17</v>
      </c>
      <c r="E386">
        <v>113.94</v>
      </c>
      <c r="F386">
        <v>20140717</v>
      </c>
      <c r="G386" t="s">
        <v>217</v>
      </c>
      <c r="I386" t="s">
        <v>218</v>
      </c>
    </row>
    <row r="387" spans="1:9" x14ac:dyDescent="0.25">
      <c r="A387">
        <v>20140717</v>
      </c>
      <c r="B387" t="str">
        <f t="shared" si="40"/>
        <v>000720</v>
      </c>
      <c r="C387" t="str">
        <f t="shared" si="41"/>
        <v>79801</v>
      </c>
      <c r="D387" t="s">
        <v>17</v>
      </c>
      <c r="E387">
        <v>8.43</v>
      </c>
      <c r="F387">
        <v>20140717</v>
      </c>
      <c r="G387" t="s">
        <v>74</v>
      </c>
      <c r="I387" t="s">
        <v>75</v>
      </c>
    </row>
    <row r="388" spans="1:9" x14ac:dyDescent="0.25">
      <c r="A388">
        <v>20140717</v>
      </c>
      <c r="B388" t="str">
        <f t="shared" si="40"/>
        <v>000720</v>
      </c>
      <c r="C388" t="str">
        <f t="shared" si="41"/>
        <v>79801</v>
      </c>
      <c r="D388" t="s">
        <v>17</v>
      </c>
      <c r="E388">
        <v>405.98</v>
      </c>
      <c r="F388">
        <v>20140717</v>
      </c>
      <c r="G388" t="s">
        <v>232</v>
      </c>
      <c r="I388" t="s">
        <v>233</v>
      </c>
    </row>
    <row r="389" spans="1:9" x14ac:dyDescent="0.25">
      <c r="A389">
        <v>20140717</v>
      </c>
      <c r="B389" t="str">
        <f t="shared" si="40"/>
        <v>000720</v>
      </c>
      <c r="C389" t="str">
        <f t="shared" si="41"/>
        <v>79801</v>
      </c>
      <c r="D389" t="s">
        <v>17</v>
      </c>
      <c r="E389">
        <v>14.35</v>
      </c>
      <c r="F389">
        <v>20140717</v>
      </c>
      <c r="G389" t="s">
        <v>78</v>
      </c>
      <c r="I389" t="s">
        <v>79</v>
      </c>
    </row>
    <row r="390" spans="1:9" x14ac:dyDescent="0.25">
      <c r="A390">
        <v>20140724</v>
      </c>
      <c r="B390" t="str">
        <f t="shared" ref="B390:B401" si="42">"000724"</f>
        <v>000724</v>
      </c>
      <c r="C390" t="str">
        <f t="shared" ref="C390:C411" si="43">"55555"</f>
        <v>55555</v>
      </c>
      <c r="D390" t="s">
        <v>52</v>
      </c>
      <c r="E390">
        <v>862.33</v>
      </c>
      <c r="F390">
        <v>20140717</v>
      </c>
      <c r="G390" t="s">
        <v>134</v>
      </c>
      <c r="I390" t="s">
        <v>131</v>
      </c>
    </row>
    <row r="391" spans="1:9" x14ac:dyDescent="0.25">
      <c r="A391">
        <v>20140724</v>
      </c>
      <c r="B391" t="str">
        <f t="shared" si="42"/>
        <v>000724</v>
      </c>
      <c r="C391" t="str">
        <f t="shared" si="43"/>
        <v>55555</v>
      </c>
      <c r="D391" t="s">
        <v>52</v>
      </c>
      <c r="E391" s="1">
        <v>1418988.44</v>
      </c>
      <c r="F391">
        <v>20140717</v>
      </c>
      <c r="G391" t="s">
        <v>53</v>
      </c>
      <c r="I391" t="s">
        <v>21</v>
      </c>
    </row>
    <row r="392" spans="1:9" x14ac:dyDescent="0.25">
      <c r="A392">
        <v>20140724</v>
      </c>
      <c r="B392" t="str">
        <f t="shared" si="42"/>
        <v>000724</v>
      </c>
      <c r="C392" t="str">
        <f t="shared" si="43"/>
        <v>55555</v>
      </c>
      <c r="D392" t="s">
        <v>52</v>
      </c>
      <c r="E392" s="1">
        <v>193624.62</v>
      </c>
      <c r="F392">
        <v>20140717</v>
      </c>
      <c r="G392" t="s">
        <v>82</v>
      </c>
      <c r="I392" t="s">
        <v>66</v>
      </c>
    </row>
    <row r="393" spans="1:9" x14ac:dyDescent="0.25">
      <c r="A393">
        <v>20140724</v>
      </c>
      <c r="B393" t="str">
        <f t="shared" si="42"/>
        <v>000724</v>
      </c>
      <c r="C393" t="str">
        <f t="shared" si="43"/>
        <v>55555</v>
      </c>
      <c r="D393" t="s">
        <v>52</v>
      </c>
      <c r="E393" s="1">
        <v>56213.24</v>
      </c>
      <c r="F393">
        <v>20140717</v>
      </c>
      <c r="G393" t="s">
        <v>83</v>
      </c>
      <c r="I393" t="s">
        <v>68</v>
      </c>
    </row>
    <row r="394" spans="1:9" x14ac:dyDescent="0.25">
      <c r="A394">
        <v>20140724</v>
      </c>
      <c r="B394" t="str">
        <f t="shared" si="42"/>
        <v>000724</v>
      </c>
      <c r="C394" t="str">
        <f t="shared" si="43"/>
        <v>55555</v>
      </c>
      <c r="D394" t="s">
        <v>52</v>
      </c>
      <c r="E394" s="1">
        <v>91249</v>
      </c>
      <c r="F394">
        <v>20140717</v>
      </c>
      <c r="G394" t="s">
        <v>84</v>
      </c>
      <c r="I394" t="s">
        <v>12</v>
      </c>
    </row>
    <row r="395" spans="1:9" x14ac:dyDescent="0.25">
      <c r="A395">
        <v>20140724</v>
      </c>
      <c r="B395" t="str">
        <f t="shared" si="42"/>
        <v>000724</v>
      </c>
      <c r="C395" t="str">
        <f t="shared" si="43"/>
        <v>55555</v>
      </c>
      <c r="D395" t="s">
        <v>52</v>
      </c>
      <c r="E395" s="1">
        <v>13162.05</v>
      </c>
      <c r="F395">
        <v>20140717</v>
      </c>
      <c r="G395" t="s">
        <v>226</v>
      </c>
      <c r="I395" t="s">
        <v>218</v>
      </c>
    </row>
    <row r="396" spans="1:9" x14ac:dyDescent="0.25">
      <c r="A396">
        <v>20140724</v>
      </c>
      <c r="B396" t="str">
        <f t="shared" si="42"/>
        <v>000724</v>
      </c>
      <c r="C396" t="str">
        <f t="shared" si="43"/>
        <v>55555</v>
      </c>
      <c r="D396" t="s">
        <v>52</v>
      </c>
      <c r="E396" s="1">
        <v>8748.0499999999993</v>
      </c>
      <c r="F396">
        <v>20140717</v>
      </c>
      <c r="G396" t="s">
        <v>85</v>
      </c>
      <c r="I396" t="s">
        <v>71</v>
      </c>
    </row>
    <row r="397" spans="1:9" x14ac:dyDescent="0.25">
      <c r="A397">
        <v>20140724</v>
      </c>
      <c r="B397" t="str">
        <f t="shared" si="42"/>
        <v>000724</v>
      </c>
      <c r="C397" t="str">
        <f t="shared" si="43"/>
        <v>55555</v>
      </c>
      <c r="D397" t="s">
        <v>52</v>
      </c>
      <c r="E397" s="1">
        <v>13436.54</v>
      </c>
      <c r="F397">
        <v>20140717</v>
      </c>
      <c r="G397" t="s">
        <v>86</v>
      </c>
      <c r="I397" t="s">
        <v>73</v>
      </c>
    </row>
    <row r="398" spans="1:9" x14ac:dyDescent="0.25">
      <c r="A398">
        <v>20140724</v>
      </c>
      <c r="B398" t="str">
        <f t="shared" si="42"/>
        <v>000724</v>
      </c>
      <c r="C398" t="str">
        <f t="shared" si="43"/>
        <v>55555</v>
      </c>
      <c r="D398" t="s">
        <v>52</v>
      </c>
      <c r="E398" s="1">
        <v>1728.77</v>
      </c>
      <c r="F398">
        <v>20140717</v>
      </c>
      <c r="G398" t="s">
        <v>87</v>
      </c>
      <c r="I398" t="s">
        <v>75</v>
      </c>
    </row>
    <row r="399" spans="1:9" x14ac:dyDescent="0.25">
      <c r="A399">
        <v>20140724</v>
      </c>
      <c r="B399" t="str">
        <f t="shared" si="42"/>
        <v>000724</v>
      </c>
      <c r="C399" t="str">
        <f t="shared" si="43"/>
        <v>55555</v>
      </c>
      <c r="D399" t="s">
        <v>52</v>
      </c>
      <c r="E399" s="1">
        <v>46890.99</v>
      </c>
      <c r="F399">
        <v>20140717</v>
      </c>
      <c r="G399" t="s">
        <v>234</v>
      </c>
      <c r="I399" t="s">
        <v>233</v>
      </c>
    </row>
    <row r="400" spans="1:9" x14ac:dyDescent="0.25">
      <c r="A400">
        <v>20140724</v>
      </c>
      <c r="B400" t="str">
        <f t="shared" si="42"/>
        <v>000724</v>
      </c>
      <c r="C400" t="str">
        <f t="shared" si="43"/>
        <v>55555</v>
      </c>
      <c r="D400" t="s">
        <v>52</v>
      </c>
      <c r="E400" s="1">
        <v>1298.05</v>
      </c>
      <c r="F400">
        <v>20140717</v>
      </c>
      <c r="G400" t="s">
        <v>88</v>
      </c>
      <c r="I400" t="s">
        <v>77</v>
      </c>
    </row>
    <row r="401" spans="1:9" x14ac:dyDescent="0.25">
      <c r="A401">
        <v>20140724</v>
      </c>
      <c r="B401" t="str">
        <f t="shared" si="42"/>
        <v>000724</v>
      </c>
      <c r="C401" t="str">
        <f t="shared" si="43"/>
        <v>55555</v>
      </c>
      <c r="D401" t="s">
        <v>52</v>
      </c>
      <c r="E401" s="1">
        <v>46641</v>
      </c>
      <c r="F401">
        <v>20140717</v>
      </c>
      <c r="G401" t="s">
        <v>89</v>
      </c>
      <c r="I401" t="s">
        <v>79</v>
      </c>
    </row>
    <row r="402" spans="1:9" x14ac:dyDescent="0.25">
      <c r="A402">
        <v>20140725</v>
      </c>
      <c r="B402" t="str">
        <f>"000725"</f>
        <v>000725</v>
      </c>
      <c r="C402" t="str">
        <f t="shared" si="43"/>
        <v>55555</v>
      </c>
      <c r="D402" t="s">
        <v>52</v>
      </c>
      <c r="E402" s="1">
        <v>750000</v>
      </c>
      <c r="F402">
        <v>20140717</v>
      </c>
      <c r="G402" t="s">
        <v>53</v>
      </c>
      <c r="I402" t="s">
        <v>21</v>
      </c>
    </row>
    <row r="403" spans="1:9" x14ac:dyDescent="0.25">
      <c r="A403">
        <v>20140729</v>
      </c>
      <c r="B403" t="str">
        <f>"000729"</f>
        <v>000729</v>
      </c>
      <c r="C403" t="str">
        <f t="shared" si="43"/>
        <v>55555</v>
      </c>
      <c r="D403" t="s">
        <v>52</v>
      </c>
      <c r="E403">
        <v>450</v>
      </c>
      <c r="F403">
        <v>20140729</v>
      </c>
      <c r="G403" t="s">
        <v>235</v>
      </c>
      <c r="I403" t="s">
        <v>21</v>
      </c>
    </row>
    <row r="404" spans="1:9" x14ac:dyDescent="0.25">
      <c r="A404">
        <v>20140729</v>
      </c>
      <c r="B404" t="str">
        <f t="shared" ref="B404:B411" si="44">"000730"</f>
        <v>000730</v>
      </c>
      <c r="C404" t="str">
        <f t="shared" si="43"/>
        <v>55555</v>
      </c>
      <c r="D404" t="s">
        <v>52</v>
      </c>
      <c r="E404" s="1">
        <v>29630.639999999999</v>
      </c>
      <c r="F404">
        <v>20140729</v>
      </c>
      <c r="G404" t="s">
        <v>53</v>
      </c>
      <c r="I404" t="s">
        <v>21</v>
      </c>
    </row>
    <row r="405" spans="1:9" x14ac:dyDescent="0.25">
      <c r="A405">
        <v>20140729</v>
      </c>
      <c r="B405" t="str">
        <f t="shared" si="44"/>
        <v>000730</v>
      </c>
      <c r="C405" t="str">
        <f t="shared" si="43"/>
        <v>55555</v>
      </c>
      <c r="D405" t="s">
        <v>52</v>
      </c>
      <c r="E405">
        <v>205.74</v>
      </c>
      <c r="F405">
        <v>20140729</v>
      </c>
      <c r="G405" t="s">
        <v>82</v>
      </c>
      <c r="I405" t="s">
        <v>66</v>
      </c>
    </row>
    <row r="406" spans="1:9" x14ac:dyDescent="0.25">
      <c r="A406">
        <v>20140729</v>
      </c>
      <c r="B406" t="str">
        <f t="shared" si="44"/>
        <v>000730</v>
      </c>
      <c r="C406" t="str">
        <f t="shared" si="43"/>
        <v>55555</v>
      </c>
      <c r="D406" t="s">
        <v>52</v>
      </c>
      <c r="E406">
        <v>76.88</v>
      </c>
      <c r="F406">
        <v>20140729</v>
      </c>
      <c r="G406" t="s">
        <v>83</v>
      </c>
      <c r="I406" t="s">
        <v>68</v>
      </c>
    </row>
    <row r="407" spans="1:9" x14ac:dyDescent="0.25">
      <c r="A407">
        <v>20140729</v>
      </c>
      <c r="B407" t="str">
        <f t="shared" si="44"/>
        <v>000730</v>
      </c>
      <c r="C407" t="str">
        <f t="shared" si="43"/>
        <v>55555</v>
      </c>
      <c r="D407" t="s">
        <v>52</v>
      </c>
      <c r="E407">
        <v>69.37</v>
      </c>
      <c r="F407">
        <v>20140729</v>
      </c>
      <c r="G407" t="s">
        <v>84</v>
      </c>
      <c r="I407" t="s">
        <v>12</v>
      </c>
    </row>
    <row r="408" spans="1:9" x14ac:dyDescent="0.25">
      <c r="A408">
        <v>20140729</v>
      </c>
      <c r="B408" t="str">
        <f t="shared" si="44"/>
        <v>000730</v>
      </c>
      <c r="C408" t="str">
        <f t="shared" si="43"/>
        <v>55555</v>
      </c>
      <c r="D408" t="s">
        <v>52</v>
      </c>
      <c r="E408">
        <v>49.34</v>
      </c>
      <c r="F408">
        <v>20140729</v>
      </c>
      <c r="G408" t="s">
        <v>85</v>
      </c>
      <c r="I408" t="s">
        <v>71</v>
      </c>
    </row>
    <row r="409" spans="1:9" x14ac:dyDescent="0.25">
      <c r="A409">
        <v>20140729</v>
      </c>
      <c r="B409" t="str">
        <f t="shared" si="44"/>
        <v>000730</v>
      </c>
      <c r="C409" t="str">
        <f t="shared" si="43"/>
        <v>55555</v>
      </c>
      <c r="D409" t="s">
        <v>52</v>
      </c>
      <c r="E409">
        <v>15.88</v>
      </c>
      <c r="F409">
        <v>20140729</v>
      </c>
      <c r="G409" t="s">
        <v>86</v>
      </c>
      <c r="I409" t="s">
        <v>73</v>
      </c>
    </row>
    <row r="410" spans="1:9" x14ac:dyDescent="0.25">
      <c r="A410">
        <v>20140729</v>
      </c>
      <c r="B410" t="str">
        <f t="shared" si="44"/>
        <v>000730</v>
      </c>
      <c r="C410" t="str">
        <f t="shared" si="43"/>
        <v>55555</v>
      </c>
      <c r="D410" t="s">
        <v>52</v>
      </c>
      <c r="E410">
        <v>26.17</v>
      </c>
      <c r="F410">
        <v>20140729</v>
      </c>
      <c r="G410" t="s">
        <v>87</v>
      </c>
      <c r="I410" t="s">
        <v>75</v>
      </c>
    </row>
    <row r="411" spans="1:9" x14ac:dyDescent="0.25">
      <c r="A411">
        <v>20140729</v>
      </c>
      <c r="B411" t="str">
        <f t="shared" si="44"/>
        <v>000730</v>
      </c>
      <c r="C411" t="str">
        <f t="shared" si="43"/>
        <v>55555</v>
      </c>
      <c r="D411" t="s">
        <v>52</v>
      </c>
      <c r="E411">
        <v>511.3</v>
      </c>
      <c r="F411">
        <v>20140729</v>
      </c>
      <c r="G411" t="s">
        <v>89</v>
      </c>
      <c r="I411" t="s">
        <v>79</v>
      </c>
    </row>
    <row r="412" spans="1:9" x14ac:dyDescent="0.25">
      <c r="A412">
        <v>20140731</v>
      </c>
      <c r="B412" t="str">
        <f>"000731"</f>
        <v>000731</v>
      </c>
      <c r="C412" t="str">
        <f>"83309"</f>
        <v>83309</v>
      </c>
      <c r="D412" t="s">
        <v>98</v>
      </c>
      <c r="E412">
        <v>6</v>
      </c>
      <c r="F412">
        <v>20140804</v>
      </c>
      <c r="G412" t="s">
        <v>99</v>
      </c>
      <c r="H412" t="s">
        <v>100</v>
      </c>
      <c r="I412" t="s">
        <v>21</v>
      </c>
    </row>
    <row r="413" spans="1:9" x14ac:dyDescent="0.25">
      <c r="A413">
        <v>20140731</v>
      </c>
      <c r="B413" t="str">
        <f>"000732"</f>
        <v>000732</v>
      </c>
      <c r="C413" t="str">
        <f>"83327"</f>
        <v>83327</v>
      </c>
      <c r="D413" t="s">
        <v>18</v>
      </c>
      <c r="E413" s="1">
        <v>20101.22</v>
      </c>
      <c r="F413">
        <v>20140804</v>
      </c>
      <c r="G413" t="s">
        <v>19</v>
      </c>
      <c r="I413" t="s">
        <v>21</v>
      </c>
    </row>
    <row r="414" spans="1:9" x14ac:dyDescent="0.25">
      <c r="A414">
        <v>20140806</v>
      </c>
      <c r="B414" t="str">
        <f>"000801"</f>
        <v>000801</v>
      </c>
      <c r="C414" t="str">
        <f>"00362"</f>
        <v>00362</v>
      </c>
      <c r="D414" t="s">
        <v>22</v>
      </c>
      <c r="E414">
        <v>325</v>
      </c>
      <c r="F414">
        <v>20140806</v>
      </c>
      <c r="G414" t="s">
        <v>48</v>
      </c>
      <c r="H414" t="s">
        <v>236</v>
      </c>
      <c r="I414" t="s">
        <v>25</v>
      </c>
    </row>
    <row r="415" spans="1:9" x14ac:dyDescent="0.25">
      <c r="A415">
        <v>20140806</v>
      </c>
      <c r="B415" t="str">
        <f>"000802"</f>
        <v>000802</v>
      </c>
      <c r="C415" t="str">
        <f>"00150"</f>
        <v>00150</v>
      </c>
      <c r="D415" t="s">
        <v>183</v>
      </c>
      <c r="E415" s="1">
        <v>199000</v>
      </c>
      <c r="F415">
        <v>20140806</v>
      </c>
      <c r="G415" t="s">
        <v>237</v>
      </c>
      <c r="I415" t="s">
        <v>21</v>
      </c>
    </row>
    <row r="416" spans="1:9" x14ac:dyDescent="0.25">
      <c r="A416">
        <v>20140811</v>
      </c>
      <c r="B416" t="str">
        <f>"000811"</f>
        <v>000811</v>
      </c>
      <c r="C416" t="str">
        <f>"55555"</f>
        <v>55555</v>
      </c>
      <c r="D416" t="s">
        <v>52</v>
      </c>
      <c r="E416" s="1">
        <v>286584.65999999997</v>
      </c>
      <c r="F416">
        <v>20140811</v>
      </c>
      <c r="G416" t="s">
        <v>53</v>
      </c>
      <c r="H416" t="s">
        <v>238</v>
      </c>
      <c r="I416" t="s">
        <v>21</v>
      </c>
    </row>
    <row r="417" spans="1:9" x14ac:dyDescent="0.25">
      <c r="A417">
        <v>20140811</v>
      </c>
      <c r="B417" t="str">
        <f>"000812"</f>
        <v>000812</v>
      </c>
      <c r="C417" t="str">
        <f>"00137"</f>
        <v>00137</v>
      </c>
      <c r="D417" t="s">
        <v>26</v>
      </c>
      <c r="E417">
        <v>21.85</v>
      </c>
      <c r="F417">
        <v>20140811</v>
      </c>
      <c r="G417" t="s">
        <v>31</v>
      </c>
      <c r="H417" t="s">
        <v>239</v>
      </c>
      <c r="I417" t="s">
        <v>29</v>
      </c>
    </row>
    <row r="418" spans="1:9" x14ac:dyDescent="0.25">
      <c r="A418">
        <v>20140811</v>
      </c>
      <c r="B418" t="str">
        <f>"000812"</f>
        <v>000812</v>
      </c>
      <c r="C418" t="str">
        <f>"00137"</f>
        <v>00137</v>
      </c>
      <c r="D418" t="s">
        <v>26</v>
      </c>
      <c r="E418">
        <v>35.99</v>
      </c>
      <c r="F418">
        <v>20140811</v>
      </c>
      <c r="G418" t="s">
        <v>32</v>
      </c>
      <c r="H418" t="s">
        <v>239</v>
      </c>
      <c r="I418" t="s">
        <v>33</v>
      </c>
    </row>
    <row r="419" spans="1:9" x14ac:dyDescent="0.25">
      <c r="A419">
        <v>20140813</v>
      </c>
      <c r="B419" t="str">
        <f>"000813"</f>
        <v>000813</v>
      </c>
      <c r="C419" t="str">
        <f>"00032"</f>
        <v>00032</v>
      </c>
      <c r="D419" t="s">
        <v>109</v>
      </c>
      <c r="E419" s="1">
        <v>369406.26</v>
      </c>
      <c r="F419">
        <v>20140811</v>
      </c>
      <c r="G419" t="s">
        <v>113</v>
      </c>
      <c r="I419" t="s">
        <v>58</v>
      </c>
    </row>
    <row r="420" spans="1:9" x14ac:dyDescent="0.25">
      <c r="A420">
        <v>20140813</v>
      </c>
      <c r="B420" t="str">
        <f>"000813"</f>
        <v>000813</v>
      </c>
      <c r="C420" t="str">
        <f>"00032"</f>
        <v>00032</v>
      </c>
      <c r="D420" t="s">
        <v>109</v>
      </c>
      <c r="E420" s="1">
        <v>31650</v>
      </c>
      <c r="F420">
        <v>20140811</v>
      </c>
      <c r="G420" t="s">
        <v>114</v>
      </c>
      <c r="I420" t="s">
        <v>58</v>
      </c>
    </row>
    <row r="421" spans="1:9" x14ac:dyDescent="0.25">
      <c r="A421">
        <v>20140813</v>
      </c>
      <c r="B421" t="str">
        <f>"000813"</f>
        <v>000813</v>
      </c>
      <c r="C421" t="str">
        <f>"00032"</f>
        <v>00032</v>
      </c>
      <c r="D421" t="s">
        <v>109</v>
      </c>
      <c r="E421" s="1">
        <v>152775</v>
      </c>
      <c r="F421">
        <v>20140811</v>
      </c>
      <c r="G421" t="s">
        <v>115</v>
      </c>
      <c r="I421" t="s">
        <v>58</v>
      </c>
    </row>
    <row r="422" spans="1:9" x14ac:dyDescent="0.25">
      <c r="A422">
        <v>20140813</v>
      </c>
      <c r="B422" t="str">
        <f>"000813"</f>
        <v>000813</v>
      </c>
      <c r="C422" t="str">
        <f>"00032"</f>
        <v>00032</v>
      </c>
      <c r="D422" t="s">
        <v>109</v>
      </c>
      <c r="E422" s="1">
        <v>582112.5</v>
      </c>
      <c r="F422">
        <v>20140811</v>
      </c>
      <c r="G422" t="s">
        <v>116</v>
      </c>
      <c r="I422" t="s">
        <v>58</v>
      </c>
    </row>
    <row r="423" spans="1:9" x14ac:dyDescent="0.25">
      <c r="A423">
        <v>20140813</v>
      </c>
      <c r="B423" t="str">
        <f>"000814"</f>
        <v>000814</v>
      </c>
      <c r="C423" t="str">
        <f>"82991"</f>
        <v>82991</v>
      </c>
      <c r="D423" t="s">
        <v>104</v>
      </c>
      <c r="E423" s="1">
        <v>3000</v>
      </c>
      <c r="F423">
        <v>20140811</v>
      </c>
      <c r="G423" t="s">
        <v>108</v>
      </c>
      <c r="I423" t="s">
        <v>58</v>
      </c>
    </row>
    <row r="424" spans="1:9" x14ac:dyDescent="0.25">
      <c r="A424">
        <v>20140813</v>
      </c>
      <c r="B424" t="str">
        <f>"000815"</f>
        <v>000815</v>
      </c>
      <c r="C424" t="str">
        <f>"00137"</f>
        <v>00137</v>
      </c>
      <c r="D424" t="s">
        <v>26</v>
      </c>
      <c r="E424" s="1">
        <v>2200</v>
      </c>
      <c r="F424">
        <v>20140813</v>
      </c>
      <c r="G424" t="s">
        <v>240</v>
      </c>
      <c r="H424" t="s">
        <v>241</v>
      </c>
      <c r="I424" t="s">
        <v>38</v>
      </c>
    </row>
    <row r="425" spans="1:9" x14ac:dyDescent="0.25">
      <c r="A425">
        <v>20140813</v>
      </c>
      <c r="B425" t="str">
        <f>"000816"</f>
        <v>000816</v>
      </c>
      <c r="C425" t="str">
        <f>"83327"</f>
        <v>83327</v>
      </c>
      <c r="D425" t="s">
        <v>18</v>
      </c>
      <c r="E425" s="1">
        <v>13018.49</v>
      </c>
      <c r="F425">
        <v>20140813</v>
      </c>
      <c r="G425" t="s">
        <v>19</v>
      </c>
      <c r="H425" t="s">
        <v>242</v>
      </c>
      <c r="I425" t="s">
        <v>21</v>
      </c>
    </row>
    <row r="426" spans="1:9" x14ac:dyDescent="0.25">
      <c r="A426">
        <v>20140815</v>
      </c>
      <c r="B426" t="str">
        <f>"000820"</f>
        <v>000820</v>
      </c>
      <c r="C426" t="str">
        <f>"55555"</f>
        <v>55555</v>
      </c>
      <c r="D426" t="s">
        <v>52</v>
      </c>
      <c r="E426" s="1">
        <v>7085.53</v>
      </c>
      <c r="F426">
        <v>20140815</v>
      </c>
      <c r="G426" t="s">
        <v>53</v>
      </c>
      <c r="I426" t="s">
        <v>21</v>
      </c>
    </row>
    <row r="427" spans="1:9" x14ac:dyDescent="0.25">
      <c r="A427">
        <v>20140815</v>
      </c>
      <c r="B427" t="str">
        <f>"000820"</f>
        <v>000820</v>
      </c>
      <c r="C427" t="str">
        <f>"55555"</f>
        <v>55555</v>
      </c>
      <c r="D427" t="s">
        <v>52</v>
      </c>
      <c r="E427" s="1">
        <v>2103.2199999999998</v>
      </c>
      <c r="F427">
        <v>20140815</v>
      </c>
      <c r="G427" t="s">
        <v>84</v>
      </c>
      <c r="I427" t="s">
        <v>12</v>
      </c>
    </row>
    <row r="428" spans="1:9" x14ac:dyDescent="0.25">
      <c r="A428">
        <v>20140820</v>
      </c>
      <c r="B428" t="str">
        <f t="shared" ref="B428:B438" si="45">"000821"</f>
        <v>000821</v>
      </c>
      <c r="C428" t="str">
        <f t="shared" ref="C428:C438" si="46">"79801"</f>
        <v>79801</v>
      </c>
      <c r="D428" t="s">
        <v>17</v>
      </c>
      <c r="E428" s="1">
        <v>8293.35</v>
      </c>
      <c r="F428">
        <v>20140820</v>
      </c>
      <c r="G428" t="s">
        <v>64</v>
      </c>
      <c r="I428" t="s">
        <v>21</v>
      </c>
    </row>
    <row r="429" spans="1:9" x14ac:dyDescent="0.25">
      <c r="A429">
        <v>20140820</v>
      </c>
      <c r="B429" t="str">
        <f t="shared" si="45"/>
        <v>000821</v>
      </c>
      <c r="C429" t="str">
        <f t="shared" si="46"/>
        <v>79801</v>
      </c>
      <c r="D429" t="s">
        <v>17</v>
      </c>
      <c r="E429">
        <v>367.61</v>
      </c>
      <c r="F429">
        <v>20140820</v>
      </c>
      <c r="G429" t="s">
        <v>65</v>
      </c>
      <c r="I429" t="s">
        <v>66</v>
      </c>
    </row>
    <row r="430" spans="1:9" x14ac:dyDescent="0.25">
      <c r="A430">
        <v>20140820</v>
      </c>
      <c r="B430" t="str">
        <f t="shared" si="45"/>
        <v>000821</v>
      </c>
      <c r="C430" t="str">
        <f t="shared" si="46"/>
        <v>79801</v>
      </c>
      <c r="D430" t="s">
        <v>17</v>
      </c>
      <c r="E430">
        <v>211.85</v>
      </c>
      <c r="F430">
        <v>20140820</v>
      </c>
      <c r="G430" t="s">
        <v>67</v>
      </c>
      <c r="I430" t="s">
        <v>68</v>
      </c>
    </row>
    <row r="431" spans="1:9" x14ac:dyDescent="0.25">
      <c r="A431">
        <v>20140820</v>
      </c>
      <c r="B431" t="str">
        <f t="shared" si="45"/>
        <v>000821</v>
      </c>
      <c r="C431" t="str">
        <f t="shared" si="46"/>
        <v>79801</v>
      </c>
      <c r="D431" t="s">
        <v>17</v>
      </c>
      <c r="E431">
        <v>166</v>
      </c>
      <c r="F431">
        <v>20140820</v>
      </c>
      <c r="G431" t="s">
        <v>69</v>
      </c>
      <c r="I431" t="s">
        <v>12</v>
      </c>
    </row>
    <row r="432" spans="1:9" x14ac:dyDescent="0.25">
      <c r="A432">
        <v>20140820</v>
      </c>
      <c r="B432" t="str">
        <f t="shared" si="45"/>
        <v>000821</v>
      </c>
      <c r="C432" t="str">
        <f t="shared" si="46"/>
        <v>79801</v>
      </c>
      <c r="D432" t="s">
        <v>17</v>
      </c>
      <c r="E432">
        <v>20.77</v>
      </c>
      <c r="F432">
        <v>20140820</v>
      </c>
      <c r="G432" t="s">
        <v>217</v>
      </c>
      <c r="I432" t="s">
        <v>218</v>
      </c>
    </row>
    <row r="433" spans="1:9" x14ac:dyDescent="0.25">
      <c r="A433">
        <v>20140820</v>
      </c>
      <c r="B433" t="str">
        <f t="shared" si="45"/>
        <v>000821</v>
      </c>
      <c r="C433" t="str">
        <f t="shared" si="46"/>
        <v>79801</v>
      </c>
      <c r="D433" t="s">
        <v>17</v>
      </c>
      <c r="E433">
        <v>82.27</v>
      </c>
      <c r="F433">
        <v>20140820</v>
      </c>
      <c r="G433" t="s">
        <v>70</v>
      </c>
      <c r="I433" t="s">
        <v>71</v>
      </c>
    </row>
    <row r="434" spans="1:9" x14ac:dyDescent="0.25">
      <c r="A434">
        <v>20140820</v>
      </c>
      <c r="B434" t="str">
        <f t="shared" si="45"/>
        <v>000821</v>
      </c>
      <c r="C434" t="str">
        <f t="shared" si="46"/>
        <v>79801</v>
      </c>
      <c r="D434" t="s">
        <v>17</v>
      </c>
      <c r="E434">
        <v>130.18</v>
      </c>
      <c r="F434">
        <v>20140820</v>
      </c>
      <c r="G434" t="s">
        <v>72</v>
      </c>
      <c r="I434" t="s">
        <v>73</v>
      </c>
    </row>
    <row r="435" spans="1:9" x14ac:dyDescent="0.25">
      <c r="A435">
        <v>20140820</v>
      </c>
      <c r="B435" t="str">
        <f t="shared" si="45"/>
        <v>000821</v>
      </c>
      <c r="C435" t="str">
        <f t="shared" si="46"/>
        <v>79801</v>
      </c>
      <c r="D435" t="s">
        <v>17</v>
      </c>
      <c r="E435">
        <v>4.3</v>
      </c>
      <c r="F435">
        <v>20140820</v>
      </c>
      <c r="G435" t="s">
        <v>74</v>
      </c>
      <c r="I435" t="s">
        <v>75</v>
      </c>
    </row>
    <row r="436" spans="1:9" x14ac:dyDescent="0.25">
      <c r="A436">
        <v>20140820</v>
      </c>
      <c r="B436" t="str">
        <f t="shared" si="45"/>
        <v>000821</v>
      </c>
      <c r="C436" t="str">
        <f t="shared" si="46"/>
        <v>79801</v>
      </c>
      <c r="D436" t="s">
        <v>17</v>
      </c>
      <c r="E436">
        <v>60.36</v>
      </c>
      <c r="F436">
        <v>20140820</v>
      </c>
      <c r="G436" t="s">
        <v>232</v>
      </c>
      <c r="I436" t="s">
        <v>233</v>
      </c>
    </row>
    <row r="437" spans="1:9" x14ac:dyDescent="0.25">
      <c r="A437">
        <v>20140820</v>
      </c>
      <c r="B437" t="str">
        <f t="shared" si="45"/>
        <v>000821</v>
      </c>
      <c r="C437" t="str">
        <f t="shared" si="46"/>
        <v>79801</v>
      </c>
      <c r="D437" t="s">
        <v>17</v>
      </c>
      <c r="E437">
        <v>67.69</v>
      </c>
      <c r="F437">
        <v>20140820</v>
      </c>
      <c r="G437" t="s">
        <v>78</v>
      </c>
      <c r="I437" t="s">
        <v>79</v>
      </c>
    </row>
    <row r="438" spans="1:9" x14ac:dyDescent="0.25">
      <c r="A438">
        <v>20140820</v>
      </c>
      <c r="B438" t="str">
        <f t="shared" si="45"/>
        <v>000821</v>
      </c>
      <c r="C438" t="str">
        <f t="shared" si="46"/>
        <v>79801</v>
      </c>
      <c r="D438" t="s">
        <v>17</v>
      </c>
      <c r="E438">
        <v>21.76</v>
      </c>
      <c r="F438">
        <v>20140820</v>
      </c>
      <c r="G438" t="s">
        <v>243</v>
      </c>
      <c r="I438" t="s">
        <v>244</v>
      </c>
    </row>
    <row r="439" spans="1:9" x14ac:dyDescent="0.25">
      <c r="A439">
        <v>20140822</v>
      </c>
      <c r="B439" t="str">
        <f t="shared" ref="B439:B452" si="47">"000822"</f>
        <v>000822</v>
      </c>
      <c r="C439" t="str">
        <f t="shared" ref="C439:C453" si="48">"55555"</f>
        <v>55555</v>
      </c>
      <c r="D439" t="s">
        <v>52</v>
      </c>
      <c r="E439" s="1">
        <v>1429276.87</v>
      </c>
      <c r="F439">
        <v>20140820</v>
      </c>
      <c r="G439" t="s">
        <v>53</v>
      </c>
      <c r="I439" t="s">
        <v>21</v>
      </c>
    </row>
    <row r="440" spans="1:9" x14ac:dyDescent="0.25">
      <c r="A440">
        <v>20140822</v>
      </c>
      <c r="B440" t="str">
        <f t="shared" si="47"/>
        <v>000822</v>
      </c>
      <c r="C440" t="str">
        <f t="shared" si="48"/>
        <v>55555</v>
      </c>
      <c r="D440" t="s">
        <v>52</v>
      </c>
      <c r="E440" s="1">
        <v>111626.16</v>
      </c>
      <c r="F440">
        <v>20140820</v>
      </c>
      <c r="G440" t="s">
        <v>82</v>
      </c>
      <c r="I440" t="s">
        <v>66</v>
      </c>
    </row>
    <row r="441" spans="1:9" x14ac:dyDescent="0.25">
      <c r="A441">
        <v>20140822</v>
      </c>
      <c r="B441" t="str">
        <f t="shared" si="47"/>
        <v>000822</v>
      </c>
      <c r="C441" t="str">
        <f t="shared" si="48"/>
        <v>55555</v>
      </c>
      <c r="D441" t="s">
        <v>52</v>
      </c>
      <c r="E441" s="1">
        <v>57765.08</v>
      </c>
      <c r="F441">
        <v>20140820</v>
      </c>
      <c r="G441" t="s">
        <v>83</v>
      </c>
      <c r="I441" t="s">
        <v>68</v>
      </c>
    </row>
    <row r="442" spans="1:9" x14ac:dyDescent="0.25">
      <c r="A442">
        <v>20140822</v>
      </c>
      <c r="B442" t="str">
        <f t="shared" si="47"/>
        <v>000822</v>
      </c>
      <c r="C442" t="str">
        <f t="shared" si="48"/>
        <v>55555</v>
      </c>
      <c r="D442" t="s">
        <v>52</v>
      </c>
      <c r="E442" s="1">
        <v>96731.16</v>
      </c>
      <c r="F442">
        <v>20140820</v>
      </c>
      <c r="G442" t="s">
        <v>84</v>
      </c>
      <c r="I442" t="s">
        <v>12</v>
      </c>
    </row>
    <row r="443" spans="1:9" x14ac:dyDescent="0.25">
      <c r="A443">
        <v>20140822</v>
      </c>
      <c r="B443" t="str">
        <f t="shared" si="47"/>
        <v>000822</v>
      </c>
      <c r="C443" t="str">
        <f t="shared" si="48"/>
        <v>55555</v>
      </c>
      <c r="D443" t="s">
        <v>52</v>
      </c>
      <c r="E443" s="1">
        <v>-96731.16</v>
      </c>
      <c r="F443">
        <v>20140820</v>
      </c>
      <c r="G443" t="s">
        <v>84</v>
      </c>
      <c r="H443" t="s">
        <v>245</v>
      </c>
      <c r="I443" t="s">
        <v>12</v>
      </c>
    </row>
    <row r="444" spans="1:9" x14ac:dyDescent="0.25">
      <c r="A444">
        <v>20140822</v>
      </c>
      <c r="B444" t="str">
        <f t="shared" si="47"/>
        <v>000822</v>
      </c>
      <c r="C444" t="str">
        <f t="shared" si="48"/>
        <v>55555</v>
      </c>
      <c r="D444" t="s">
        <v>52</v>
      </c>
      <c r="E444" s="1">
        <v>95731.16</v>
      </c>
      <c r="F444">
        <v>20140820</v>
      </c>
      <c r="G444" t="s">
        <v>84</v>
      </c>
      <c r="I444" t="s">
        <v>12</v>
      </c>
    </row>
    <row r="445" spans="1:9" x14ac:dyDescent="0.25">
      <c r="A445">
        <v>20140822</v>
      </c>
      <c r="B445" t="str">
        <f t="shared" si="47"/>
        <v>000822</v>
      </c>
      <c r="C445" t="str">
        <f t="shared" si="48"/>
        <v>55555</v>
      </c>
      <c r="D445" t="s">
        <v>52</v>
      </c>
      <c r="E445" s="1">
        <v>2399.4699999999998</v>
      </c>
      <c r="F445">
        <v>20140820</v>
      </c>
      <c r="G445" t="s">
        <v>226</v>
      </c>
      <c r="I445" t="s">
        <v>218</v>
      </c>
    </row>
    <row r="446" spans="1:9" x14ac:dyDescent="0.25">
      <c r="A446">
        <v>20140822</v>
      </c>
      <c r="B446" t="str">
        <f t="shared" si="47"/>
        <v>000822</v>
      </c>
      <c r="C446" t="str">
        <f t="shared" si="48"/>
        <v>55555</v>
      </c>
      <c r="D446" t="s">
        <v>52</v>
      </c>
      <c r="E446" s="1">
        <v>8934.68</v>
      </c>
      <c r="F446">
        <v>20140820</v>
      </c>
      <c r="G446" t="s">
        <v>85</v>
      </c>
      <c r="I446" t="s">
        <v>71</v>
      </c>
    </row>
    <row r="447" spans="1:9" x14ac:dyDescent="0.25">
      <c r="A447">
        <v>20140822</v>
      </c>
      <c r="B447" t="str">
        <f t="shared" si="47"/>
        <v>000822</v>
      </c>
      <c r="C447" t="str">
        <f t="shared" si="48"/>
        <v>55555</v>
      </c>
      <c r="D447" t="s">
        <v>52</v>
      </c>
      <c r="E447" s="1">
        <v>13671.26</v>
      </c>
      <c r="F447">
        <v>20140820</v>
      </c>
      <c r="G447" t="s">
        <v>86</v>
      </c>
      <c r="I447" t="s">
        <v>73</v>
      </c>
    </row>
    <row r="448" spans="1:9" x14ac:dyDescent="0.25">
      <c r="A448">
        <v>20140822</v>
      </c>
      <c r="B448" t="str">
        <f t="shared" si="47"/>
        <v>000822</v>
      </c>
      <c r="C448" t="str">
        <f t="shared" si="48"/>
        <v>55555</v>
      </c>
      <c r="D448" t="s">
        <v>52</v>
      </c>
      <c r="E448" s="1">
        <v>1755.56</v>
      </c>
      <c r="F448">
        <v>20140820</v>
      </c>
      <c r="G448" t="s">
        <v>87</v>
      </c>
      <c r="I448" t="s">
        <v>75</v>
      </c>
    </row>
    <row r="449" spans="1:9" x14ac:dyDescent="0.25">
      <c r="A449">
        <v>20140822</v>
      </c>
      <c r="B449" t="str">
        <f t="shared" si="47"/>
        <v>000822</v>
      </c>
      <c r="C449" t="str">
        <f t="shared" si="48"/>
        <v>55555</v>
      </c>
      <c r="D449" t="s">
        <v>52</v>
      </c>
      <c r="E449" s="1">
        <v>6969.39</v>
      </c>
      <c r="F449">
        <v>20140820</v>
      </c>
      <c r="G449" t="s">
        <v>234</v>
      </c>
      <c r="I449" t="s">
        <v>233</v>
      </c>
    </row>
    <row r="450" spans="1:9" x14ac:dyDescent="0.25">
      <c r="A450">
        <v>20140822</v>
      </c>
      <c r="B450" t="str">
        <f t="shared" si="47"/>
        <v>000822</v>
      </c>
      <c r="C450" t="str">
        <f t="shared" si="48"/>
        <v>55555</v>
      </c>
      <c r="D450" t="s">
        <v>52</v>
      </c>
      <c r="E450" s="1">
        <v>1298.05</v>
      </c>
      <c r="F450">
        <v>20140820</v>
      </c>
      <c r="G450" t="s">
        <v>88</v>
      </c>
      <c r="I450" t="s">
        <v>77</v>
      </c>
    </row>
    <row r="451" spans="1:9" x14ac:dyDescent="0.25">
      <c r="A451">
        <v>20140822</v>
      </c>
      <c r="B451" t="str">
        <f t="shared" si="47"/>
        <v>000822</v>
      </c>
      <c r="C451" t="str">
        <f t="shared" si="48"/>
        <v>55555</v>
      </c>
      <c r="D451" t="s">
        <v>52</v>
      </c>
      <c r="E451" s="1">
        <v>46656.86</v>
      </c>
      <c r="F451">
        <v>20140820</v>
      </c>
      <c r="G451" t="s">
        <v>89</v>
      </c>
      <c r="I451" t="s">
        <v>79</v>
      </c>
    </row>
    <row r="452" spans="1:9" x14ac:dyDescent="0.25">
      <c r="A452">
        <v>20140822</v>
      </c>
      <c r="B452" t="str">
        <f t="shared" si="47"/>
        <v>000822</v>
      </c>
      <c r="C452" t="str">
        <f t="shared" si="48"/>
        <v>55555</v>
      </c>
      <c r="D452" t="s">
        <v>52</v>
      </c>
      <c r="E452" s="1">
        <v>2342.44</v>
      </c>
      <c r="F452">
        <v>20140820</v>
      </c>
      <c r="G452" t="s">
        <v>246</v>
      </c>
      <c r="I452" t="s">
        <v>244</v>
      </c>
    </row>
    <row r="453" spans="1:9" x14ac:dyDescent="0.25">
      <c r="A453">
        <v>20140825</v>
      </c>
      <c r="B453" t="str">
        <f>"000823"</f>
        <v>000823</v>
      </c>
      <c r="C453" t="str">
        <f t="shared" si="48"/>
        <v>55555</v>
      </c>
      <c r="D453" t="s">
        <v>52</v>
      </c>
      <c r="E453" s="1">
        <v>750000</v>
      </c>
      <c r="F453">
        <v>20140820</v>
      </c>
      <c r="G453" t="s">
        <v>53</v>
      </c>
      <c r="I453" t="s">
        <v>21</v>
      </c>
    </row>
    <row r="454" spans="1:9" x14ac:dyDescent="0.25">
      <c r="A454">
        <v>20140814</v>
      </c>
      <c r="B454" t="str">
        <f>"000825"</f>
        <v>000825</v>
      </c>
      <c r="C454" t="str">
        <f>"99998"</f>
        <v>99998</v>
      </c>
      <c r="D454" t="s">
        <v>9</v>
      </c>
      <c r="E454">
        <v>24</v>
      </c>
      <c r="F454">
        <v>20140821</v>
      </c>
      <c r="G454" t="s">
        <v>247</v>
      </c>
      <c r="H454" t="s">
        <v>248</v>
      </c>
      <c r="I454" t="s">
        <v>38</v>
      </c>
    </row>
    <row r="455" spans="1:9" x14ac:dyDescent="0.25">
      <c r="A455">
        <v>20140825</v>
      </c>
      <c r="B455" t="str">
        <f>"000826"</f>
        <v>000826</v>
      </c>
      <c r="C455" t="str">
        <f>"73700"</f>
        <v>73700</v>
      </c>
      <c r="D455" t="s">
        <v>55</v>
      </c>
      <c r="E455" s="1">
        <v>2150000</v>
      </c>
      <c r="F455">
        <v>20140822</v>
      </c>
      <c r="G455" t="s">
        <v>56</v>
      </c>
      <c r="I455" t="s">
        <v>21</v>
      </c>
    </row>
    <row r="456" spans="1:9" x14ac:dyDescent="0.25">
      <c r="A456">
        <v>20140825</v>
      </c>
      <c r="B456" t="str">
        <f>"000827"</f>
        <v>000827</v>
      </c>
      <c r="C456" t="str">
        <f t="shared" ref="C456:C464" si="49">"55555"</f>
        <v>55555</v>
      </c>
      <c r="D456" t="s">
        <v>52</v>
      </c>
      <c r="E456">
        <v>489.6</v>
      </c>
      <c r="F456">
        <v>20140825</v>
      </c>
      <c r="G456" t="s">
        <v>53</v>
      </c>
      <c r="I456" t="s">
        <v>21</v>
      </c>
    </row>
    <row r="457" spans="1:9" x14ac:dyDescent="0.25">
      <c r="A457">
        <v>20140825</v>
      </c>
      <c r="B457" t="str">
        <f t="shared" ref="B457:B481" si="50">"000828"</f>
        <v>000828</v>
      </c>
      <c r="C457" t="str">
        <f t="shared" si="49"/>
        <v>55555</v>
      </c>
      <c r="D457" t="s">
        <v>52</v>
      </c>
      <c r="E457" s="1">
        <v>29912.57</v>
      </c>
      <c r="F457">
        <v>20140825</v>
      </c>
      <c r="G457" t="s">
        <v>53</v>
      </c>
      <c r="I457" t="s">
        <v>21</v>
      </c>
    </row>
    <row r="458" spans="1:9" x14ac:dyDescent="0.25">
      <c r="A458">
        <v>20140825</v>
      </c>
      <c r="B458" t="str">
        <f t="shared" si="50"/>
        <v>000828</v>
      </c>
      <c r="C458" t="str">
        <f t="shared" si="49"/>
        <v>55555</v>
      </c>
      <c r="D458" t="s">
        <v>52</v>
      </c>
      <c r="E458">
        <v>198.71</v>
      </c>
      <c r="F458">
        <v>20140825</v>
      </c>
      <c r="G458" t="s">
        <v>82</v>
      </c>
      <c r="I458" t="s">
        <v>66</v>
      </c>
    </row>
    <row r="459" spans="1:9" x14ac:dyDescent="0.25">
      <c r="A459">
        <v>20140825</v>
      </c>
      <c r="B459" t="str">
        <f t="shared" si="50"/>
        <v>000828</v>
      </c>
      <c r="C459" t="str">
        <f t="shared" si="49"/>
        <v>55555</v>
      </c>
      <c r="D459" t="s">
        <v>52</v>
      </c>
      <c r="E459">
        <v>48.72</v>
      </c>
      <c r="F459">
        <v>20140825</v>
      </c>
      <c r="G459" t="s">
        <v>82</v>
      </c>
      <c r="H459" t="s">
        <v>249</v>
      </c>
      <c r="I459" t="s">
        <v>66</v>
      </c>
    </row>
    <row r="460" spans="1:9" x14ac:dyDescent="0.25">
      <c r="A460">
        <v>20140825</v>
      </c>
      <c r="B460" t="str">
        <f t="shared" si="50"/>
        <v>000828</v>
      </c>
      <c r="C460" t="str">
        <f t="shared" si="49"/>
        <v>55555</v>
      </c>
      <c r="D460" t="s">
        <v>52</v>
      </c>
      <c r="E460">
        <v>77.2</v>
      </c>
      <c r="F460">
        <v>20140825</v>
      </c>
      <c r="G460" t="s">
        <v>83</v>
      </c>
      <c r="I460" t="s">
        <v>68</v>
      </c>
    </row>
    <row r="461" spans="1:9" x14ac:dyDescent="0.25">
      <c r="A461">
        <v>20140825</v>
      </c>
      <c r="B461" t="str">
        <f t="shared" si="50"/>
        <v>000828</v>
      </c>
      <c r="C461" t="str">
        <f t="shared" si="49"/>
        <v>55555</v>
      </c>
      <c r="D461" t="s">
        <v>52</v>
      </c>
      <c r="E461">
        <v>73.08</v>
      </c>
      <c r="F461">
        <v>20140825</v>
      </c>
      <c r="G461" t="s">
        <v>84</v>
      </c>
      <c r="I461" t="s">
        <v>12</v>
      </c>
    </row>
    <row r="462" spans="1:9" x14ac:dyDescent="0.25">
      <c r="A462">
        <v>20140825</v>
      </c>
      <c r="B462" t="str">
        <f t="shared" si="50"/>
        <v>000828</v>
      </c>
      <c r="C462" t="str">
        <f t="shared" si="49"/>
        <v>55555</v>
      </c>
      <c r="D462" t="s">
        <v>52</v>
      </c>
      <c r="E462">
        <v>16.46</v>
      </c>
      <c r="F462">
        <v>20140825</v>
      </c>
      <c r="G462" t="s">
        <v>86</v>
      </c>
      <c r="I462" t="s">
        <v>73</v>
      </c>
    </row>
    <row r="463" spans="1:9" x14ac:dyDescent="0.25">
      <c r="A463">
        <v>20140825</v>
      </c>
      <c r="B463" t="str">
        <f t="shared" si="50"/>
        <v>000828</v>
      </c>
      <c r="C463" t="str">
        <f t="shared" si="49"/>
        <v>55555</v>
      </c>
      <c r="D463" t="s">
        <v>52</v>
      </c>
      <c r="E463">
        <v>27.78</v>
      </c>
      <c r="F463">
        <v>20140825</v>
      </c>
      <c r="G463" t="s">
        <v>87</v>
      </c>
      <c r="I463" t="s">
        <v>75</v>
      </c>
    </row>
    <row r="464" spans="1:9" x14ac:dyDescent="0.25">
      <c r="A464">
        <v>20140825</v>
      </c>
      <c r="B464" t="str">
        <f t="shared" si="50"/>
        <v>000828</v>
      </c>
      <c r="C464" t="str">
        <f t="shared" si="49"/>
        <v>55555</v>
      </c>
      <c r="D464" t="s">
        <v>52</v>
      </c>
      <c r="E464">
        <v>517.92999999999995</v>
      </c>
      <c r="F464">
        <v>20140825</v>
      </c>
      <c r="G464" t="s">
        <v>89</v>
      </c>
      <c r="I464" t="s">
        <v>79</v>
      </c>
    </row>
    <row r="465" spans="1:9" x14ac:dyDescent="0.25">
      <c r="A465">
        <v>20140825</v>
      </c>
      <c r="B465" t="str">
        <f t="shared" si="50"/>
        <v>000828</v>
      </c>
      <c r="C465" t="str">
        <f t="shared" ref="C465:C481" si="51">"80959"</f>
        <v>80959</v>
      </c>
      <c r="D465" t="s">
        <v>250</v>
      </c>
      <c r="E465" s="1">
        <v>233392.5</v>
      </c>
      <c r="F465">
        <v>20140825</v>
      </c>
      <c r="G465" t="s">
        <v>251</v>
      </c>
      <c r="I465" t="s">
        <v>29</v>
      </c>
    </row>
    <row r="466" spans="1:9" x14ac:dyDescent="0.25">
      <c r="A466">
        <v>20140825</v>
      </c>
      <c r="B466" t="str">
        <f t="shared" si="50"/>
        <v>000828</v>
      </c>
      <c r="C466" t="str">
        <f t="shared" si="51"/>
        <v>80959</v>
      </c>
      <c r="D466" t="s">
        <v>250</v>
      </c>
      <c r="E466" s="1">
        <v>34603.83</v>
      </c>
      <c r="F466">
        <v>20140825</v>
      </c>
      <c r="G466" t="s">
        <v>252</v>
      </c>
      <c r="I466" t="s">
        <v>29</v>
      </c>
    </row>
    <row r="467" spans="1:9" x14ac:dyDescent="0.25">
      <c r="A467">
        <v>20140825</v>
      </c>
      <c r="B467" t="str">
        <f t="shared" si="50"/>
        <v>000828</v>
      </c>
      <c r="C467" t="str">
        <f t="shared" si="51"/>
        <v>80959</v>
      </c>
      <c r="D467" t="s">
        <v>250</v>
      </c>
      <c r="E467" s="1">
        <v>34726.35</v>
      </c>
      <c r="F467">
        <v>20140825</v>
      </c>
      <c r="G467" t="s">
        <v>253</v>
      </c>
      <c r="I467" t="s">
        <v>29</v>
      </c>
    </row>
    <row r="468" spans="1:9" x14ac:dyDescent="0.25">
      <c r="A468">
        <v>20140825</v>
      </c>
      <c r="B468" t="str">
        <f t="shared" si="50"/>
        <v>000828</v>
      </c>
      <c r="C468" t="str">
        <f t="shared" si="51"/>
        <v>80959</v>
      </c>
      <c r="D468" t="s">
        <v>250</v>
      </c>
      <c r="E468" s="1">
        <v>148124</v>
      </c>
      <c r="F468">
        <v>20140825</v>
      </c>
      <c r="G468" t="s">
        <v>92</v>
      </c>
      <c r="I468" t="s">
        <v>29</v>
      </c>
    </row>
    <row r="469" spans="1:9" x14ac:dyDescent="0.25">
      <c r="A469">
        <v>20140825</v>
      </c>
      <c r="B469" t="str">
        <f t="shared" si="50"/>
        <v>000828</v>
      </c>
      <c r="C469" t="str">
        <f t="shared" si="51"/>
        <v>80959</v>
      </c>
      <c r="D469" t="s">
        <v>250</v>
      </c>
      <c r="E469" s="1">
        <v>1245.24</v>
      </c>
      <c r="F469">
        <v>20140825</v>
      </c>
      <c r="G469" t="s">
        <v>254</v>
      </c>
      <c r="I469" t="s">
        <v>29</v>
      </c>
    </row>
    <row r="470" spans="1:9" x14ac:dyDescent="0.25">
      <c r="A470">
        <v>20140825</v>
      </c>
      <c r="B470" t="str">
        <f t="shared" si="50"/>
        <v>000828</v>
      </c>
      <c r="C470" t="str">
        <f t="shared" si="51"/>
        <v>80959</v>
      </c>
      <c r="D470" t="s">
        <v>250</v>
      </c>
      <c r="E470" s="1">
        <v>1082.42</v>
      </c>
      <c r="F470">
        <v>20140825</v>
      </c>
      <c r="G470" t="s">
        <v>255</v>
      </c>
      <c r="I470" t="s">
        <v>29</v>
      </c>
    </row>
    <row r="471" spans="1:9" x14ac:dyDescent="0.25">
      <c r="A471">
        <v>20140825</v>
      </c>
      <c r="B471" t="str">
        <f t="shared" si="50"/>
        <v>000828</v>
      </c>
      <c r="C471" t="str">
        <f t="shared" si="51"/>
        <v>80959</v>
      </c>
      <c r="D471" t="s">
        <v>250</v>
      </c>
      <c r="E471" s="1">
        <v>127482</v>
      </c>
      <c r="F471">
        <v>20140825</v>
      </c>
      <c r="G471" t="s">
        <v>256</v>
      </c>
      <c r="I471" t="s">
        <v>29</v>
      </c>
    </row>
    <row r="472" spans="1:9" x14ac:dyDescent="0.25">
      <c r="A472">
        <v>20140825</v>
      </c>
      <c r="B472" t="str">
        <f t="shared" si="50"/>
        <v>000828</v>
      </c>
      <c r="C472" t="str">
        <f t="shared" si="51"/>
        <v>80959</v>
      </c>
      <c r="D472" t="s">
        <v>250</v>
      </c>
      <c r="E472" s="1">
        <v>8651</v>
      </c>
      <c r="F472">
        <v>20140825</v>
      </c>
      <c r="G472" t="s">
        <v>257</v>
      </c>
      <c r="I472" t="s">
        <v>29</v>
      </c>
    </row>
    <row r="473" spans="1:9" x14ac:dyDescent="0.25">
      <c r="A473">
        <v>20140825</v>
      </c>
      <c r="B473" t="str">
        <f t="shared" si="50"/>
        <v>000828</v>
      </c>
      <c r="C473" t="str">
        <f t="shared" si="51"/>
        <v>80959</v>
      </c>
      <c r="D473" t="s">
        <v>250</v>
      </c>
      <c r="E473" s="1">
        <v>180489.18</v>
      </c>
      <c r="F473">
        <v>20140825</v>
      </c>
      <c r="G473" t="s">
        <v>258</v>
      </c>
      <c r="I473" t="s">
        <v>29</v>
      </c>
    </row>
    <row r="474" spans="1:9" x14ac:dyDescent="0.25">
      <c r="A474">
        <v>20140825</v>
      </c>
      <c r="B474" t="str">
        <f t="shared" si="50"/>
        <v>000828</v>
      </c>
      <c r="C474" t="str">
        <f t="shared" si="51"/>
        <v>80959</v>
      </c>
      <c r="D474" t="s">
        <v>250</v>
      </c>
      <c r="E474" s="1">
        <v>16141.06</v>
      </c>
      <c r="F474">
        <v>20140825</v>
      </c>
      <c r="G474" t="s">
        <v>259</v>
      </c>
      <c r="I474" t="s">
        <v>29</v>
      </c>
    </row>
    <row r="475" spans="1:9" x14ac:dyDescent="0.25">
      <c r="A475">
        <v>20140825</v>
      </c>
      <c r="B475" t="str">
        <f t="shared" si="50"/>
        <v>000828</v>
      </c>
      <c r="C475" t="str">
        <f t="shared" si="51"/>
        <v>80959</v>
      </c>
      <c r="D475" t="s">
        <v>250</v>
      </c>
      <c r="E475" s="1">
        <v>30872.45</v>
      </c>
      <c r="F475">
        <v>20140825</v>
      </c>
      <c r="G475" t="s">
        <v>260</v>
      </c>
      <c r="I475" t="s">
        <v>29</v>
      </c>
    </row>
    <row r="476" spans="1:9" x14ac:dyDescent="0.25">
      <c r="A476">
        <v>20140825</v>
      </c>
      <c r="B476" t="str">
        <f t="shared" si="50"/>
        <v>000828</v>
      </c>
      <c r="C476" t="str">
        <f t="shared" si="51"/>
        <v>80959</v>
      </c>
      <c r="D476" t="s">
        <v>250</v>
      </c>
      <c r="E476" s="1">
        <v>2373.7800000000002</v>
      </c>
      <c r="F476">
        <v>20140825</v>
      </c>
      <c r="G476" t="s">
        <v>261</v>
      </c>
      <c r="I476" t="s">
        <v>29</v>
      </c>
    </row>
    <row r="477" spans="1:9" x14ac:dyDescent="0.25">
      <c r="A477">
        <v>20140825</v>
      </c>
      <c r="B477" t="str">
        <f t="shared" si="50"/>
        <v>000828</v>
      </c>
      <c r="C477" t="str">
        <f t="shared" si="51"/>
        <v>80959</v>
      </c>
      <c r="D477" t="s">
        <v>250</v>
      </c>
      <c r="E477" s="1">
        <v>14080.8</v>
      </c>
      <c r="F477">
        <v>20140825</v>
      </c>
      <c r="G477" t="s">
        <v>262</v>
      </c>
      <c r="I477" t="s">
        <v>29</v>
      </c>
    </row>
    <row r="478" spans="1:9" x14ac:dyDescent="0.25">
      <c r="A478">
        <v>20140825</v>
      </c>
      <c r="B478" t="str">
        <f t="shared" si="50"/>
        <v>000828</v>
      </c>
      <c r="C478" t="str">
        <f t="shared" si="51"/>
        <v>80959</v>
      </c>
      <c r="D478" t="s">
        <v>250</v>
      </c>
      <c r="E478" s="1">
        <v>2598.0300000000002</v>
      </c>
      <c r="F478">
        <v>20140825</v>
      </c>
      <c r="G478" t="s">
        <v>263</v>
      </c>
      <c r="I478" t="s">
        <v>29</v>
      </c>
    </row>
    <row r="479" spans="1:9" x14ac:dyDescent="0.25">
      <c r="A479">
        <v>20140825</v>
      </c>
      <c r="B479" t="str">
        <f t="shared" si="50"/>
        <v>000828</v>
      </c>
      <c r="C479" t="str">
        <f t="shared" si="51"/>
        <v>80959</v>
      </c>
      <c r="D479" t="s">
        <v>250</v>
      </c>
      <c r="E479" s="1">
        <v>1490.1</v>
      </c>
      <c r="F479">
        <v>20140825</v>
      </c>
      <c r="G479" t="s">
        <v>264</v>
      </c>
      <c r="I479" t="s">
        <v>29</v>
      </c>
    </row>
    <row r="480" spans="1:9" x14ac:dyDescent="0.25">
      <c r="A480">
        <v>20140825</v>
      </c>
      <c r="B480" t="str">
        <f t="shared" si="50"/>
        <v>000828</v>
      </c>
      <c r="C480" t="str">
        <f t="shared" si="51"/>
        <v>80959</v>
      </c>
      <c r="D480" t="s">
        <v>250</v>
      </c>
      <c r="E480" s="1">
        <v>1126</v>
      </c>
      <c r="F480">
        <v>20140825</v>
      </c>
      <c r="G480" t="s">
        <v>265</v>
      </c>
      <c r="I480" t="s">
        <v>29</v>
      </c>
    </row>
    <row r="481" spans="1:9" x14ac:dyDescent="0.25">
      <c r="A481">
        <v>20140825</v>
      </c>
      <c r="B481" t="str">
        <f t="shared" si="50"/>
        <v>000828</v>
      </c>
      <c r="C481" t="str">
        <f t="shared" si="51"/>
        <v>80959</v>
      </c>
      <c r="D481" t="s">
        <v>250</v>
      </c>
      <c r="E481" s="1">
        <v>4210.76</v>
      </c>
      <c r="F481">
        <v>20140825</v>
      </c>
      <c r="G481" t="s">
        <v>266</v>
      </c>
      <c r="I481" t="s">
        <v>29</v>
      </c>
    </row>
    <row r="482" spans="1:9" x14ac:dyDescent="0.25">
      <c r="A482">
        <v>20140825</v>
      </c>
      <c r="B482" t="str">
        <f>"000829"</f>
        <v>000829</v>
      </c>
      <c r="C482" t="str">
        <f>"00137"</f>
        <v>00137</v>
      </c>
      <c r="D482" t="s">
        <v>26</v>
      </c>
      <c r="E482">
        <v>745.05</v>
      </c>
      <c r="F482">
        <v>20140825</v>
      </c>
      <c r="G482" t="s">
        <v>34</v>
      </c>
      <c r="H482" t="s">
        <v>94</v>
      </c>
      <c r="I482" t="s">
        <v>29</v>
      </c>
    </row>
    <row r="483" spans="1:9" x14ac:dyDescent="0.25">
      <c r="A483">
        <v>20140829</v>
      </c>
      <c r="B483" t="str">
        <f>"000829"</f>
        <v>000829</v>
      </c>
      <c r="C483" t="str">
        <f>"83327"</f>
        <v>83327</v>
      </c>
      <c r="D483" t="s">
        <v>18</v>
      </c>
      <c r="E483" s="1">
        <v>6716.12</v>
      </c>
      <c r="F483">
        <v>20140829</v>
      </c>
      <c r="G483" t="s">
        <v>19</v>
      </c>
      <c r="H483" t="s">
        <v>267</v>
      </c>
      <c r="I483" t="s">
        <v>21</v>
      </c>
    </row>
    <row r="484" spans="1:9" x14ac:dyDescent="0.25">
      <c r="A484">
        <v>20140820</v>
      </c>
      <c r="B484" t="str">
        <f>"000830"</f>
        <v>000830</v>
      </c>
      <c r="C484" t="str">
        <f>"99998"</f>
        <v>99998</v>
      </c>
      <c r="D484" t="s">
        <v>9</v>
      </c>
      <c r="E484">
        <v>130</v>
      </c>
      <c r="F484">
        <v>20140825</v>
      </c>
      <c r="G484" t="s">
        <v>48</v>
      </c>
      <c r="H484" t="s">
        <v>268</v>
      </c>
      <c r="I484" t="s">
        <v>25</v>
      </c>
    </row>
    <row r="485" spans="1:9" x14ac:dyDescent="0.25">
      <c r="A485">
        <v>20140820</v>
      </c>
      <c r="B485" t="str">
        <f>"000830"</f>
        <v>000830</v>
      </c>
      <c r="C485" t="str">
        <f>"99998"</f>
        <v>99998</v>
      </c>
      <c r="D485" t="s">
        <v>9</v>
      </c>
      <c r="E485">
        <v>125</v>
      </c>
      <c r="F485">
        <v>20140825</v>
      </c>
      <c r="G485" t="s">
        <v>150</v>
      </c>
      <c r="H485" t="s">
        <v>269</v>
      </c>
      <c r="I485" t="s">
        <v>25</v>
      </c>
    </row>
    <row r="486" spans="1:9" x14ac:dyDescent="0.25">
      <c r="A486">
        <v>20140821</v>
      </c>
      <c r="B486" t="str">
        <f>"000830"</f>
        <v>000830</v>
      </c>
      <c r="C486" t="str">
        <f>"99998"</f>
        <v>99998</v>
      </c>
      <c r="D486" t="s">
        <v>9</v>
      </c>
      <c r="E486">
        <v>125</v>
      </c>
      <c r="F486">
        <v>20140827</v>
      </c>
      <c r="G486" t="s">
        <v>150</v>
      </c>
      <c r="H486" t="s">
        <v>270</v>
      </c>
      <c r="I486" t="s">
        <v>25</v>
      </c>
    </row>
    <row r="487" spans="1:9" x14ac:dyDescent="0.25">
      <c r="A487">
        <v>20140821</v>
      </c>
      <c r="B487" t="str">
        <f>"000830"</f>
        <v>000830</v>
      </c>
      <c r="C487" t="str">
        <f>"99998"</f>
        <v>99998</v>
      </c>
      <c r="D487" t="s">
        <v>9</v>
      </c>
      <c r="E487">
        <v>275</v>
      </c>
      <c r="F487">
        <v>20140826</v>
      </c>
      <c r="G487" t="s">
        <v>271</v>
      </c>
      <c r="H487" t="s">
        <v>272</v>
      </c>
      <c r="I487" t="s">
        <v>25</v>
      </c>
    </row>
    <row r="488" spans="1:9" x14ac:dyDescent="0.25">
      <c r="A488">
        <v>20140821</v>
      </c>
      <c r="B488" t="str">
        <f>"000830"</f>
        <v>000830</v>
      </c>
      <c r="C488" t="str">
        <f>"99998"</f>
        <v>99998</v>
      </c>
      <c r="D488" t="s">
        <v>9</v>
      </c>
      <c r="E488">
        <v>60</v>
      </c>
      <c r="F488">
        <v>20140827</v>
      </c>
      <c r="G488" t="s">
        <v>271</v>
      </c>
      <c r="H488" t="s">
        <v>272</v>
      </c>
      <c r="I488" t="s">
        <v>25</v>
      </c>
    </row>
    <row r="489" spans="1:9" x14ac:dyDescent="0.25">
      <c r="A489">
        <v>20140829</v>
      </c>
      <c r="B489" t="str">
        <f>"000831"</f>
        <v>000831</v>
      </c>
      <c r="C489" t="str">
        <f>"83309"</f>
        <v>83309</v>
      </c>
      <c r="D489" t="s">
        <v>98</v>
      </c>
      <c r="E489">
        <v>6</v>
      </c>
      <c r="F489">
        <v>20140902</v>
      </c>
      <c r="G489" t="s">
        <v>99</v>
      </c>
      <c r="H489" t="s">
        <v>100</v>
      </c>
      <c r="I489" t="s">
        <v>21</v>
      </c>
    </row>
    <row r="490" spans="1:9" x14ac:dyDescent="0.25">
      <c r="A490">
        <v>20130906</v>
      </c>
      <c r="B490" t="str">
        <f>"000901"</f>
        <v>000901</v>
      </c>
      <c r="C490" t="str">
        <f>"55555"</f>
        <v>55555</v>
      </c>
      <c r="D490" t="s">
        <v>52</v>
      </c>
      <c r="E490" s="1">
        <v>289910.65999999997</v>
      </c>
      <c r="F490">
        <v>20130924</v>
      </c>
      <c r="G490" t="s">
        <v>53</v>
      </c>
      <c r="H490" t="s">
        <v>273</v>
      </c>
      <c r="I490" t="s">
        <v>21</v>
      </c>
    </row>
    <row r="491" spans="1:9" x14ac:dyDescent="0.25">
      <c r="A491">
        <v>20130920</v>
      </c>
      <c r="B491" t="str">
        <f>"000902"</f>
        <v>000902</v>
      </c>
      <c r="C491" t="str">
        <f>"00362"</f>
        <v>00362</v>
      </c>
      <c r="D491" t="s">
        <v>22</v>
      </c>
      <c r="E491" s="1">
        <v>2974.64</v>
      </c>
      <c r="F491">
        <v>20130924</v>
      </c>
      <c r="G491" t="s">
        <v>274</v>
      </c>
      <c r="H491" t="s">
        <v>275</v>
      </c>
      <c r="I491" t="s">
        <v>21</v>
      </c>
    </row>
    <row r="492" spans="1:9" x14ac:dyDescent="0.25">
      <c r="A492">
        <v>20130920</v>
      </c>
      <c r="B492" t="str">
        <f>"000903"</f>
        <v>000903</v>
      </c>
      <c r="C492" t="str">
        <f>"00362"</f>
        <v>00362</v>
      </c>
      <c r="D492" t="s">
        <v>22</v>
      </c>
      <c r="E492" s="1">
        <v>1950.76</v>
      </c>
      <c r="F492">
        <v>20130924</v>
      </c>
      <c r="G492" t="s">
        <v>276</v>
      </c>
      <c r="H492" t="s">
        <v>277</v>
      </c>
      <c r="I492" t="s">
        <v>29</v>
      </c>
    </row>
    <row r="493" spans="1:9" x14ac:dyDescent="0.25">
      <c r="A493">
        <v>20130925</v>
      </c>
      <c r="B493" t="str">
        <f>"000904"</f>
        <v>000904</v>
      </c>
      <c r="C493" t="str">
        <f>"73700"</f>
        <v>73700</v>
      </c>
      <c r="D493" t="s">
        <v>55</v>
      </c>
      <c r="E493" s="1">
        <v>3000000</v>
      </c>
      <c r="F493">
        <v>20130924</v>
      </c>
      <c r="G493" t="s">
        <v>56</v>
      </c>
      <c r="I493" t="s">
        <v>21</v>
      </c>
    </row>
    <row r="494" spans="1:9" x14ac:dyDescent="0.25">
      <c r="A494">
        <v>20130911</v>
      </c>
      <c r="B494" t="str">
        <f>"000905"</f>
        <v>000905</v>
      </c>
      <c r="C494" t="str">
        <f>"99998"</f>
        <v>99998</v>
      </c>
      <c r="D494" t="s">
        <v>9</v>
      </c>
      <c r="E494">
        <v>85</v>
      </c>
      <c r="F494">
        <v>20130924</v>
      </c>
      <c r="G494" t="s">
        <v>48</v>
      </c>
      <c r="H494" t="s">
        <v>278</v>
      </c>
      <c r="I494" t="s">
        <v>25</v>
      </c>
    </row>
    <row r="495" spans="1:9" x14ac:dyDescent="0.25">
      <c r="A495">
        <v>20130923</v>
      </c>
      <c r="B495" t="str">
        <f>"000905"</f>
        <v>000905</v>
      </c>
      <c r="C495" t="str">
        <f>"99998"</f>
        <v>99998</v>
      </c>
      <c r="D495" t="s">
        <v>9</v>
      </c>
      <c r="E495">
        <v>15</v>
      </c>
      <c r="F495">
        <v>20130925</v>
      </c>
      <c r="G495" t="s">
        <v>150</v>
      </c>
      <c r="H495" t="s">
        <v>279</v>
      </c>
      <c r="I495" t="s">
        <v>25</v>
      </c>
    </row>
    <row r="496" spans="1:9" x14ac:dyDescent="0.25">
      <c r="A496">
        <v>20130924</v>
      </c>
      <c r="B496" t="str">
        <f t="shared" ref="B496:B506" si="52">"000906"</f>
        <v>000906</v>
      </c>
      <c r="C496" t="str">
        <f t="shared" ref="C496:C506" si="53">"79801"</f>
        <v>79801</v>
      </c>
      <c r="D496" t="s">
        <v>17</v>
      </c>
      <c r="E496">
        <v>36.21</v>
      </c>
      <c r="F496">
        <v>20130924</v>
      </c>
      <c r="G496" t="s">
        <v>60</v>
      </c>
      <c r="I496" t="s">
        <v>61</v>
      </c>
    </row>
    <row r="497" spans="1:9" x14ac:dyDescent="0.25">
      <c r="A497">
        <v>20130924</v>
      </c>
      <c r="B497" t="str">
        <f t="shared" si="52"/>
        <v>000906</v>
      </c>
      <c r="C497" t="str">
        <f t="shared" si="53"/>
        <v>79801</v>
      </c>
      <c r="D497" t="s">
        <v>17</v>
      </c>
      <c r="E497">
        <v>8.19</v>
      </c>
      <c r="F497">
        <v>20130924</v>
      </c>
      <c r="G497" t="s">
        <v>130</v>
      </c>
      <c r="I497" t="s">
        <v>131</v>
      </c>
    </row>
    <row r="498" spans="1:9" x14ac:dyDescent="0.25">
      <c r="A498">
        <v>20130924</v>
      </c>
      <c r="B498" t="str">
        <f t="shared" si="52"/>
        <v>000906</v>
      </c>
      <c r="C498" t="str">
        <f t="shared" si="53"/>
        <v>79801</v>
      </c>
      <c r="D498" t="s">
        <v>17</v>
      </c>
      <c r="E498" s="1">
        <v>24294.86</v>
      </c>
      <c r="F498">
        <v>20130924</v>
      </c>
      <c r="G498" t="s">
        <v>64</v>
      </c>
      <c r="I498" t="s">
        <v>21</v>
      </c>
    </row>
    <row r="499" spans="1:9" x14ac:dyDescent="0.25">
      <c r="A499">
        <v>20130924</v>
      </c>
      <c r="B499" t="str">
        <f t="shared" si="52"/>
        <v>000906</v>
      </c>
      <c r="C499" t="str">
        <f t="shared" si="53"/>
        <v>79801</v>
      </c>
      <c r="D499" t="s">
        <v>17</v>
      </c>
      <c r="E499" s="1">
        <v>1159.7</v>
      </c>
      <c r="F499">
        <v>20130924</v>
      </c>
      <c r="G499" t="s">
        <v>65</v>
      </c>
      <c r="I499" t="s">
        <v>66</v>
      </c>
    </row>
    <row r="500" spans="1:9" x14ac:dyDescent="0.25">
      <c r="A500">
        <v>20130924</v>
      </c>
      <c r="B500" t="str">
        <f t="shared" si="52"/>
        <v>000906</v>
      </c>
      <c r="C500" t="str">
        <f t="shared" si="53"/>
        <v>79801</v>
      </c>
      <c r="D500" t="s">
        <v>17</v>
      </c>
      <c r="E500">
        <v>594.24</v>
      </c>
      <c r="F500">
        <v>20130924</v>
      </c>
      <c r="G500" t="s">
        <v>67</v>
      </c>
      <c r="I500" t="s">
        <v>68</v>
      </c>
    </row>
    <row r="501" spans="1:9" x14ac:dyDescent="0.25">
      <c r="A501">
        <v>20130924</v>
      </c>
      <c r="B501" t="str">
        <f t="shared" si="52"/>
        <v>000906</v>
      </c>
      <c r="C501" t="str">
        <f t="shared" si="53"/>
        <v>79801</v>
      </c>
      <c r="D501" t="s">
        <v>17</v>
      </c>
      <c r="E501">
        <v>936.84</v>
      </c>
      <c r="F501">
        <v>20130924</v>
      </c>
      <c r="G501" t="s">
        <v>69</v>
      </c>
      <c r="I501" t="s">
        <v>12</v>
      </c>
    </row>
    <row r="502" spans="1:9" x14ac:dyDescent="0.25">
      <c r="A502">
        <v>20130924</v>
      </c>
      <c r="B502" t="str">
        <f t="shared" si="52"/>
        <v>000906</v>
      </c>
      <c r="C502" t="str">
        <f t="shared" si="53"/>
        <v>79801</v>
      </c>
      <c r="D502" t="s">
        <v>17</v>
      </c>
      <c r="E502">
        <v>80.510000000000005</v>
      </c>
      <c r="F502">
        <v>20130924</v>
      </c>
      <c r="G502" t="s">
        <v>70</v>
      </c>
      <c r="I502" t="s">
        <v>71</v>
      </c>
    </row>
    <row r="503" spans="1:9" x14ac:dyDescent="0.25">
      <c r="A503">
        <v>20130924</v>
      </c>
      <c r="B503" t="str">
        <f t="shared" si="52"/>
        <v>000906</v>
      </c>
      <c r="C503" t="str">
        <f t="shared" si="53"/>
        <v>79801</v>
      </c>
      <c r="D503" t="s">
        <v>17</v>
      </c>
      <c r="E503">
        <v>117.44</v>
      </c>
      <c r="F503">
        <v>20130924</v>
      </c>
      <c r="G503" t="s">
        <v>72</v>
      </c>
      <c r="I503" t="s">
        <v>73</v>
      </c>
    </row>
    <row r="504" spans="1:9" x14ac:dyDescent="0.25">
      <c r="A504">
        <v>20130924</v>
      </c>
      <c r="B504" t="str">
        <f t="shared" si="52"/>
        <v>000906</v>
      </c>
      <c r="C504" t="str">
        <f t="shared" si="53"/>
        <v>79801</v>
      </c>
      <c r="D504" t="s">
        <v>17</v>
      </c>
      <c r="E504">
        <v>12.5</v>
      </c>
      <c r="F504">
        <v>20130924</v>
      </c>
      <c r="G504" t="s">
        <v>74</v>
      </c>
      <c r="I504" t="s">
        <v>75</v>
      </c>
    </row>
    <row r="505" spans="1:9" x14ac:dyDescent="0.25">
      <c r="A505">
        <v>20130924</v>
      </c>
      <c r="B505" t="str">
        <f t="shared" si="52"/>
        <v>000906</v>
      </c>
      <c r="C505" t="str">
        <f t="shared" si="53"/>
        <v>79801</v>
      </c>
      <c r="D505" t="s">
        <v>17</v>
      </c>
      <c r="E505">
        <v>11.88</v>
      </c>
      <c r="F505">
        <v>20130924</v>
      </c>
      <c r="G505" t="s">
        <v>76</v>
      </c>
      <c r="I505" t="s">
        <v>77</v>
      </c>
    </row>
    <row r="506" spans="1:9" x14ac:dyDescent="0.25">
      <c r="A506">
        <v>20130924</v>
      </c>
      <c r="B506" t="str">
        <f t="shared" si="52"/>
        <v>000906</v>
      </c>
      <c r="C506" t="str">
        <f t="shared" si="53"/>
        <v>79801</v>
      </c>
      <c r="D506" t="s">
        <v>17</v>
      </c>
      <c r="E506">
        <v>493.69</v>
      </c>
      <c r="F506">
        <v>20130924</v>
      </c>
      <c r="G506" t="s">
        <v>78</v>
      </c>
      <c r="I506" t="s">
        <v>79</v>
      </c>
    </row>
    <row r="507" spans="1:9" x14ac:dyDescent="0.25">
      <c r="A507">
        <v>20130923</v>
      </c>
      <c r="B507" t="str">
        <f>"000922"</f>
        <v>000922</v>
      </c>
      <c r="C507" t="str">
        <f>"00362"</f>
        <v>00362</v>
      </c>
      <c r="D507" t="s">
        <v>22</v>
      </c>
      <c r="E507" s="1">
        <v>1020</v>
      </c>
      <c r="F507">
        <v>20130924</v>
      </c>
      <c r="G507" t="s">
        <v>157</v>
      </c>
      <c r="H507" t="s">
        <v>280</v>
      </c>
      <c r="I507" t="s">
        <v>25</v>
      </c>
    </row>
    <row r="508" spans="1:9" x14ac:dyDescent="0.25">
      <c r="A508">
        <v>20130923</v>
      </c>
      <c r="B508" t="str">
        <f>"000923"</f>
        <v>000923</v>
      </c>
      <c r="C508" t="str">
        <f>"00362"</f>
        <v>00362</v>
      </c>
      <c r="D508" t="s">
        <v>22</v>
      </c>
      <c r="E508">
        <v>98.86</v>
      </c>
      <c r="F508">
        <v>20130924</v>
      </c>
      <c r="G508" t="s">
        <v>281</v>
      </c>
      <c r="H508" t="s">
        <v>282</v>
      </c>
      <c r="I508" t="s">
        <v>29</v>
      </c>
    </row>
    <row r="509" spans="1:9" x14ac:dyDescent="0.25">
      <c r="A509">
        <v>20130923</v>
      </c>
      <c r="B509" t="str">
        <f>"000923"</f>
        <v>000923</v>
      </c>
      <c r="C509" t="str">
        <f>"00362"</f>
        <v>00362</v>
      </c>
      <c r="D509" t="s">
        <v>22</v>
      </c>
      <c r="E509">
        <v>-98.86</v>
      </c>
      <c r="F509">
        <v>20130925</v>
      </c>
      <c r="G509" t="s">
        <v>281</v>
      </c>
      <c r="H509" t="s">
        <v>283</v>
      </c>
      <c r="I509" t="s">
        <v>29</v>
      </c>
    </row>
    <row r="510" spans="1:9" x14ac:dyDescent="0.25">
      <c r="A510">
        <v>20130923</v>
      </c>
      <c r="B510" t="str">
        <f>"000923"</f>
        <v>000923</v>
      </c>
      <c r="C510" t="str">
        <f>"00362"</f>
        <v>00362</v>
      </c>
      <c r="D510" t="s">
        <v>22</v>
      </c>
      <c r="E510">
        <v>98.86</v>
      </c>
      <c r="F510">
        <v>20130925</v>
      </c>
      <c r="G510" t="s">
        <v>284</v>
      </c>
      <c r="H510" t="s">
        <v>282</v>
      </c>
      <c r="I510" t="s">
        <v>33</v>
      </c>
    </row>
    <row r="511" spans="1:9" x14ac:dyDescent="0.25">
      <c r="A511">
        <v>20130927</v>
      </c>
      <c r="B511" t="str">
        <f t="shared" ref="B511:B521" si="54">"000927"</f>
        <v>000927</v>
      </c>
      <c r="C511" t="str">
        <f t="shared" ref="C511:C522" si="55">"55555"</f>
        <v>55555</v>
      </c>
      <c r="D511" t="s">
        <v>52</v>
      </c>
      <c r="E511" s="1">
        <v>4306.33</v>
      </c>
      <c r="F511">
        <v>20130924</v>
      </c>
      <c r="G511" t="s">
        <v>80</v>
      </c>
      <c r="I511" t="s">
        <v>61</v>
      </c>
    </row>
    <row r="512" spans="1:9" x14ac:dyDescent="0.25">
      <c r="A512">
        <v>20130927</v>
      </c>
      <c r="B512" t="str">
        <f t="shared" si="54"/>
        <v>000927</v>
      </c>
      <c r="C512" t="str">
        <f t="shared" si="55"/>
        <v>55555</v>
      </c>
      <c r="D512" t="s">
        <v>52</v>
      </c>
      <c r="E512">
        <v>875.02</v>
      </c>
      <c r="F512">
        <v>20130924</v>
      </c>
      <c r="G512" t="s">
        <v>134</v>
      </c>
      <c r="I512" t="s">
        <v>131</v>
      </c>
    </row>
    <row r="513" spans="1:9" x14ac:dyDescent="0.25">
      <c r="A513">
        <v>20130927</v>
      </c>
      <c r="B513" t="str">
        <f t="shared" si="54"/>
        <v>000927</v>
      </c>
      <c r="C513" t="str">
        <f t="shared" si="55"/>
        <v>55555</v>
      </c>
      <c r="D513" t="s">
        <v>52</v>
      </c>
      <c r="E513" s="1">
        <v>1755269.96</v>
      </c>
      <c r="F513">
        <v>20130924</v>
      </c>
      <c r="G513" t="s">
        <v>53</v>
      </c>
      <c r="I513" t="s">
        <v>21</v>
      </c>
    </row>
    <row r="514" spans="1:9" x14ac:dyDescent="0.25">
      <c r="A514">
        <v>20130927</v>
      </c>
      <c r="B514" t="str">
        <f t="shared" si="54"/>
        <v>000927</v>
      </c>
      <c r="C514" t="str">
        <f t="shared" si="55"/>
        <v>55555</v>
      </c>
      <c r="D514" t="s">
        <v>52</v>
      </c>
      <c r="E514" s="1">
        <v>124190.78</v>
      </c>
      <c r="F514">
        <v>20130924</v>
      </c>
      <c r="G514" t="s">
        <v>82</v>
      </c>
      <c r="I514" t="s">
        <v>66</v>
      </c>
    </row>
    <row r="515" spans="1:9" x14ac:dyDescent="0.25">
      <c r="A515">
        <v>20130927</v>
      </c>
      <c r="B515" t="str">
        <f t="shared" si="54"/>
        <v>000927</v>
      </c>
      <c r="C515" t="str">
        <f t="shared" si="55"/>
        <v>55555</v>
      </c>
      <c r="D515" t="s">
        <v>52</v>
      </c>
      <c r="E515" s="1">
        <v>79134.3</v>
      </c>
      <c r="F515">
        <v>20130924</v>
      </c>
      <c r="G515" t="s">
        <v>83</v>
      </c>
      <c r="I515" t="s">
        <v>68</v>
      </c>
    </row>
    <row r="516" spans="1:9" x14ac:dyDescent="0.25">
      <c r="A516">
        <v>20130927</v>
      </c>
      <c r="B516" t="str">
        <f t="shared" si="54"/>
        <v>000927</v>
      </c>
      <c r="C516" t="str">
        <f t="shared" si="55"/>
        <v>55555</v>
      </c>
      <c r="D516" t="s">
        <v>52</v>
      </c>
      <c r="E516" s="1">
        <v>104702.48</v>
      </c>
      <c r="F516">
        <v>20130924</v>
      </c>
      <c r="G516" t="s">
        <v>84</v>
      </c>
      <c r="I516" t="s">
        <v>12</v>
      </c>
    </row>
    <row r="517" spans="1:9" x14ac:dyDescent="0.25">
      <c r="A517">
        <v>20130927</v>
      </c>
      <c r="B517" t="str">
        <f t="shared" si="54"/>
        <v>000927</v>
      </c>
      <c r="C517" t="str">
        <f t="shared" si="55"/>
        <v>55555</v>
      </c>
      <c r="D517" t="s">
        <v>52</v>
      </c>
      <c r="E517" s="1">
        <v>8747.98</v>
      </c>
      <c r="F517">
        <v>20130924</v>
      </c>
      <c r="G517" t="s">
        <v>85</v>
      </c>
      <c r="I517" t="s">
        <v>71</v>
      </c>
    </row>
    <row r="518" spans="1:9" x14ac:dyDescent="0.25">
      <c r="A518">
        <v>20130927</v>
      </c>
      <c r="B518" t="str">
        <f t="shared" si="54"/>
        <v>000927</v>
      </c>
      <c r="C518" t="str">
        <f t="shared" si="55"/>
        <v>55555</v>
      </c>
      <c r="D518" t="s">
        <v>52</v>
      </c>
      <c r="E518" s="1">
        <v>13192.49</v>
      </c>
      <c r="F518">
        <v>20130924</v>
      </c>
      <c r="G518" t="s">
        <v>86</v>
      </c>
      <c r="I518" t="s">
        <v>73</v>
      </c>
    </row>
    <row r="519" spans="1:9" x14ac:dyDescent="0.25">
      <c r="A519">
        <v>20130927</v>
      </c>
      <c r="B519" t="str">
        <f t="shared" si="54"/>
        <v>000927</v>
      </c>
      <c r="C519" t="str">
        <f t="shared" si="55"/>
        <v>55555</v>
      </c>
      <c r="D519" t="s">
        <v>52</v>
      </c>
      <c r="E519" s="1">
        <v>1728.77</v>
      </c>
      <c r="F519">
        <v>20130924</v>
      </c>
      <c r="G519" t="s">
        <v>87</v>
      </c>
      <c r="I519" t="s">
        <v>75</v>
      </c>
    </row>
    <row r="520" spans="1:9" x14ac:dyDescent="0.25">
      <c r="A520">
        <v>20130927</v>
      </c>
      <c r="B520" t="str">
        <f t="shared" si="54"/>
        <v>000927</v>
      </c>
      <c r="C520" t="str">
        <f t="shared" si="55"/>
        <v>55555</v>
      </c>
      <c r="D520" t="s">
        <v>52</v>
      </c>
      <c r="E520" s="1">
        <v>1372.51</v>
      </c>
      <c r="F520">
        <v>20130924</v>
      </c>
      <c r="G520" t="s">
        <v>88</v>
      </c>
      <c r="I520" t="s">
        <v>77</v>
      </c>
    </row>
    <row r="521" spans="1:9" x14ac:dyDescent="0.25">
      <c r="A521">
        <v>20130927</v>
      </c>
      <c r="B521" t="str">
        <f t="shared" si="54"/>
        <v>000927</v>
      </c>
      <c r="C521" t="str">
        <f t="shared" si="55"/>
        <v>55555</v>
      </c>
      <c r="D521" t="s">
        <v>52</v>
      </c>
      <c r="E521" s="1">
        <v>48477.440000000002</v>
      </c>
      <c r="F521">
        <v>20130924</v>
      </c>
      <c r="G521" t="s">
        <v>89</v>
      </c>
      <c r="I521" t="s">
        <v>79</v>
      </c>
    </row>
    <row r="522" spans="1:9" x14ac:dyDescent="0.25">
      <c r="A522">
        <v>20130930</v>
      </c>
      <c r="B522" t="str">
        <f>"000928"</f>
        <v>000928</v>
      </c>
      <c r="C522" t="str">
        <f t="shared" si="55"/>
        <v>55555</v>
      </c>
      <c r="D522" t="s">
        <v>52</v>
      </c>
      <c r="E522" s="1">
        <v>500000</v>
      </c>
      <c r="F522">
        <v>20130924</v>
      </c>
      <c r="G522" t="s">
        <v>53</v>
      </c>
      <c r="I522" t="s">
        <v>21</v>
      </c>
    </row>
    <row r="523" spans="1:9" x14ac:dyDescent="0.25">
      <c r="A523">
        <v>20130927</v>
      </c>
      <c r="B523" t="str">
        <f>"000929"</f>
        <v>000929</v>
      </c>
      <c r="C523" t="str">
        <f>"83327"</f>
        <v>83327</v>
      </c>
      <c r="D523" t="s">
        <v>18</v>
      </c>
      <c r="E523" s="1">
        <v>1255.56</v>
      </c>
      <c r="F523">
        <v>20130927</v>
      </c>
      <c r="G523" t="s">
        <v>19</v>
      </c>
      <c r="H523" t="s">
        <v>285</v>
      </c>
      <c r="I523" t="s">
        <v>21</v>
      </c>
    </row>
    <row r="524" spans="1:9" x14ac:dyDescent="0.25">
      <c r="A524">
        <v>20130926</v>
      </c>
      <c r="B524" t="str">
        <f>"000931"</f>
        <v>000931</v>
      </c>
      <c r="C524" t="str">
        <f>"83327"</f>
        <v>83327</v>
      </c>
      <c r="D524" t="s">
        <v>18</v>
      </c>
      <c r="E524" s="1">
        <v>15400.75</v>
      </c>
      <c r="F524">
        <v>20130926</v>
      </c>
      <c r="G524" t="s">
        <v>19</v>
      </c>
      <c r="H524" t="s">
        <v>286</v>
      </c>
      <c r="I524" t="s">
        <v>21</v>
      </c>
    </row>
    <row r="525" spans="1:9" x14ac:dyDescent="0.25">
      <c r="A525">
        <v>20130927</v>
      </c>
      <c r="B525" t="str">
        <f>"000933"</f>
        <v>000933</v>
      </c>
      <c r="C525" t="str">
        <f>"00362"</f>
        <v>00362</v>
      </c>
      <c r="D525" t="s">
        <v>22</v>
      </c>
      <c r="E525">
        <v>325</v>
      </c>
      <c r="F525">
        <v>20130927</v>
      </c>
      <c r="G525" t="s">
        <v>271</v>
      </c>
      <c r="H525" t="s">
        <v>287</v>
      </c>
      <c r="I525" t="s">
        <v>25</v>
      </c>
    </row>
    <row r="526" spans="1:9" x14ac:dyDescent="0.25">
      <c r="A526">
        <v>20130927</v>
      </c>
      <c r="B526" t="str">
        <f>"000934"</f>
        <v>000934</v>
      </c>
      <c r="C526" t="str">
        <f>"55555"</f>
        <v>55555</v>
      </c>
      <c r="D526" t="s">
        <v>52</v>
      </c>
      <c r="E526">
        <v>310.85000000000002</v>
      </c>
      <c r="F526">
        <v>20130927</v>
      </c>
      <c r="G526" t="s">
        <v>53</v>
      </c>
      <c r="H526" t="s">
        <v>288</v>
      </c>
      <c r="I526" t="s">
        <v>21</v>
      </c>
    </row>
    <row r="527" spans="1:9" x14ac:dyDescent="0.25">
      <c r="A527">
        <v>20130930</v>
      </c>
      <c r="B527" t="str">
        <f>"000940"</f>
        <v>000940</v>
      </c>
      <c r="C527" t="str">
        <f>"00362"</f>
        <v>00362</v>
      </c>
      <c r="D527" t="s">
        <v>22</v>
      </c>
      <c r="E527">
        <v>500</v>
      </c>
      <c r="F527">
        <v>20130930</v>
      </c>
      <c r="G527" t="s">
        <v>289</v>
      </c>
      <c r="H527" t="s">
        <v>290</v>
      </c>
      <c r="I527" t="s">
        <v>38</v>
      </c>
    </row>
    <row r="528" spans="1:9" x14ac:dyDescent="0.25">
      <c r="A528">
        <v>20130930</v>
      </c>
      <c r="B528" t="str">
        <f>"000941"</f>
        <v>000941</v>
      </c>
      <c r="C528" t="str">
        <f>"00362"</f>
        <v>00362</v>
      </c>
      <c r="D528" t="s">
        <v>22</v>
      </c>
      <c r="E528">
        <v>325</v>
      </c>
      <c r="F528">
        <v>20130930</v>
      </c>
      <c r="G528" t="s">
        <v>291</v>
      </c>
      <c r="H528" t="s">
        <v>292</v>
      </c>
      <c r="I528" t="s">
        <v>25</v>
      </c>
    </row>
    <row r="529" spans="1:9" x14ac:dyDescent="0.25">
      <c r="A529">
        <v>20130930</v>
      </c>
      <c r="B529" t="str">
        <f>"000950"</f>
        <v>000950</v>
      </c>
      <c r="C529" t="str">
        <f>"83309"</f>
        <v>83309</v>
      </c>
      <c r="D529" t="s">
        <v>98</v>
      </c>
      <c r="E529">
        <v>6</v>
      </c>
      <c r="F529">
        <v>20131001</v>
      </c>
      <c r="G529" t="s">
        <v>99</v>
      </c>
      <c r="H529" t="s">
        <v>100</v>
      </c>
      <c r="I529" t="s">
        <v>21</v>
      </c>
    </row>
    <row r="530" spans="1:9" x14ac:dyDescent="0.25">
      <c r="A530">
        <v>20130906</v>
      </c>
      <c r="B530" t="str">
        <f>"000955"</f>
        <v>000955</v>
      </c>
      <c r="C530" t="str">
        <f>"83309"</f>
        <v>83309</v>
      </c>
      <c r="D530" t="s">
        <v>98</v>
      </c>
      <c r="E530">
        <v>295</v>
      </c>
      <c r="F530">
        <v>20131001</v>
      </c>
      <c r="G530" t="s">
        <v>202</v>
      </c>
      <c r="H530" t="s">
        <v>293</v>
      </c>
      <c r="I530" t="s">
        <v>12</v>
      </c>
    </row>
    <row r="531" spans="1:9" x14ac:dyDescent="0.25">
      <c r="A531">
        <v>20130923</v>
      </c>
      <c r="B531" t="str">
        <f>"000991"</f>
        <v>000991</v>
      </c>
      <c r="C531" t="str">
        <f>"00362"</f>
        <v>00362</v>
      </c>
      <c r="D531" t="s">
        <v>22</v>
      </c>
      <c r="E531">
        <v>50</v>
      </c>
      <c r="F531">
        <v>20130924</v>
      </c>
      <c r="G531" t="s">
        <v>194</v>
      </c>
      <c r="H531" t="s">
        <v>294</v>
      </c>
      <c r="I531" t="s">
        <v>25</v>
      </c>
    </row>
    <row r="532" spans="1:9" x14ac:dyDescent="0.25">
      <c r="A532">
        <v>20131007</v>
      </c>
      <c r="B532" t="str">
        <f>"001001"</f>
        <v>001001</v>
      </c>
      <c r="C532" t="str">
        <f>"55555"</f>
        <v>55555</v>
      </c>
      <c r="D532" t="s">
        <v>52</v>
      </c>
      <c r="E532" s="1">
        <v>304933.65999999997</v>
      </c>
      <c r="F532">
        <v>20131007</v>
      </c>
      <c r="G532" t="s">
        <v>53</v>
      </c>
      <c r="H532" t="s">
        <v>295</v>
      </c>
      <c r="I532" t="s">
        <v>21</v>
      </c>
    </row>
    <row r="533" spans="1:9" x14ac:dyDescent="0.25">
      <c r="A533">
        <v>20131007</v>
      </c>
      <c r="B533" t="str">
        <f>"001002"</f>
        <v>001002</v>
      </c>
      <c r="C533" t="str">
        <f>"00362"</f>
        <v>00362</v>
      </c>
      <c r="D533" t="s">
        <v>22</v>
      </c>
      <c r="E533">
        <v>592</v>
      </c>
      <c r="F533">
        <v>20131007</v>
      </c>
      <c r="G533" t="s">
        <v>145</v>
      </c>
      <c r="H533" t="s">
        <v>296</v>
      </c>
      <c r="I533" t="s">
        <v>38</v>
      </c>
    </row>
    <row r="534" spans="1:9" x14ac:dyDescent="0.25">
      <c r="A534">
        <v>20131001</v>
      </c>
      <c r="B534" t="str">
        <f t="shared" ref="B534:B540" si="56">"001004"</f>
        <v>001004</v>
      </c>
      <c r="C534" t="str">
        <f t="shared" ref="C534:C541" si="57">"55555"</f>
        <v>55555</v>
      </c>
      <c r="D534" t="s">
        <v>52</v>
      </c>
      <c r="E534" s="1">
        <v>27119.040000000001</v>
      </c>
      <c r="F534">
        <v>20131007</v>
      </c>
      <c r="G534" t="s">
        <v>53</v>
      </c>
      <c r="I534" t="s">
        <v>21</v>
      </c>
    </row>
    <row r="535" spans="1:9" x14ac:dyDescent="0.25">
      <c r="A535">
        <v>20131001</v>
      </c>
      <c r="B535" t="str">
        <f t="shared" si="56"/>
        <v>001004</v>
      </c>
      <c r="C535" t="str">
        <f t="shared" si="57"/>
        <v>55555</v>
      </c>
      <c r="D535" t="s">
        <v>52</v>
      </c>
      <c r="E535">
        <v>203.32</v>
      </c>
      <c r="F535">
        <v>20131007</v>
      </c>
      <c r="G535" t="s">
        <v>82</v>
      </c>
      <c r="I535" t="s">
        <v>66</v>
      </c>
    </row>
    <row r="536" spans="1:9" x14ac:dyDescent="0.25">
      <c r="A536">
        <v>20131001</v>
      </c>
      <c r="B536" t="str">
        <f t="shared" si="56"/>
        <v>001004</v>
      </c>
      <c r="C536" t="str">
        <f t="shared" si="57"/>
        <v>55555</v>
      </c>
      <c r="D536" t="s">
        <v>52</v>
      </c>
      <c r="E536">
        <v>76.88</v>
      </c>
      <c r="F536">
        <v>20131007</v>
      </c>
      <c r="G536" t="s">
        <v>83</v>
      </c>
      <c r="I536" t="s">
        <v>68</v>
      </c>
    </row>
    <row r="537" spans="1:9" x14ac:dyDescent="0.25">
      <c r="A537">
        <v>20131001</v>
      </c>
      <c r="B537" t="str">
        <f t="shared" si="56"/>
        <v>001004</v>
      </c>
      <c r="C537" t="str">
        <f t="shared" si="57"/>
        <v>55555</v>
      </c>
      <c r="D537" t="s">
        <v>52</v>
      </c>
      <c r="E537">
        <v>49.34</v>
      </c>
      <c r="F537">
        <v>20131007</v>
      </c>
      <c r="G537" t="s">
        <v>85</v>
      </c>
      <c r="I537" t="s">
        <v>71</v>
      </c>
    </row>
    <row r="538" spans="1:9" x14ac:dyDescent="0.25">
      <c r="A538">
        <v>20131001</v>
      </c>
      <c r="B538" t="str">
        <f t="shared" si="56"/>
        <v>001004</v>
      </c>
      <c r="C538" t="str">
        <f t="shared" si="57"/>
        <v>55555</v>
      </c>
      <c r="D538" t="s">
        <v>52</v>
      </c>
      <c r="E538">
        <v>11.05</v>
      </c>
      <c r="F538">
        <v>20131007</v>
      </c>
      <c r="G538" t="s">
        <v>86</v>
      </c>
      <c r="I538" t="s">
        <v>73</v>
      </c>
    </row>
    <row r="539" spans="1:9" x14ac:dyDescent="0.25">
      <c r="A539">
        <v>20131001</v>
      </c>
      <c r="B539" t="str">
        <f t="shared" si="56"/>
        <v>001004</v>
      </c>
      <c r="C539" t="str">
        <f t="shared" si="57"/>
        <v>55555</v>
      </c>
      <c r="D539" t="s">
        <v>52</v>
      </c>
      <c r="E539">
        <v>26.66</v>
      </c>
      <c r="F539">
        <v>20131007</v>
      </c>
      <c r="G539" t="s">
        <v>87</v>
      </c>
      <c r="I539" t="s">
        <v>75</v>
      </c>
    </row>
    <row r="540" spans="1:9" x14ac:dyDescent="0.25">
      <c r="A540">
        <v>20131001</v>
      </c>
      <c r="B540" t="str">
        <f t="shared" si="56"/>
        <v>001004</v>
      </c>
      <c r="C540" t="str">
        <f t="shared" si="57"/>
        <v>55555</v>
      </c>
      <c r="D540" t="s">
        <v>52</v>
      </c>
      <c r="E540">
        <v>427.02</v>
      </c>
      <c r="F540">
        <v>20131007</v>
      </c>
      <c r="G540" t="s">
        <v>89</v>
      </c>
      <c r="I540" t="s">
        <v>79</v>
      </c>
    </row>
    <row r="541" spans="1:9" x14ac:dyDescent="0.25">
      <c r="A541">
        <v>20131002</v>
      </c>
      <c r="B541" t="str">
        <f>"001005"</f>
        <v>001005</v>
      </c>
      <c r="C541" t="str">
        <f t="shared" si="57"/>
        <v>55555</v>
      </c>
      <c r="D541" t="s">
        <v>52</v>
      </c>
      <c r="E541">
        <v>608.88</v>
      </c>
      <c r="F541">
        <v>20131007</v>
      </c>
      <c r="G541" t="s">
        <v>53</v>
      </c>
      <c r="I541" t="s">
        <v>21</v>
      </c>
    </row>
    <row r="542" spans="1:9" x14ac:dyDescent="0.25">
      <c r="A542">
        <v>20131002</v>
      </c>
      <c r="B542" t="str">
        <f>"001010"</f>
        <v>001010</v>
      </c>
      <c r="C542" t="str">
        <f>"99998"</f>
        <v>99998</v>
      </c>
      <c r="D542" t="s">
        <v>9</v>
      </c>
      <c r="E542">
        <v>24</v>
      </c>
      <c r="F542">
        <v>20131007</v>
      </c>
      <c r="G542" t="s">
        <v>297</v>
      </c>
      <c r="H542" t="s">
        <v>298</v>
      </c>
      <c r="I542" t="s">
        <v>38</v>
      </c>
    </row>
    <row r="543" spans="1:9" x14ac:dyDescent="0.25">
      <c r="A543">
        <v>20131002</v>
      </c>
      <c r="B543" t="str">
        <f>"001010"</f>
        <v>001010</v>
      </c>
      <c r="C543" t="str">
        <f>"99998"</f>
        <v>99998</v>
      </c>
      <c r="D543" t="s">
        <v>9</v>
      </c>
      <c r="E543">
        <v>20</v>
      </c>
      <c r="F543">
        <v>20131007</v>
      </c>
      <c r="G543" t="s">
        <v>299</v>
      </c>
      <c r="H543" t="s">
        <v>300</v>
      </c>
      <c r="I543" t="s">
        <v>25</v>
      </c>
    </row>
    <row r="544" spans="1:9" x14ac:dyDescent="0.25">
      <c r="A544">
        <v>20131015</v>
      </c>
      <c r="B544" t="str">
        <f>"001010"</f>
        <v>001010</v>
      </c>
      <c r="C544" t="str">
        <f>"99998"</f>
        <v>99998</v>
      </c>
      <c r="D544" t="s">
        <v>9</v>
      </c>
      <c r="E544">
        <v>288</v>
      </c>
      <c r="F544">
        <v>20131018</v>
      </c>
      <c r="G544" t="s">
        <v>48</v>
      </c>
      <c r="H544" t="s">
        <v>301</v>
      </c>
      <c r="I544" t="s">
        <v>25</v>
      </c>
    </row>
    <row r="545" spans="1:9" x14ac:dyDescent="0.25">
      <c r="A545">
        <v>20131015</v>
      </c>
      <c r="B545" t="str">
        <f>"001010"</f>
        <v>001010</v>
      </c>
      <c r="C545" t="str">
        <f>"99998"</f>
        <v>99998</v>
      </c>
      <c r="D545" t="s">
        <v>9</v>
      </c>
      <c r="E545">
        <v>54</v>
      </c>
      <c r="F545">
        <v>20131018</v>
      </c>
      <c r="G545" t="s">
        <v>48</v>
      </c>
      <c r="H545" t="s">
        <v>301</v>
      </c>
      <c r="I545" t="s">
        <v>25</v>
      </c>
    </row>
    <row r="546" spans="1:9" x14ac:dyDescent="0.25">
      <c r="A546">
        <v>20131017</v>
      </c>
      <c r="B546" t="str">
        <f>"001010"</f>
        <v>001010</v>
      </c>
      <c r="C546" t="str">
        <f>"99998"</f>
        <v>99998</v>
      </c>
      <c r="D546" t="s">
        <v>9</v>
      </c>
      <c r="E546">
        <v>144</v>
      </c>
      <c r="F546">
        <v>20131021</v>
      </c>
      <c r="G546" t="s">
        <v>48</v>
      </c>
      <c r="H546" t="s">
        <v>302</v>
      </c>
      <c r="I546" t="s">
        <v>25</v>
      </c>
    </row>
    <row r="547" spans="1:9" x14ac:dyDescent="0.25">
      <c r="A547">
        <v>20131014</v>
      </c>
      <c r="B547" t="str">
        <f>"001011"</f>
        <v>001011</v>
      </c>
      <c r="C547" t="str">
        <f>"73700"</f>
        <v>73700</v>
      </c>
      <c r="D547" t="s">
        <v>55</v>
      </c>
      <c r="E547">
        <v>500</v>
      </c>
      <c r="F547">
        <v>20131011</v>
      </c>
      <c r="G547" t="s">
        <v>303</v>
      </c>
      <c r="I547" t="s">
        <v>304</v>
      </c>
    </row>
    <row r="548" spans="1:9" x14ac:dyDescent="0.25">
      <c r="A548">
        <v>20131014</v>
      </c>
      <c r="B548" t="str">
        <f>"001014"</f>
        <v>001014</v>
      </c>
      <c r="C548" t="str">
        <f>"00362"</f>
        <v>00362</v>
      </c>
      <c r="D548" t="s">
        <v>22</v>
      </c>
      <c r="E548">
        <v>27.55</v>
      </c>
      <c r="F548">
        <v>20131014</v>
      </c>
      <c r="G548" t="s">
        <v>31</v>
      </c>
      <c r="I548" t="s">
        <v>29</v>
      </c>
    </row>
    <row r="549" spans="1:9" x14ac:dyDescent="0.25">
      <c r="A549">
        <v>20131014</v>
      </c>
      <c r="B549" t="str">
        <f>"001014"</f>
        <v>001014</v>
      </c>
      <c r="C549" t="str">
        <f>"00362"</f>
        <v>00362</v>
      </c>
      <c r="D549" t="s">
        <v>22</v>
      </c>
      <c r="E549">
        <v>78.16</v>
      </c>
      <c r="F549">
        <v>20131014</v>
      </c>
      <c r="G549" t="s">
        <v>32</v>
      </c>
      <c r="I549" t="s">
        <v>33</v>
      </c>
    </row>
    <row r="550" spans="1:9" x14ac:dyDescent="0.25">
      <c r="A550">
        <v>20131022</v>
      </c>
      <c r="B550" t="str">
        <f t="shared" ref="B550:B561" si="58">"001022"</f>
        <v>001022</v>
      </c>
      <c r="C550" t="str">
        <f t="shared" ref="C550:C561" si="59">"79801"</f>
        <v>79801</v>
      </c>
      <c r="D550" t="s">
        <v>17</v>
      </c>
      <c r="E550">
        <v>27.12</v>
      </c>
      <c r="F550">
        <v>20131022</v>
      </c>
      <c r="G550" t="s">
        <v>60</v>
      </c>
      <c r="I550" t="s">
        <v>61</v>
      </c>
    </row>
    <row r="551" spans="1:9" x14ac:dyDescent="0.25">
      <c r="A551">
        <v>20131022</v>
      </c>
      <c r="B551" t="str">
        <f t="shared" si="58"/>
        <v>001022</v>
      </c>
      <c r="C551" t="str">
        <f t="shared" si="59"/>
        <v>79801</v>
      </c>
      <c r="D551" t="s">
        <v>17</v>
      </c>
      <c r="E551">
        <v>6.15</v>
      </c>
      <c r="F551">
        <v>20131022</v>
      </c>
      <c r="G551" t="s">
        <v>62</v>
      </c>
      <c r="I551" t="s">
        <v>63</v>
      </c>
    </row>
    <row r="552" spans="1:9" x14ac:dyDescent="0.25">
      <c r="A552">
        <v>20131022</v>
      </c>
      <c r="B552" t="str">
        <f t="shared" si="58"/>
        <v>001022</v>
      </c>
      <c r="C552" t="str">
        <f t="shared" si="59"/>
        <v>79801</v>
      </c>
      <c r="D552" t="s">
        <v>17</v>
      </c>
      <c r="E552">
        <v>1.78</v>
      </c>
      <c r="F552">
        <v>20131022</v>
      </c>
      <c r="G552" t="s">
        <v>130</v>
      </c>
      <c r="I552" t="s">
        <v>131</v>
      </c>
    </row>
    <row r="553" spans="1:9" x14ac:dyDescent="0.25">
      <c r="A553">
        <v>20131022</v>
      </c>
      <c r="B553" t="str">
        <f t="shared" si="58"/>
        <v>001022</v>
      </c>
      <c r="C553" t="str">
        <f t="shared" si="59"/>
        <v>79801</v>
      </c>
      <c r="D553" t="s">
        <v>17</v>
      </c>
      <c r="E553" s="1">
        <v>24147.55</v>
      </c>
      <c r="F553">
        <v>20131022</v>
      </c>
      <c r="G553" t="s">
        <v>64</v>
      </c>
      <c r="I553" t="s">
        <v>21</v>
      </c>
    </row>
    <row r="554" spans="1:9" x14ac:dyDescent="0.25">
      <c r="A554">
        <v>20131022</v>
      </c>
      <c r="B554" t="str">
        <f t="shared" si="58"/>
        <v>001022</v>
      </c>
      <c r="C554" t="str">
        <f t="shared" si="59"/>
        <v>79801</v>
      </c>
      <c r="D554" t="s">
        <v>17</v>
      </c>
      <c r="E554" s="1">
        <v>1133.8499999999999</v>
      </c>
      <c r="F554">
        <v>20131022</v>
      </c>
      <c r="G554" t="s">
        <v>65</v>
      </c>
      <c r="I554" t="s">
        <v>66</v>
      </c>
    </row>
    <row r="555" spans="1:9" x14ac:dyDescent="0.25">
      <c r="A555">
        <v>20131022</v>
      </c>
      <c r="B555" t="str">
        <f t="shared" si="58"/>
        <v>001022</v>
      </c>
      <c r="C555" t="str">
        <f t="shared" si="59"/>
        <v>79801</v>
      </c>
      <c r="D555" t="s">
        <v>17</v>
      </c>
      <c r="E555">
        <v>606.77</v>
      </c>
      <c r="F555">
        <v>20131022</v>
      </c>
      <c r="G555" t="s">
        <v>67</v>
      </c>
      <c r="I555" t="s">
        <v>68</v>
      </c>
    </row>
    <row r="556" spans="1:9" x14ac:dyDescent="0.25">
      <c r="A556">
        <v>20131022</v>
      </c>
      <c r="B556" t="str">
        <f t="shared" si="58"/>
        <v>001022</v>
      </c>
      <c r="C556" t="str">
        <f t="shared" si="59"/>
        <v>79801</v>
      </c>
      <c r="D556" t="s">
        <v>17</v>
      </c>
      <c r="E556">
        <v>901.89</v>
      </c>
      <c r="F556">
        <v>20131022</v>
      </c>
      <c r="G556" t="s">
        <v>69</v>
      </c>
      <c r="I556" t="s">
        <v>12</v>
      </c>
    </row>
    <row r="557" spans="1:9" x14ac:dyDescent="0.25">
      <c r="A557">
        <v>20131022</v>
      </c>
      <c r="B557" t="str">
        <f t="shared" si="58"/>
        <v>001022</v>
      </c>
      <c r="C557" t="str">
        <f t="shared" si="59"/>
        <v>79801</v>
      </c>
      <c r="D557" t="s">
        <v>17</v>
      </c>
      <c r="E557">
        <v>80.510000000000005</v>
      </c>
      <c r="F557">
        <v>20131022</v>
      </c>
      <c r="G557" t="s">
        <v>70</v>
      </c>
      <c r="I557" t="s">
        <v>71</v>
      </c>
    </row>
    <row r="558" spans="1:9" x14ac:dyDescent="0.25">
      <c r="A558">
        <v>20131022</v>
      </c>
      <c r="B558" t="str">
        <f t="shared" si="58"/>
        <v>001022</v>
      </c>
      <c r="C558" t="str">
        <f t="shared" si="59"/>
        <v>79801</v>
      </c>
      <c r="D558" t="s">
        <v>17</v>
      </c>
      <c r="E558">
        <v>117.44</v>
      </c>
      <c r="F558">
        <v>20131022</v>
      </c>
      <c r="G558" t="s">
        <v>72</v>
      </c>
      <c r="I558" t="s">
        <v>73</v>
      </c>
    </row>
    <row r="559" spans="1:9" x14ac:dyDescent="0.25">
      <c r="A559">
        <v>20131022</v>
      </c>
      <c r="B559" t="str">
        <f t="shared" si="58"/>
        <v>001022</v>
      </c>
      <c r="C559" t="str">
        <f t="shared" si="59"/>
        <v>79801</v>
      </c>
      <c r="D559" t="s">
        <v>17</v>
      </c>
      <c r="E559">
        <v>12.5</v>
      </c>
      <c r="F559">
        <v>20131022</v>
      </c>
      <c r="G559" t="s">
        <v>74</v>
      </c>
      <c r="I559" t="s">
        <v>75</v>
      </c>
    </row>
    <row r="560" spans="1:9" x14ac:dyDescent="0.25">
      <c r="A560">
        <v>20131022</v>
      </c>
      <c r="B560" t="str">
        <f t="shared" si="58"/>
        <v>001022</v>
      </c>
      <c r="C560" t="str">
        <f t="shared" si="59"/>
        <v>79801</v>
      </c>
      <c r="D560" t="s">
        <v>17</v>
      </c>
      <c r="E560">
        <v>11.88</v>
      </c>
      <c r="F560">
        <v>20131022</v>
      </c>
      <c r="G560" t="s">
        <v>76</v>
      </c>
      <c r="I560" t="s">
        <v>77</v>
      </c>
    </row>
    <row r="561" spans="1:9" x14ac:dyDescent="0.25">
      <c r="A561">
        <v>20131022</v>
      </c>
      <c r="B561" t="str">
        <f t="shared" si="58"/>
        <v>001022</v>
      </c>
      <c r="C561" t="str">
        <f t="shared" si="59"/>
        <v>79801</v>
      </c>
      <c r="D561" t="s">
        <v>17</v>
      </c>
      <c r="E561">
        <v>478.8</v>
      </c>
      <c r="F561">
        <v>20131022</v>
      </c>
      <c r="G561" t="s">
        <v>78</v>
      </c>
      <c r="I561" t="s">
        <v>79</v>
      </c>
    </row>
    <row r="562" spans="1:9" x14ac:dyDescent="0.25">
      <c r="A562">
        <v>20131023</v>
      </c>
      <c r="B562" t="str">
        <f>"001023"</f>
        <v>001023</v>
      </c>
      <c r="C562" t="str">
        <f>"73700"</f>
        <v>73700</v>
      </c>
      <c r="D562" t="s">
        <v>55</v>
      </c>
      <c r="E562" s="1">
        <v>310000</v>
      </c>
      <c r="F562">
        <v>20131022</v>
      </c>
      <c r="G562" t="s">
        <v>59</v>
      </c>
      <c r="I562" t="s">
        <v>12</v>
      </c>
    </row>
    <row r="563" spans="1:9" x14ac:dyDescent="0.25">
      <c r="A563">
        <v>20131023</v>
      </c>
      <c r="B563" t="str">
        <f>"001024"</f>
        <v>001024</v>
      </c>
      <c r="C563" t="str">
        <f>"21950"</f>
        <v>21950</v>
      </c>
      <c r="D563" t="s">
        <v>35</v>
      </c>
      <c r="E563">
        <v>18.579999999999998</v>
      </c>
      <c r="F563">
        <v>20131023</v>
      </c>
      <c r="G563" t="s">
        <v>171</v>
      </c>
      <c r="H563" t="s">
        <v>172</v>
      </c>
      <c r="I563" t="s">
        <v>38</v>
      </c>
    </row>
    <row r="564" spans="1:9" x14ac:dyDescent="0.25">
      <c r="A564">
        <v>20131025</v>
      </c>
      <c r="B564" t="str">
        <f t="shared" ref="B564:B580" si="60">"001025"</f>
        <v>001025</v>
      </c>
      <c r="C564" t="str">
        <f t="shared" ref="C564:C578" si="61">"55555"</f>
        <v>55555</v>
      </c>
      <c r="D564" t="s">
        <v>52</v>
      </c>
      <c r="E564" s="1">
        <v>3310.51</v>
      </c>
      <c r="F564">
        <v>20131024</v>
      </c>
      <c r="G564" t="s">
        <v>80</v>
      </c>
      <c r="I564" t="s">
        <v>61</v>
      </c>
    </row>
    <row r="565" spans="1:9" x14ac:dyDescent="0.25">
      <c r="A565">
        <v>20131025</v>
      </c>
      <c r="B565" t="str">
        <f t="shared" si="60"/>
        <v>001025</v>
      </c>
      <c r="C565" t="str">
        <f t="shared" si="61"/>
        <v>55555</v>
      </c>
      <c r="D565" t="s">
        <v>52</v>
      </c>
      <c r="E565">
        <v>661.3</v>
      </c>
      <c r="F565">
        <v>20131024</v>
      </c>
      <c r="G565" t="s">
        <v>81</v>
      </c>
      <c r="I565" t="s">
        <v>63</v>
      </c>
    </row>
    <row r="566" spans="1:9" x14ac:dyDescent="0.25">
      <c r="A566">
        <v>20131025</v>
      </c>
      <c r="B566" t="str">
        <f t="shared" si="60"/>
        <v>001025</v>
      </c>
      <c r="C566" t="str">
        <f t="shared" si="61"/>
        <v>55555</v>
      </c>
      <c r="D566" t="s">
        <v>52</v>
      </c>
      <c r="E566">
        <v>190.25</v>
      </c>
      <c r="F566">
        <v>20131024</v>
      </c>
      <c r="G566" t="s">
        <v>134</v>
      </c>
      <c r="I566" t="s">
        <v>131</v>
      </c>
    </row>
    <row r="567" spans="1:9" x14ac:dyDescent="0.25">
      <c r="A567">
        <v>20131025</v>
      </c>
      <c r="B567" t="str">
        <f t="shared" si="60"/>
        <v>001025</v>
      </c>
      <c r="C567" t="str">
        <f t="shared" si="61"/>
        <v>55555</v>
      </c>
      <c r="D567" t="s">
        <v>52</v>
      </c>
      <c r="E567" s="1">
        <v>1778998.53</v>
      </c>
      <c r="F567">
        <v>20131024</v>
      </c>
      <c r="G567" t="s">
        <v>53</v>
      </c>
      <c r="I567" t="s">
        <v>21</v>
      </c>
    </row>
    <row r="568" spans="1:9" x14ac:dyDescent="0.25">
      <c r="A568">
        <v>20131025</v>
      </c>
      <c r="B568" t="str">
        <f t="shared" si="60"/>
        <v>001025</v>
      </c>
      <c r="C568" t="str">
        <f t="shared" si="61"/>
        <v>55555</v>
      </c>
      <c r="D568" t="s">
        <v>52</v>
      </c>
      <c r="E568" s="1">
        <v>495066.34</v>
      </c>
      <c r="F568">
        <v>20131024</v>
      </c>
      <c r="G568" t="s">
        <v>53</v>
      </c>
      <c r="I568" t="s">
        <v>21</v>
      </c>
    </row>
    <row r="569" spans="1:9" x14ac:dyDescent="0.25">
      <c r="A569">
        <v>20131025</v>
      </c>
      <c r="B569" t="str">
        <f t="shared" si="60"/>
        <v>001025</v>
      </c>
      <c r="C569" t="str">
        <f t="shared" si="61"/>
        <v>55555</v>
      </c>
      <c r="D569" t="s">
        <v>52</v>
      </c>
      <c r="E569" s="1">
        <v>123639.31</v>
      </c>
      <c r="F569">
        <v>20131024</v>
      </c>
      <c r="G569" t="s">
        <v>82</v>
      </c>
      <c r="I569" t="s">
        <v>66</v>
      </c>
    </row>
    <row r="570" spans="1:9" x14ac:dyDescent="0.25">
      <c r="A570">
        <v>20131025</v>
      </c>
      <c r="B570" t="str">
        <f t="shared" si="60"/>
        <v>001025</v>
      </c>
      <c r="C570" t="str">
        <f t="shared" si="61"/>
        <v>55555</v>
      </c>
      <c r="D570" t="s">
        <v>52</v>
      </c>
      <c r="E570" s="1">
        <v>80584.47</v>
      </c>
      <c r="F570">
        <v>20131024</v>
      </c>
      <c r="G570" t="s">
        <v>83</v>
      </c>
      <c r="I570" t="s">
        <v>68</v>
      </c>
    </row>
    <row r="571" spans="1:9" x14ac:dyDescent="0.25">
      <c r="A571">
        <v>20131025</v>
      </c>
      <c r="B571" t="str">
        <f t="shared" si="60"/>
        <v>001025</v>
      </c>
      <c r="C571" t="str">
        <f t="shared" si="61"/>
        <v>55555</v>
      </c>
      <c r="D571" t="s">
        <v>52</v>
      </c>
      <c r="E571" s="1">
        <v>100362.24000000001</v>
      </c>
      <c r="F571">
        <v>20131024</v>
      </c>
      <c r="G571" t="s">
        <v>84</v>
      </c>
      <c r="I571" t="s">
        <v>12</v>
      </c>
    </row>
    <row r="572" spans="1:9" x14ac:dyDescent="0.25">
      <c r="A572">
        <v>20131025</v>
      </c>
      <c r="B572" t="str">
        <f t="shared" si="60"/>
        <v>001025</v>
      </c>
      <c r="C572" t="str">
        <f t="shared" si="61"/>
        <v>55555</v>
      </c>
      <c r="D572" t="s">
        <v>52</v>
      </c>
      <c r="E572" s="1">
        <v>8748.0499999999993</v>
      </c>
      <c r="F572">
        <v>20131024</v>
      </c>
      <c r="G572" t="s">
        <v>85</v>
      </c>
      <c r="I572" t="s">
        <v>71</v>
      </c>
    </row>
    <row r="573" spans="1:9" x14ac:dyDescent="0.25">
      <c r="A573">
        <v>20131025</v>
      </c>
      <c r="B573" t="str">
        <f t="shared" si="60"/>
        <v>001025</v>
      </c>
      <c r="C573" t="str">
        <f t="shared" si="61"/>
        <v>55555</v>
      </c>
      <c r="D573" t="s">
        <v>52</v>
      </c>
      <c r="E573" s="1">
        <v>13192.49</v>
      </c>
      <c r="F573">
        <v>20131024</v>
      </c>
      <c r="G573" t="s">
        <v>86</v>
      </c>
      <c r="I573" t="s">
        <v>73</v>
      </c>
    </row>
    <row r="574" spans="1:9" x14ac:dyDescent="0.25">
      <c r="A574">
        <v>20131025</v>
      </c>
      <c r="B574" t="str">
        <f t="shared" si="60"/>
        <v>001025</v>
      </c>
      <c r="C574" t="str">
        <f t="shared" si="61"/>
        <v>55555</v>
      </c>
      <c r="D574" t="s">
        <v>52</v>
      </c>
      <c r="E574" s="1">
        <v>1728.77</v>
      </c>
      <c r="F574">
        <v>20131024</v>
      </c>
      <c r="G574" t="s">
        <v>305</v>
      </c>
      <c r="I574" t="s">
        <v>306</v>
      </c>
    </row>
    <row r="575" spans="1:9" x14ac:dyDescent="0.25">
      <c r="A575">
        <v>20131025</v>
      </c>
      <c r="B575" t="str">
        <f t="shared" si="60"/>
        <v>001025</v>
      </c>
      <c r="C575" t="str">
        <f t="shared" si="61"/>
        <v>55555</v>
      </c>
      <c r="D575" t="s">
        <v>52</v>
      </c>
      <c r="E575" s="1">
        <v>-1728.77</v>
      </c>
      <c r="F575">
        <v>20131024</v>
      </c>
      <c r="G575" t="s">
        <v>305</v>
      </c>
      <c r="H575" t="s">
        <v>307</v>
      </c>
      <c r="I575" t="s">
        <v>306</v>
      </c>
    </row>
    <row r="576" spans="1:9" x14ac:dyDescent="0.25">
      <c r="A576">
        <v>20131025</v>
      </c>
      <c r="B576" t="str">
        <f t="shared" si="60"/>
        <v>001025</v>
      </c>
      <c r="C576" t="str">
        <f t="shared" si="61"/>
        <v>55555</v>
      </c>
      <c r="D576" t="s">
        <v>52</v>
      </c>
      <c r="E576" s="1">
        <v>1728.77</v>
      </c>
      <c r="F576">
        <v>20131024</v>
      </c>
      <c r="G576" t="s">
        <v>87</v>
      </c>
      <c r="I576" t="s">
        <v>75</v>
      </c>
    </row>
    <row r="577" spans="1:9" x14ac:dyDescent="0.25">
      <c r="A577">
        <v>20131025</v>
      </c>
      <c r="B577" t="str">
        <f t="shared" si="60"/>
        <v>001025</v>
      </c>
      <c r="C577" t="str">
        <f t="shared" si="61"/>
        <v>55555</v>
      </c>
      <c r="D577" t="s">
        <v>52</v>
      </c>
      <c r="E577" s="1">
        <v>1372.51</v>
      </c>
      <c r="F577">
        <v>20131024</v>
      </c>
      <c r="G577" t="s">
        <v>88</v>
      </c>
      <c r="I577" t="s">
        <v>77</v>
      </c>
    </row>
    <row r="578" spans="1:9" x14ac:dyDescent="0.25">
      <c r="A578">
        <v>20131025</v>
      </c>
      <c r="B578" t="str">
        <f t="shared" si="60"/>
        <v>001025</v>
      </c>
      <c r="C578" t="str">
        <f t="shared" si="61"/>
        <v>55555</v>
      </c>
      <c r="D578" t="s">
        <v>52</v>
      </c>
      <c r="E578" s="1">
        <v>47034.09</v>
      </c>
      <c r="F578">
        <v>20131024</v>
      </c>
      <c r="G578" t="s">
        <v>89</v>
      </c>
      <c r="I578" t="s">
        <v>79</v>
      </c>
    </row>
    <row r="579" spans="1:9" x14ac:dyDescent="0.25">
      <c r="A579">
        <v>20131025</v>
      </c>
      <c r="B579" t="str">
        <f t="shared" si="60"/>
        <v>001025</v>
      </c>
      <c r="C579" t="str">
        <f>"73700"</f>
        <v>73700</v>
      </c>
      <c r="D579" t="s">
        <v>55</v>
      </c>
      <c r="E579" s="1">
        <v>2000000</v>
      </c>
      <c r="F579">
        <v>20131022</v>
      </c>
      <c r="G579" t="s">
        <v>56</v>
      </c>
      <c r="I579" t="s">
        <v>21</v>
      </c>
    </row>
    <row r="580" spans="1:9" x14ac:dyDescent="0.25">
      <c r="A580">
        <v>20131025</v>
      </c>
      <c r="B580" t="str">
        <f t="shared" si="60"/>
        <v>001025</v>
      </c>
      <c r="C580" t="str">
        <f>"73700"</f>
        <v>73700</v>
      </c>
      <c r="D580" t="s">
        <v>55</v>
      </c>
      <c r="E580" s="1">
        <v>500000</v>
      </c>
      <c r="F580">
        <v>20131024</v>
      </c>
      <c r="G580" t="s">
        <v>56</v>
      </c>
      <c r="I580" t="s">
        <v>21</v>
      </c>
    </row>
    <row r="581" spans="1:9" x14ac:dyDescent="0.25">
      <c r="A581">
        <v>20131025</v>
      </c>
      <c r="B581" t="str">
        <f>"001026"</f>
        <v>001026</v>
      </c>
      <c r="C581" t="str">
        <f>"73700"</f>
        <v>73700</v>
      </c>
      <c r="D581" t="s">
        <v>55</v>
      </c>
      <c r="E581" s="1">
        <v>320000</v>
      </c>
      <c r="F581">
        <v>20131024</v>
      </c>
      <c r="G581" t="s">
        <v>57</v>
      </c>
      <c r="I581" t="s">
        <v>58</v>
      </c>
    </row>
    <row r="582" spans="1:9" x14ac:dyDescent="0.25">
      <c r="A582">
        <v>20131025</v>
      </c>
      <c r="B582" t="str">
        <f>"001027"</f>
        <v>001027</v>
      </c>
      <c r="C582" t="str">
        <f>"83327"</f>
        <v>83327</v>
      </c>
      <c r="D582" t="s">
        <v>18</v>
      </c>
      <c r="E582" s="1">
        <v>290123.37</v>
      </c>
      <c r="F582">
        <v>20131024</v>
      </c>
      <c r="G582" t="s">
        <v>19</v>
      </c>
      <c r="H582" t="s">
        <v>308</v>
      </c>
      <c r="I582" t="s">
        <v>21</v>
      </c>
    </row>
    <row r="583" spans="1:9" x14ac:dyDescent="0.25">
      <c r="A583">
        <v>20131025</v>
      </c>
      <c r="B583" t="str">
        <f>"001029"</f>
        <v>001029</v>
      </c>
      <c r="C583" t="str">
        <f t="shared" ref="C583:C590" si="62">"55555"</f>
        <v>55555</v>
      </c>
      <c r="D583" t="s">
        <v>52</v>
      </c>
      <c r="E583">
        <v>375.23</v>
      </c>
      <c r="F583">
        <v>20131024</v>
      </c>
      <c r="G583" t="s">
        <v>53</v>
      </c>
      <c r="I583" t="s">
        <v>21</v>
      </c>
    </row>
    <row r="584" spans="1:9" x14ac:dyDescent="0.25">
      <c r="A584">
        <v>20131031</v>
      </c>
      <c r="B584" t="str">
        <f t="shared" ref="B584:B590" si="63">"001031"</f>
        <v>001031</v>
      </c>
      <c r="C584" t="str">
        <f t="shared" si="62"/>
        <v>55555</v>
      </c>
      <c r="D584" t="s">
        <v>52</v>
      </c>
      <c r="E584" s="1">
        <v>27063.62</v>
      </c>
      <c r="F584">
        <v>20131031</v>
      </c>
      <c r="G584" t="s">
        <v>53</v>
      </c>
      <c r="I584" t="s">
        <v>21</v>
      </c>
    </row>
    <row r="585" spans="1:9" x14ac:dyDescent="0.25">
      <c r="A585">
        <v>20131031</v>
      </c>
      <c r="B585" t="str">
        <f t="shared" si="63"/>
        <v>001031</v>
      </c>
      <c r="C585" t="str">
        <f t="shared" si="62"/>
        <v>55555</v>
      </c>
      <c r="D585" t="s">
        <v>52</v>
      </c>
      <c r="E585">
        <v>203.32</v>
      </c>
      <c r="F585">
        <v>20131031</v>
      </c>
      <c r="G585" t="s">
        <v>82</v>
      </c>
      <c r="I585" t="s">
        <v>66</v>
      </c>
    </row>
    <row r="586" spans="1:9" x14ac:dyDescent="0.25">
      <c r="A586">
        <v>20131031</v>
      </c>
      <c r="B586" t="str">
        <f t="shared" si="63"/>
        <v>001031</v>
      </c>
      <c r="C586" t="str">
        <f t="shared" si="62"/>
        <v>55555</v>
      </c>
      <c r="D586" t="s">
        <v>52</v>
      </c>
      <c r="E586">
        <v>76.88</v>
      </c>
      <c r="F586">
        <v>20131031</v>
      </c>
      <c r="G586" t="s">
        <v>83</v>
      </c>
      <c r="I586" t="s">
        <v>68</v>
      </c>
    </row>
    <row r="587" spans="1:9" x14ac:dyDescent="0.25">
      <c r="A587">
        <v>20131031</v>
      </c>
      <c r="B587" t="str">
        <f t="shared" si="63"/>
        <v>001031</v>
      </c>
      <c r="C587" t="str">
        <f t="shared" si="62"/>
        <v>55555</v>
      </c>
      <c r="D587" t="s">
        <v>52</v>
      </c>
      <c r="E587">
        <v>49.34</v>
      </c>
      <c r="F587">
        <v>20131031</v>
      </c>
      <c r="G587" t="s">
        <v>85</v>
      </c>
      <c r="I587" t="s">
        <v>71</v>
      </c>
    </row>
    <row r="588" spans="1:9" x14ac:dyDescent="0.25">
      <c r="A588">
        <v>20131031</v>
      </c>
      <c r="B588" t="str">
        <f t="shared" si="63"/>
        <v>001031</v>
      </c>
      <c r="C588" t="str">
        <f t="shared" si="62"/>
        <v>55555</v>
      </c>
      <c r="D588" t="s">
        <v>52</v>
      </c>
      <c r="E588">
        <v>11.05</v>
      </c>
      <c r="F588">
        <v>20131031</v>
      </c>
      <c r="G588" t="s">
        <v>86</v>
      </c>
      <c r="I588" t="s">
        <v>73</v>
      </c>
    </row>
    <row r="589" spans="1:9" x14ac:dyDescent="0.25">
      <c r="A589">
        <v>20131031</v>
      </c>
      <c r="B589" t="str">
        <f t="shared" si="63"/>
        <v>001031</v>
      </c>
      <c r="C589" t="str">
        <f t="shared" si="62"/>
        <v>55555</v>
      </c>
      <c r="D589" t="s">
        <v>52</v>
      </c>
      <c r="E589">
        <v>26.66</v>
      </c>
      <c r="F589">
        <v>20131031</v>
      </c>
      <c r="G589" t="s">
        <v>87</v>
      </c>
      <c r="I589" t="s">
        <v>75</v>
      </c>
    </row>
    <row r="590" spans="1:9" x14ac:dyDescent="0.25">
      <c r="A590">
        <v>20131031</v>
      </c>
      <c r="B590" t="str">
        <f t="shared" si="63"/>
        <v>001031</v>
      </c>
      <c r="C590" t="str">
        <f t="shared" si="62"/>
        <v>55555</v>
      </c>
      <c r="D590" t="s">
        <v>52</v>
      </c>
      <c r="E590">
        <v>427.02</v>
      </c>
      <c r="F590">
        <v>20131031</v>
      </c>
      <c r="G590" t="s">
        <v>89</v>
      </c>
      <c r="I590" t="s">
        <v>79</v>
      </c>
    </row>
    <row r="591" spans="1:9" x14ac:dyDescent="0.25">
      <c r="A591">
        <v>20131030</v>
      </c>
      <c r="B591" t="str">
        <f>"001032"</f>
        <v>001032</v>
      </c>
      <c r="C591" t="str">
        <f>"83327"</f>
        <v>83327</v>
      </c>
      <c r="D591" t="s">
        <v>18</v>
      </c>
      <c r="E591" s="1">
        <v>129821.45</v>
      </c>
      <c r="F591">
        <v>20131030</v>
      </c>
      <c r="G591" t="s">
        <v>19</v>
      </c>
      <c r="H591" t="s">
        <v>309</v>
      </c>
      <c r="I591" t="s">
        <v>21</v>
      </c>
    </row>
    <row r="592" spans="1:9" x14ac:dyDescent="0.25">
      <c r="A592">
        <v>20131031</v>
      </c>
      <c r="B592" t="str">
        <f>"001033"</f>
        <v>001033</v>
      </c>
      <c r="C592" t="str">
        <f>"83309"</f>
        <v>83309</v>
      </c>
      <c r="D592" t="s">
        <v>98</v>
      </c>
      <c r="E592">
        <v>6</v>
      </c>
      <c r="F592">
        <v>20131101</v>
      </c>
      <c r="G592" t="s">
        <v>99</v>
      </c>
      <c r="H592" t="s">
        <v>100</v>
      </c>
      <c r="I592" t="s">
        <v>21</v>
      </c>
    </row>
    <row r="593" spans="1:9" x14ac:dyDescent="0.25">
      <c r="A593">
        <v>20131104</v>
      </c>
      <c r="B593" t="str">
        <f>"001101"</f>
        <v>001101</v>
      </c>
      <c r="C593" t="str">
        <f>"00362"</f>
        <v>00362</v>
      </c>
      <c r="D593" t="s">
        <v>22</v>
      </c>
      <c r="E593">
        <v>305</v>
      </c>
      <c r="F593">
        <v>20131104</v>
      </c>
      <c r="G593" t="s">
        <v>143</v>
      </c>
      <c r="H593" t="s">
        <v>310</v>
      </c>
      <c r="I593" t="s">
        <v>25</v>
      </c>
    </row>
    <row r="594" spans="1:9" x14ac:dyDescent="0.25">
      <c r="A594">
        <v>20131104</v>
      </c>
      <c r="B594" t="str">
        <f>"001102"</f>
        <v>001102</v>
      </c>
      <c r="C594" t="str">
        <f>"00362"</f>
        <v>00362</v>
      </c>
      <c r="D594" t="s">
        <v>22</v>
      </c>
      <c r="E594">
        <v>325</v>
      </c>
      <c r="F594">
        <v>20131104</v>
      </c>
      <c r="G594" t="s">
        <v>122</v>
      </c>
      <c r="H594" t="s">
        <v>311</v>
      </c>
      <c r="I594" t="s">
        <v>25</v>
      </c>
    </row>
    <row r="595" spans="1:9" x14ac:dyDescent="0.25">
      <c r="A595">
        <v>20131104</v>
      </c>
      <c r="B595" t="str">
        <f>"001103"</f>
        <v>001103</v>
      </c>
      <c r="C595" t="str">
        <f>"00362"</f>
        <v>00362</v>
      </c>
      <c r="D595" t="s">
        <v>22</v>
      </c>
      <c r="E595">
        <v>490</v>
      </c>
      <c r="F595">
        <v>20131104</v>
      </c>
      <c r="G595" t="s">
        <v>194</v>
      </c>
      <c r="H595" t="s">
        <v>312</v>
      </c>
      <c r="I595" t="s">
        <v>25</v>
      </c>
    </row>
    <row r="596" spans="1:9" x14ac:dyDescent="0.25">
      <c r="A596">
        <v>20131107</v>
      </c>
      <c r="B596" t="str">
        <f>"001104"</f>
        <v>001104</v>
      </c>
      <c r="C596" t="str">
        <f>"00362"</f>
        <v>00362</v>
      </c>
      <c r="D596" t="s">
        <v>22</v>
      </c>
      <c r="E596">
        <v>490</v>
      </c>
      <c r="F596">
        <v>20131107</v>
      </c>
      <c r="G596" t="s">
        <v>156</v>
      </c>
      <c r="H596" t="s">
        <v>312</v>
      </c>
      <c r="I596" t="s">
        <v>25</v>
      </c>
    </row>
    <row r="597" spans="1:9" x14ac:dyDescent="0.25">
      <c r="A597">
        <v>20131106</v>
      </c>
      <c r="B597" t="str">
        <f>"001106"</f>
        <v>001106</v>
      </c>
      <c r="C597" t="str">
        <f>"55555"</f>
        <v>55555</v>
      </c>
      <c r="D597" t="s">
        <v>52</v>
      </c>
      <c r="E597" s="1">
        <v>294498.15999999997</v>
      </c>
      <c r="F597">
        <v>20131106</v>
      </c>
      <c r="G597" t="s">
        <v>53</v>
      </c>
      <c r="H597" t="s">
        <v>313</v>
      </c>
      <c r="I597" t="s">
        <v>21</v>
      </c>
    </row>
    <row r="598" spans="1:9" x14ac:dyDescent="0.25">
      <c r="A598">
        <v>20131111</v>
      </c>
      <c r="B598" t="str">
        <f>"001111"</f>
        <v>001111</v>
      </c>
      <c r="C598" t="str">
        <f>"00362"</f>
        <v>00362</v>
      </c>
      <c r="D598" t="s">
        <v>22</v>
      </c>
      <c r="E598">
        <v>120</v>
      </c>
      <c r="F598">
        <v>20131111</v>
      </c>
      <c r="G598" t="s">
        <v>181</v>
      </c>
      <c r="H598" t="s">
        <v>42</v>
      </c>
      <c r="I598" t="s">
        <v>38</v>
      </c>
    </row>
    <row r="599" spans="1:9" x14ac:dyDescent="0.25">
      <c r="A599">
        <v>20131111</v>
      </c>
      <c r="B599" t="str">
        <f>"001112"</f>
        <v>001112</v>
      </c>
      <c r="C599" t="str">
        <f>"00362"</f>
        <v>00362</v>
      </c>
      <c r="D599" t="s">
        <v>22</v>
      </c>
      <c r="E599">
        <v>290.79000000000002</v>
      </c>
      <c r="F599">
        <v>20131111</v>
      </c>
      <c r="G599" t="s">
        <v>200</v>
      </c>
      <c r="H599" t="s">
        <v>314</v>
      </c>
      <c r="I599" t="s">
        <v>38</v>
      </c>
    </row>
    <row r="600" spans="1:9" x14ac:dyDescent="0.25">
      <c r="A600">
        <v>20131112</v>
      </c>
      <c r="B600" t="str">
        <f>"001115"</f>
        <v>001115</v>
      </c>
      <c r="C600" t="str">
        <f>"00362"</f>
        <v>00362</v>
      </c>
      <c r="D600" t="s">
        <v>22</v>
      </c>
      <c r="E600" s="1">
        <v>4346.96</v>
      </c>
      <c r="F600">
        <v>20131112</v>
      </c>
      <c r="G600" t="s">
        <v>34</v>
      </c>
      <c r="I600" t="s">
        <v>29</v>
      </c>
    </row>
    <row r="601" spans="1:9" x14ac:dyDescent="0.25">
      <c r="A601">
        <v>20131115</v>
      </c>
      <c r="B601" t="str">
        <f>"001117"</f>
        <v>001117</v>
      </c>
      <c r="C601" t="str">
        <f>"73700"</f>
        <v>73700</v>
      </c>
      <c r="D601" t="s">
        <v>55</v>
      </c>
      <c r="E601" s="1">
        <v>750000</v>
      </c>
      <c r="F601">
        <v>20131114</v>
      </c>
      <c r="G601" t="s">
        <v>56</v>
      </c>
      <c r="I601" t="s">
        <v>21</v>
      </c>
    </row>
    <row r="602" spans="1:9" x14ac:dyDescent="0.25">
      <c r="A602">
        <v>20131118</v>
      </c>
      <c r="B602" t="str">
        <f>"001118"</f>
        <v>001118</v>
      </c>
      <c r="C602" t="str">
        <f>"73700"</f>
        <v>73700</v>
      </c>
      <c r="D602" t="s">
        <v>55</v>
      </c>
      <c r="E602" s="1">
        <v>800000</v>
      </c>
      <c r="F602">
        <v>20131115</v>
      </c>
      <c r="G602" t="s">
        <v>56</v>
      </c>
      <c r="I602" t="s">
        <v>21</v>
      </c>
    </row>
    <row r="603" spans="1:9" x14ac:dyDescent="0.25">
      <c r="A603">
        <v>20131015</v>
      </c>
      <c r="B603" t="str">
        <f>"001119"</f>
        <v>001119</v>
      </c>
      <c r="C603" t="str">
        <f>"99998"</f>
        <v>99998</v>
      </c>
      <c r="D603" t="s">
        <v>9</v>
      </c>
      <c r="E603">
        <v>25.5</v>
      </c>
      <c r="F603">
        <v>20131118</v>
      </c>
      <c r="G603" t="s">
        <v>156</v>
      </c>
      <c r="H603" t="s">
        <v>315</v>
      </c>
      <c r="I603" t="s">
        <v>25</v>
      </c>
    </row>
    <row r="604" spans="1:9" x14ac:dyDescent="0.25">
      <c r="A604">
        <v>20131114</v>
      </c>
      <c r="B604" t="str">
        <f t="shared" ref="B604:B615" si="64">"001120"</f>
        <v>001120</v>
      </c>
      <c r="C604" t="str">
        <f>"99998"</f>
        <v>99998</v>
      </c>
      <c r="D604" t="s">
        <v>9</v>
      </c>
      <c r="E604">
        <v>10</v>
      </c>
      <c r="F604">
        <v>20131118</v>
      </c>
      <c r="G604" t="s">
        <v>247</v>
      </c>
      <c r="H604" t="s">
        <v>316</v>
      </c>
      <c r="I604" t="s">
        <v>38</v>
      </c>
    </row>
    <row r="605" spans="1:9" x14ac:dyDescent="0.25">
      <c r="A605">
        <v>20131119</v>
      </c>
      <c r="B605" t="str">
        <f t="shared" si="64"/>
        <v>001120</v>
      </c>
      <c r="C605" t="str">
        <f t="shared" ref="C605:C615" si="65">"79800"</f>
        <v>79800</v>
      </c>
      <c r="D605" t="s">
        <v>13</v>
      </c>
      <c r="E605">
        <v>49.43</v>
      </c>
      <c r="F605">
        <v>20131119</v>
      </c>
      <c r="G605" t="s">
        <v>60</v>
      </c>
      <c r="I605" t="s">
        <v>61</v>
      </c>
    </row>
    <row r="606" spans="1:9" x14ac:dyDescent="0.25">
      <c r="A606">
        <v>20131119</v>
      </c>
      <c r="B606" t="str">
        <f t="shared" si="64"/>
        <v>001120</v>
      </c>
      <c r="C606" t="str">
        <f t="shared" si="65"/>
        <v>79800</v>
      </c>
      <c r="D606" t="s">
        <v>13</v>
      </c>
      <c r="E606">
        <v>13.51</v>
      </c>
      <c r="F606">
        <v>20131119</v>
      </c>
      <c r="G606" t="s">
        <v>62</v>
      </c>
      <c r="I606" t="s">
        <v>63</v>
      </c>
    </row>
    <row r="607" spans="1:9" x14ac:dyDescent="0.25">
      <c r="A607">
        <v>20131119</v>
      </c>
      <c r="B607" t="str">
        <f t="shared" si="64"/>
        <v>001120</v>
      </c>
      <c r="C607" t="str">
        <f t="shared" si="65"/>
        <v>79800</v>
      </c>
      <c r="D607" t="s">
        <v>13</v>
      </c>
      <c r="E607" s="1">
        <v>24188.080000000002</v>
      </c>
      <c r="F607">
        <v>20131119</v>
      </c>
      <c r="G607" t="s">
        <v>64</v>
      </c>
      <c r="I607" t="s">
        <v>21</v>
      </c>
    </row>
    <row r="608" spans="1:9" x14ac:dyDescent="0.25">
      <c r="A608">
        <v>20131119</v>
      </c>
      <c r="B608" t="str">
        <f t="shared" si="64"/>
        <v>001120</v>
      </c>
      <c r="C608" t="str">
        <f t="shared" si="65"/>
        <v>79800</v>
      </c>
      <c r="D608" t="s">
        <v>13</v>
      </c>
      <c r="E608" s="1">
        <v>1163.93</v>
      </c>
      <c r="F608">
        <v>20131119</v>
      </c>
      <c r="G608" t="s">
        <v>65</v>
      </c>
      <c r="I608" t="s">
        <v>66</v>
      </c>
    </row>
    <row r="609" spans="1:9" x14ac:dyDescent="0.25">
      <c r="A609">
        <v>20131119</v>
      </c>
      <c r="B609" t="str">
        <f t="shared" si="64"/>
        <v>001120</v>
      </c>
      <c r="C609" t="str">
        <f t="shared" si="65"/>
        <v>79800</v>
      </c>
      <c r="D609" t="s">
        <v>13</v>
      </c>
      <c r="E609">
        <v>600.02</v>
      </c>
      <c r="F609">
        <v>20131119</v>
      </c>
      <c r="G609" t="s">
        <v>67</v>
      </c>
      <c r="I609" t="s">
        <v>68</v>
      </c>
    </row>
    <row r="610" spans="1:9" x14ac:dyDescent="0.25">
      <c r="A610">
        <v>20131119</v>
      </c>
      <c r="B610" t="str">
        <f t="shared" si="64"/>
        <v>001120</v>
      </c>
      <c r="C610" t="str">
        <f t="shared" si="65"/>
        <v>79800</v>
      </c>
      <c r="D610" t="s">
        <v>13</v>
      </c>
      <c r="E610">
        <v>936.33</v>
      </c>
      <c r="F610">
        <v>20131119</v>
      </c>
      <c r="G610" t="s">
        <v>69</v>
      </c>
      <c r="I610" t="s">
        <v>12</v>
      </c>
    </row>
    <row r="611" spans="1:9" x14ac:dyDescent="0.25">
      <c r="A611">
        <v>20131119</v>
      </c>
      <c r="B611" t="str">
        <f t="shared" si="64"/>
        <v>001120</v>
      </c>
      <c r="C611" t="str">
        <f t="shared" si="65"/>
        <v>79800</v>
      </c>
      <c r="D611" t="s">
        <v>13</v>
      </c>
      <c r="E611">
        <v>80.510000000000005</v>
      </c>
      <c r="F611">
        <v>20131119</v>
      </c>
      <c r="G611" t="s">
        <v>70</v>
      </c>
      <c r="I611" t="s">
        <v>71</v>
      </c>
    </row>
    <row r="612" spans="1:9" x14ac:dyDescent="0.25">
      <c r="A612">
        <v>20131119</v>
      </c>
      <c r="B612" t="str">
        <f t="shared" si="64"/>
        <v>001120</v>
      </c>
      <c r="C612" t="str">
        <f t="shared" si="65"/>
        <v>79800</v>
      </c>
      <c r="D612" t="s">
        <v>13</v>
      </c>
      <c r="E612">
        <v>117.44</v>
      </c>
      <c r="F612">
        <v>20131119</v>
      </c>
      <c r="G612" t="s">
        <v>72</v>
      </c>
      <c r="I612" t="s">
        <v>73</v>
      </c>
    </row>
    <row r="613" spans="1:9" x14ac:dyDescent="0.25">
      <c r="A613">
        <v>20131119</v>
      </c>
      <c r="B613" t="str">
        <f t="shared" si="64"/>
        <v>001120</v>
      </c>
      <c r="C613" t="str">
        <f t="shared" si="65"/>
        <v>79800</v>
      </c>
      <c r="D613" t="s">
        <v>13</v>
      </c>
      <c r="E613">
        <v>12.5</v>
      </c>
      <c r="F613">
        <v>20131119</v>
      </c>
      <c r="G613" t="s">
        <v>74</v>
      </c>
      <c r="I613" t="s">
        <v>75</v>
      </c>
    </row>
    <row r="614" spans="1:9" x14ac:dyDescent="0.25">
      <c r="A614">
        <v>20131119</v>
      </c>
      <c r="B614" t="str">
        <f t="shared" si="64"/>
        <v>001120</v>
      </c>
      <c r="C614" t="str">
        <f t="shared" si="65"/>
        <v>79800</v>
      </c>
      <c r="D614" t="s">
        <v>13</v>
      </c>
      <c r="E614">
        <v>11.88</v>
      </c>
      <c r="F614">
        <v>20131119</v>
      </c>
      <c r="G614" t="s">
        <v>76</v>
      </c>
      <c r="I614" t="s">
        <v>77</v>
      </c>
    </row>
    <row r="615" spans="1:9" x14ac:dyDescent="0.25">
      <c r="A615">
        <v>20131119</v>
      </c>
      <c r="B615" t="str">
        <f t="shared" si="64"/>
        <v>001120</v>
      </c>
      <c r="C615" t="str">
        <f t="shared" si="65"/>
        <v>79800</v>
      </c>
      <c r="D615" t="s">
        <v>13</v>
      </c>
      <c r="E615">
        <v>477.87</v>
      </c>
      <c r="F615">
        <v>20131119</v>
      </c>
      <c r="G615" t="s">
        <v>78</v>
      </c>
      <c r="I615" t="s">
        <v>79</v>
      </c>
    </row>
    <row r="616" spans="1:9" x14ac:dyDescent="0.25">
      <c r="A616">
        <v>20131121</v>
      </c>
      <c r="B616" t="str">
        <f>"001122"</f>
        <v>001122</v>
      </c>
      <c r="C616" t="str">
        <f>"73700"</f>
        <v>73700</v>
      </c>
      <c r="D616" t="s">
        <v>55</v>
      </c>
      <c r="E616" s="1">
        <v>579000</v>
      </c>
      <c r="F616">
        <v>20131120</v>
      </c>
      <c r="G616" t="s">
        <v>57</v>
      </c>
      <c r="I616" t="s">
        <v>58</v>
      </c>
    </row>
    <row r="617" spans="1:9" x14ac:dyDescent="0.25">
      <c r="A617">
        <v>20131122</v>
      </c>
      <c r="B617" t="str">
        <f t="shared" ref="B617:B627" si="66">"001123"</f>
        <v>001123</v>
      </c>
      <c r="C617" t="str">
        <f t="shared" ref="C617:C628" si="67">"55555"</f>
        <v>55555</v>
      </c>
      <c r="D617" t="s">
        <v>52</v>
      </c>
      <c r="E617" s="1">
        <v>5541.15</v>
      </c>
      <c r="F617">
        <v>20131120</v>
      </c>
      <c r="G617" t="s">
        <v>80</v>
      </c>
      <c r="I617" t="s">
        <v>61</v>
      </c>
    </row>
    <row r="618" spans="1:9" x14ac:dyDescent="0.25">
      <c r="A618">
        <v>20131122</v>
      </c>
      <c r="B618" t="str">
        <f t="shared" si="66"/>
        <v>001123</v>
      </c>
      <c r="C618" t="str">
        <f t="shared" si="67"/>
        <v>55555</v>
      </c>
      <c r="D618" t="s">
        <v>52</v>
      </c>
      <c r="E618" s="1">
        <v>1476.99</v>
      </c>
      <c r="F618">
        <v>20131120</v>
      </c>
      <c r="G618" t="s">
        <v>81</v>
      </c>
      <c r="I618" t="s">
        <v>63</v>
      </c>
    </row>
    <row r="619" spans="1:9" x14ac:dyDescent="0.25">
      <c r="A619">
        <v>20131122</v>
      </c>
      <c r="B619" t="str">
        <f t="shared" si="66"/>
        <v>001123</v>
      </c>
      <c r="C619" t="str">
        <f t="shared" si="67"/>
        <v>55555</v>
      </c>
      <c r="D619" t="s">
        <v>52</v>
      </c>
      <c r="E619" s="1">
        <v>1529112.62</v>
      </c>
      <c r="F619">
        <v>20131120</v>
      </c>
      <c r="G619" t="s">
        <v>53</v>
      </c>
      <c r="I619" t="s">
        <v>21</v>
      </c>
    </row>
    <row r="620" spans="1:9" x14ac:dyDescent="0.25">
      <c r="A620">
        <v>20131122</v>
      </c>
      <c r="B620" t="str">
        <f t="shared" si="66"/>
        <v>001123</v>
      </c>
      <c r="C620" t="str">
        <f t="shared" si="67"/>
        <v>55555</v>
      </c>
      <c r="D620" t="s">
        <v>52</v>
      </c>
      <c r="E620" s="1">
        <v>124391.31</v>
      </c>
      <c r="F620">
        <v>20131120</v>
      </c>
      <c r="G620" t="s">
        <v>82</v>
      </c>
      <c r="I620" t="s">
        <v>66</v>
      </c>
    </row>
    <row r="621" spans="1:9" x14ac:dyDescent="0.25">
      <c r="A621">
        <v>20131122</v>
      </c>
      <c r="B621" t="str">
        <f t="shared" si="66"/>
        <v>001123</v>
      </c>
      <c r="C621" t="str">
        <f t="shared" si="67"/>
        <v>55555</v>
      </c>
      <c r="D621" t="s">
        <v>52</v>
      </c>
      <c r="E621" s="1">
        <v>79804.88</v>
      </c>
      <c r="F621">
        <v>20131120</v>
      </c>
      <c r="G621" t="s">
        <v>83</v>
      </c>
      <c r="I621" t="s">
        <v>68</v>
      </c>
    </row>
    <row r="622" spans="1:9" x14ac:dyDescent="0.25">
      <c r="A622">
        <v>20131122</v>
      </c>
      <c r="B622" t="str">
        <f t="shared" si="66"/>
        <v>001123</v>
      </c>
      <c r="C622" t="str">
        <f t="shared" si="67"/>
        <v>55555</v>
      </c>
      <c r="D622" t="s">
        <v>52</v>
      </c>
      <c r="E622" s="1">
        <v>103833.57</v>
      </c>
      <c r="F622">
        <v>20131120</v>
      </c>
      <c r="G622" t="s">
        <v>84</v>
      </c>
      <c r="I622" t="s">
        <v>12</v>
      </c>
    </row>
    <row r="623" spans="1:9" x14ac:dyDescent="0.25">
      <c r="A623">
        <v>20131122</v>
      </c>
      <c r="B623" t="str">
        <f t="shared" si="66"/>
        <v>001123</v>
      </c>
      <c r="C623" t="str">
        <f t="shared" si="67"/>
        <v>55555</v>
      </c>
      <c r="D623" t="s">
        <v>52</v>
      </c>
      <c r="E623" s="1">
        <v>8747.98</v>
      </c>
      <c r="F623">
        <v>20131120</v>
      </c>
      <c r="G623" t="s">
        <v>85</v>
      </c>
      <c r="I623" t="s">
        <v>71</v>
      </c>
    </row>
    <row r="624" spans="1:9" x14ac:dyDescent="0.25">
      <c r="A624">
        <v>20131122</v>
      </c>
      <c r="B624" t="str">
        <f t="shared" si="66"/>
        <v>001123</v>
      </c>
      <c r="C624" t="str">
        <f t="shared" si="67"/>
        <v>55555</v>
      </c>
      <c r="D624" t="s">
        <v>52</v>
      </c>
      <c r="E624" s="1">
        <v>13192.49</v>
      </c>
      <c r="F624">
        <v>20131120</v>
      </c>
      <c r="G624" t="s">
        <v>86</v>
      </c>
      <c r="I624" t="s">
        <v>73</v>
      </c>
    </row>
    <row r="625" spans="1:9" x14ac:dyDescent="0.25">
      <c r="A625">
        <v>20131122</v>
      </c>
      <c r="B625" t="str">
        <f t="shared" si="66"/>
        <v>001123</v>
      </c>
      <c r="C625" t="str">
        <f t="shared" si="67"/>
        <v>55555</v>
      </c>
      <c r="D625" t="s">
        <v>52</v>
      </c>
      <c r="E625" s="1">
        <v>1728.77</v>
      </c>
      <c r="F625">
        <v>20131120</v>
      </c>
      <c r="G625" t="s">
        <v>87</v>
      </c>
      <c r="I625" t="s">
        <v>75</v>
      </c>
    </row>
    <row r="626" spans="1:9" x14ac:dyDescent="0.25">
      <c r="A626">
        <v>20131122</v>
      </c>
      <c r="B626" t="str">
        <f t="shared" si="66"/>
        <v>001123</v>
      </c>
      <c r="C626" t="str">
        <f t="shared" si="67"/>
        <v>55555</v>
      </c>
      <c r="D626" t="s">
        <v>52</v>
      </c>
      <c r="E626" s="1">
        <v>1372.51</v>
      </c>
      <c r="F626">
        <v>20131120</v>
      </c>
      <c r="G626" t="s">
        <v>88</v>
      </c>
      <c r="I626" t="s">
        <v>77</v>
      </c>
    </row>
    <row r="627" spans="1:9" x14ac:dyDescent="0.25">
      <c r="A627">
        <v>20131122</v>
      </c>
      <c r="B627" t="str">
        <f t="shared" si="66"/>
        <v>001123</v>
      </c>
      <c r="C627" t="str">
        <f t="shared" si="67"/>
        <v>55555</v>
      </c>
      <c r="D627" t="s">
        <v>52</v>
      </c>
      <c r="E627" s="1">
        <v>46935.4</v>
      </c>
      <c r="F627">
        <v>20131120</v>
      </c>
      <c r="G627" t="s">
        <v>89</v>
      </c>
      <c r="I627" t="s">
        <v>79</v>
      </c>
    </row>
    <row r="628" spans="1:9" x14ac:dyDescent="0.25">
      <c r="A628">
        <v>20131125</v>
      </c>
      <c r="B628" t="str">
        <f>"001124"</f>
        <v>001124</v>
      </c>
      <c r="C628" t="str">
        <f t="shared" si="67"/>
        <v>55555</v>
      </c>
      <c r="D628" t="s">
        <v>52</v>
      </c>
      <c r="E628" s="1">
        <v>750000</v>
      </c>
      <c r="F628">
        <v>20131120</v>
      </c>
      <c r="G628" t="s">
        <v>53</v>
      </c>
      <c r="I628" t="s">
        <v>21</v>
      </c>
    </row>
    <row r="629" spans="1:9" x14ac:dyDescent="0.25">
      <c r="A629">
        <v>20131125</v>
      </c>
      <c r="B629" t="str">
        <f>"001125"</f>
        <v>001125</v>
      </c>
      <c r="C629" t="str">
        <f>"73700"</f>
        <v>73700</v>
      </c>
      <c r="D629" t="s">
        <v>55</v>
      </c>
      <c r="E629" s="1">
        <v>372070</v>
      </c>
      <c r="F629">
        <v>20131122</v>
      </c>
      <c r="G629" t="s">
        <v>59</v>
      </c>
      <c r="I629" t="s">
        <v>12</v>
      </c>
    </row>
    <row r="630" spans="1:9" x14ac:dyDescent="0.25">
      <c r="A630">
        <v>20131125</v>
      </c>
      <c r="B630" t="str">
        <f>"001126"</f>
        <v>001126</v>
      </c>
      <c r="C630" t="str">
        <f>"73700"</f>
        <v>73700</v>
      </c>
      <c r="D630" t="s">
        <v>55</v>
      </c>
      <c r="E630" s="1">
        <v>1625000</v>
      </c>
      <c r="F630">
        <v>20131122</v>
      </c>
      <c r="G630" t="s">
        <v>56</v>
      </c>
      <c r="I630" t="s">
        <v>21</v>
      </c>
    </row>
    <row r="631" spans="1:9" x14ac:dyDescent="0.25">
      <c r="A631">
        <v>20131122</v>
      </c>
      <c r="B631" t="str">
        <f>"001128"</f>
        <v>001128</v>
      </c>
      <c r="C631" t="str">
        <f>"00362"</f>
        <v>00362</v>
      </c>
      <c r="D631" t="s">
        <v>22</v>
      </c>
      <c r="E631">
        <v>390</v>
      </c>
      <c r="F631">
        <v>20131122</v>
      </c>
      <c r="G631" t="s">
        <v>122</v>
      </c>
      <c r="H631" t="s">
        <v>42</v>
      </c>
      <c r="I631" t="s">
        <v>25</v>
      </c>
    </row>
    <row r="632" spans="1:9" x14ac:dyDescent="0.25">
      <c r="A632">
        <v>20131122</v>
      </c>
      <c r="B632" t="str">
        <f>"001130"</f>
        <v>001130</v>
      </c>
      <c r="C632" t="str">
        <f>"83327"</f>
        <v>83327</v>
      </c>
      <c r="D632" t="s">
        <v>18</v>
      </c>
      <c r="E632" s="1">
        <v>323862.25</v>
      </c>
      <c r="F632">
        <v>20131121</v>
      </c>
      <c r="G632" t="s">
        <v>19</v>
      </c>
      <c r="H632" t="s">
        <v>317</v>
      </c>
      <c r="I632" t="s">
        <v>21</v>
      </c>
    </row>
    <row r="633" spans="1:9" x14ac:dyDescent="0.25">
      <c r="A633">
        <v>20131121</v>
      </c>
      <c r="B633" t="str">
        <f>"001131"</f>
        <v>001131</v>
      </c>
      <c r="C633" t="str">
        <f>"55555"</f>
        <v>55555</v>
      </c>
      <c r="D633" t="s">
        <v>52</v>
      </c>
      <c r="E633">
        <v>64.59</v>
      </c>
      <c r="F633">
        <v>20131121</v>
      </c>
      <c r="G633" t="s">
        <v>53</v>
      </c>
      <c r="I633" t="s">
        <v>21</v>
      </c>
    </row>
    <row r="634" spans="1:9" x14ac:dyDescent="0.25">
      <c r="A634">
        <v>20131122</v>
      </c>
      <c r="B634" t="str">
        <f>"001132"</f>
        <v>001132</v>
      </c>
      <c r="C634" t="str">
        <f>"00362"</f>
        <v>00362</v>
      </c>
      <c r="D634" t="s">
        <v>22</v>
      </c>
      <c r="E634">
        <v>50</v>
      </c>
      <c r="F634">
        <v>20131122</v>
      </c>
      <c r="G634" t="s">
        <v>194</v>
      </c>
      <c r="H634" t="s">
        <v>318</v>
      </c>
      <c r="I634" t="s">
        <v>25</v>
      </c>
    </row>
    <row r="635" spans="1:9" x14ac:dyDescent="0.25">
      <c r="A635">
        <v>20131119</v>
      </c>
      <c r="B635" t="str">
        <f>"001133"</f>
        <v>001133</v>
      </c>
      <c r="C635" t="str">
        <f>"99998"</f>
        <v>99998</v>
      </c>
      <c r="D635" t="s">
        <v>9</v>
      </c>
      <c r="E635">
        <v>10</v>
      </c>
      <c r="F635">
        <v>20131122</v>
      </c>
      <c r="G635" t="s">
        <v>156</v>
      </c>
      <c r="H635" t="s">
        <v>204</v>
      </c>
      <c r="I635" t="s">
        <v>25</v>
      </c>
    </row>
    <row r="636" spans="1:9" x14ac:dyDescent="0.25">
      <c r="A636">
        <v>20131031</v>
      </c>
      <c r="B636" t="str">
        <f>"001134"</f>
        <v>001134</v>
      </c>
      <c r="C636" t="str">
        <f>"00362"</f>
        <v>00362</v>
      </c>
      <c r="D636" t="s">
        <v>22</v>
      </c>
      <c r="E636" s="1">
        <v>60000</v>
      </c>
      <c r="F636">
        <v>20131101</v>
      </c>
      <c r="G636" t="s">
        <v>319</v>
      </c>
      <c r="H636" t="s">
        <v>320</v>
      </c>
      <c r="I636" t="s">
        <v>38</v>
      </c>
    </row>
    <row r="637" spans="1:9" x14ac:dyDescent="0.25">
      <c r="A637">
        <v>20131108</v>
      </c>
      <c r="B637" t="str">
        <f>"001134"</f>
        <v>001134</v>
      </c>
      <c r="C637" t="str">
        <f>"00362"</f>
        <v>00362</v>
      </c>
      <c r="D637" t="s">
        <v>22</v>
      </c>
      <c r="E637" s="1">
        <v>60000</v>
      </c>
      <c r="F637">
        <v>20131111</v>
      </c>
      <c r="G637" t="s">
        <v>321</v>
      </c>
      <c r="H637" t="s">
        <v>322</v>
      </c>
      <c r="I637" t="s">
        <v>21</v>
      </c>
    </row>
    <row r="638" spans="1:9" x14ac:dyDescent="0.25">
      <c r="A638">
        <v>20131129</v>
      </c>
      <c r="B638" t="str">
        <f>"001140"</f>
        <v>001140</v>
      </c>
      <c r="C638" t="str">
        <f>"83309"</f>
        <v>83309</v>
      </c>
      <c r="D638" t="s">
        <v>98</v>
      </c>
      <c r="E638">
        <v>6</v>
      </c>
      <c r="F638">
        <v>20131202</v>
      </c>
      <c r="G638" t="s">
        <v>99</v>
      </c>
      <c r="H638" t="s">
        <v>100</v>
      </c>
      <c r="I638" t="s">
        <v>21</v>
      </c>
    </row>
    <row r="639" spans="1:9" x14ac:dyDescent="0.25">
      <c r="A639">
        <v>20131122</v>
      </c>
      <c r="B639" t="str">
        <f t="shared" ref="B639:B645" si="68">"001199"</f>
        <v>001199</v>
      </c>
      <c r="C639" t="str">
        <f t="shared" ref="C639:C645" si="69">"55555"</f>
        <v>55555</v>
      </c>
      <c r="D639" t="s">
        <v>52</v>
      </c>
      <c r="E639" s="1">
        <v>27499.53</v>
      </c>
      <c r="F639">
        <v>20131202</v>
      </c>
      <c r="G639" t="s">
        <v>53</v>
      </c>
      <c r="I639" t="s">
        <v>21</v>
      </c>
    </row>
    <row r="640" spans="1:9" x14ac:dyDescent="0.25">
      <c r="A640">
        <v>20131122</v>
      </c>
      <c r="B640" t="str">
        <f t="shared" si="68"/>
        <v>001199</v>
      </c>
      <c r="C640" t="str">
        <f t="shared" si="69"/>
        <v>55555</v>
      </c>
      <c r="D640" t="s">
        <v>52</v>
      </c>
      <c r="E640">
        <v>180.22</v>
      </c>
      <c r="F640">
        <v>20131202</v>
      </c>
      <c r="G640" t="s">
        <v>82</v>
      </c>
      <c r="I640" t="s">
        <v>66</v>
      </c>
    </row>
    <row r="641" spans="1:9" x14ac:dyDescent="0.25">
      <c r="A641">
        <v>20131122</v>
      </c>
      <c r="B641" t="str">
        <f t="shared" si="68"/>
        <v>001199</v>
      </c>
      <c r="C641" t="str">
        <f t="shared" si="69"/>
        <v>55555</v>
      </c>
      <c r="D641" t="s">
        <v>52</v>
      </c>
      <c r="E641">
        <v>76.88</v>
      </c>
      <c r="F641">
        <v>20131202</v>
      </c>
      <c r="G641" t="s">
        <v>83</v>
      </c>
      <c r="I641" t="s">
        <v>68</v>
      </c>
    </row>
    <row r="642" spans="1:9" x14ac:dyDescent="0.25">
      <c r="A642">
        <v>20131122</v>
      </c>
      <c r="B642" t="str">
        <f t="shared" si="68"/>
        <v>001199</v>
      </c>
      <c r="C642" t="str">
        <f t="shared" si="69"/>
        <v>55555</v>
      </c>
      <c r="D642" t="s">
        <v>52</v>
      </c>
      <c r="E642">
        <v>49.34</v>
      </c>
      <c r="F642">
        <v>20131202</v>
      </c>
      <c r="G642" t="s">
        <v>85</v>
      </c>
      <c r="I642" t="s">
        <v>71</v>
      </c>
    </row>
    <row r="643" spans="1:9" x14ac:dyDescent="0.25">
      <c r="A643">
        <v>20131122</v>
      </c>
      <c r="B643" t="str">
        <f t="shared" si="68"/>
        <v>001199</v>
      </c>
      <c r="C643" t="str">
        <f t="shared" si="69"/>
        <v>55555</v>
      </c>
      <c r="D643" t="s">
        <v>52</v>
      </c>
      <c r="E643">
        <v>11.05</v>
      </c>
      <c r="F643">
        <v>20131202</v>
      </c>
      <c r="G643" t="s">
        <v>86</v>
      </c>
      <c r="I643" t="s">
        <v>73</v>
      </c>
    </row>
    <row r="644" spans="1:9" x14ac:dyDescent="0.25">
      <c r="A644">
        <v>20131122</v>
      </c>
      <c r="B644" t="str">
        <f t="shared" si="68"/>
        <v>001199</v>
      </c>
      <c r="C644" t="str">
        <f t="shared" si="69"/>
        <v>55555</v>
      </c>
      <c r="D644" t="s">
        <v>52</v>
      </c>
      <c r="E644">
        <v>26.66</v>
      </c>
      <c r="F644">
        <v>20131202</v>
      </c>
      <c r="G644" t="s">
        <v>87</v>
      </c>
      <c r="I644" t="s">
        <v>75</v>
      </c>
    </row>
    <row r="645" spans="1:9" x14ac:dyDescent="0.25">
      <c r="A645">
        <v>20131122</v>
      </c>
      <c r="B645" t="str">
        <f t="shared" si="68"/>
        <v>001199</v>
      </c>
      <c r="C645" t="str">
        <f t="shared" si="69"/>
        <v>55555</v>
      </c>
      <c r="D645" t="s">
        <v>52</v>
      </c>
      <c r="E645">
        <v>427.02</v>
      </c>
      <c r="F645">
        <v>20131202</v>
      </c>
      <c r="G645" t="s">
        <v>89</v>
      </c>
      <c r="I645" t="s">
        <v>79</v>
      </c>
    </row>
    <row r="646" spans="1:9" x14ac:dyDescent="0.25">
      <c r="A646">
        <v>20131203</v>
      </c>
      <c r="B646" t="str">
        <f>"001201"</f>
        <v>001201</v>
      </c>
      <c r="C646" t="str">
        <f>"73700"</f>
        <v>73700</v>
      </c>
      <c r="D646" t="s">
        <v>55</v>
      </c>
      <c r="E646" s="1">
        <v>1173538</v>
      </c>
      <c r="F646">
        <v>20131210</v>
      </c>
      <c r="G646" t="s">
        <v>57</v>
      </c>
      <c r="I646" t="s">
        <v>58</v>
      </c>
    </row>
    <row r="647" spans="1:9" x14ac:dyDescent="0.25">
      <c r="A647">
        <v>20131210</v>
      </c>
      <c r="B647" t="str">
        <f>"001202"</f>
        <v>001202</v>
      </c>
      <c r="C647" t="str">
        <f>"00362"</f>
        <v>00362</v>
      </c>
      <c r="D647" t="s">
        <v>22</v>
      </c>
      <c r="E647">
        <v>294.83</v>
      </c>
      <c r="F647">
        <v>20131210</v>
      </c>
      <c r="G647" t="s">
        <v>323</v>
      </c>
      <c r="H647" t="s">
        <v>324</v>
      </c>
      <c r="I647" t="s">
        <v>21</v>
      </c>
    </row>
    <row r="648" spans="1:9" x14ac:dyDescent="0.25">
      <c r="A648">
        <v>20131210</v>
      </c>
      <c r="B648" t="str">
        <f>"001202"</f>
        <v>001202</v>
      </c>
      <c r="C648" t="str">
        <f>"00362"</f>
        <v>00362</v>
      </c>
      <c r="D648" t="s">
        <v>22</v>
      </c>
      <c r="E648">
        <v>80.13</v>
      </c>
      <c r="F648">
        <v>20131210</v>
      </c>
      <c r="G648" t="s">
        <v>323</v>
      </c>
      <c r="H648" t="s">
        <v>324</v>
      </c>
      <c r="I648" t="s">
        <v>21</v>
      </c>
    </row>
    <row r="649" spans="1:9" x14ac:dyDescent="0.25">
      <c r="A649">
        <v>20131211</v>
      </c>
      <c r="B649" t="str">
        <f>"001203"</f>
        <v>001203</v>
      </c>
      <c r="C649" t="str">
        <f>"73700"</f>
        <v>73700</v>
      </c>
      <c r="D649" t="s">
        <v>55</v>
      </c>
      <c r="E649" s="1">
        <v>275000</v>
      </c>
      <c r="F649">
        <v>20131210</v>
      </c>
      <c r="G649" t="s">
        <v>56</v>
      </c>
      <c r="I649" t="s">
        <v>21</v>
      </c>
    </row>
    <row r="650" spans="1:9" x14ac:dyDescent="0.25">
      <c r="A650">
        <v>20131204</v>
      </c>
      <c r="B650" t="str">
        <f>"001204"</f>
        <v>001204</v>
      </c>
      <c r="C650" t="str">
        <f>"73700"</f>
        <v>73700</v>
      </c>
      <c r="D650" t="s">
        <v>55</v>
      </c>
      <c r="E650" s="1">
        <v>575000</v>
      </c>
      <c r="F650">
        <v>20131210</v>
      </c>
      <c r="G650" t="s">
        <v>56</v>
      </c>
      <c r="I650" t="s">
        <v>21</v>
      </c>
    </row>
    <row r="651" spans="1:9" x14ac:dyDescent="0.25">
      <c r="A651">
        <v>20131210</v>
      </c>
      <c r="B651" t="str">
        <f>"001205"</f>
        <v>001205</v>
      </c>
      <c r="C651" t="str">
        <f>"55555"</f>
        <v>55555</v>
      </c>
      <c r="D651" t="s">
        <v>52</v>
      </c>
      <c r="E651" s="1">
        <v>295917.15999999997</v>
      </c>
      <c r="F651">
        <v>20131210</v>
      </c>
      <c r="G651" t="s">
        <v>53</v>
      </c>
      <c r="H651" t="s">
        <v>325</v>
      </c>
      <c r="I651" t="s">
        <v>21</v>
      </c>
    </row>
    <row r="652" spans="1:9" x14ac:dyDescent="0.25">
      <c r="A652">
        <v>20131217</v>
      </c>
      <c r="B652" t="str">
        <f t="shared" ref="B652:B663" si="70">"001207"</f>
        <v>001207</v>
      </c>
      <c r="C652" t="str">
        <f t="shared" ref="C652:C663" si="71">"79801"</f>
        <v>79801</v>
      </c>
      <c r="D652" t="s">
        <v>17</v>
      </c>
      <c r="E652">
        <v>14.81</v>
      </c>
      <c r="F652">
        <v>20131218</v>
      </c>
      <c r="G652" t="s">
        <v>60</v>
      </c>
      <c r="I652" t="s">
        <v>61</v>
      </c>
    </row>
    <row r="653" spans="1:9" x14ac:dyDescent="0.25">
      <c r="A653">
        <v>20131217</v>
      </c>
      <c r="B653" t="str">
        <f t="shared" si="70"/>
        <v>001207</v>
      </c>
      <c r="C653" t="str">
        <f t="shared" si="71"/>
        <v>79801</v>
      </c>
      <c r="D653" t="s">
        <v>17</v>
      </c>
      <c r="E653">
        <v>41.65</v>
      </c>
      <c r="F653">
        <v>20131218</v>
      </c>
      <c r="G653" t="s">
        <v>62</v>
      </c>
      <c r="I653" t="s">
        <v>63</v>
      </c>
    </row>
    <row r="654" spans="1:9" x14ac:dyDescent="0.25">
      <c r="A654">
        <v>20131217</v>
      </c>
      <c r="B654" t="str">
        <f t="shared" si="70"/>
        <v>001207</v>
      </c>
      <c r="C654" t="str">
        <f t="shared" si="71"/>
        <v>79801</v>
      </c>
      <c r="D654" t="s">
        <v>17</v>
      </c>
      <c r="E654">
        <v>2.61</v>
      </c>
      <c r="F654">
        <v>20131218</v>
      </c>
      <c r="G654" t="s">
        <v>130</v>
      </c>
      <c r="I654" t="s">
        <v>131</v>
      </c>
    </row>
    <row r="655" spans="1:9" x14ac:dyDescent="0.25">
      <c r="A655">
        <v>20131217</v>
      </c>
      <c r="B655" t="str">
        <f t="shared" si="70"/>
        <v>001207</v>
      </c>
      <c r="C655" t="str">
        <f t="shared" si="71"/>
        <v>79801</v>
      </c>
      <c r="D655" t="s">
        <v>17</v>
      </c>
      <c r="E655" s="1">
        <v>23801.14</v>
      </c>
      <c r="F655">
        <v>20131218</v>
      </c>
      <c r="G655" t="s">
        <v>64</v>
      </c>
      <c r="I655" t="s">
        <v>21</v>
      </c>
    </row>
    <row r="656" spans="1:9" x14ac:dyDescent="0.25">
      <c r="A656">
        <v>20131217</v>
      </c>
      <c r="B656" t="str">
        <f t="shared" si="70"/>
        <v>001207</v>
      </c>
      <c r="C656" t="str">
        <f t="shared" si="71"/>
        <v>79801</v>
      </c>
      <c r="D656" t="s">
        <v>17</v>
      </c>
      <c r="E656" s="1">
        <v>1163.93</v>
      </c>
      <c r="F656">
        <v>20131218</v>
      </c>
      <c r="G656" t="s">
        <v>65</v>
      </c>
      <c r="I656" t="s">
        <v>66</v>
      </c>
    </row>
    <row r="657" spans="1:9" x14ac:dyDescent="0.25">
      <c r="A657">
        <v>20131217</v>
      </c>
      <c r="B657" t="str">
        <f t="shared" si="70"/>
        <v>001207</v>
      </c>
      <c r="C657" t="str">
        <f t="shared" si="71"/>
        <v>79801</v>
      </c>
      <c r="D657" t="s">
        <v>17</v>
      </c>
      <c r="E657">
        <v>562.57000000000005</v>
      </c>
      <c r="F657">
        <v>20131218</v>
      </c>
      <c r="G657" t="s">
        <v>67</v>
      </c>
      <c r="I657" t="s">
        <v>68</v>
      </c>
    </row>
    <row r="658" spans="1:9" x14ac:dyDescent="0.25">
      <c r="A658">
        <v>20131217</v>
      </c>
      <c r="B658" t="str">
        <f t="shared" si="70"/>
        <v>001207</v>
      </c>
      <c r="C658" t="str">
        <f t="shared" si="71"/>
        <v>79801</v>
      </c>
      <c r="D658" t="s">
        <v>17</v>
      </c>
      <c r="E658">
        <v>920.51</v>
      </c>
      <c r="F658">
        <v>20131218</v>
      </c>
      <c r="G658" t="s">
        <v>69</v>
      </c>
      <c r="I658" t="s">
        <v>12</v>
      </c>
    </row>
    <row r="659" spans="1:9" x14ac:dyDescent="0.25">
      <c r="A659">
        <v>20131217</v>
      </c>
      <c r="B659" t="str">
        <f t="shared" si="70"/>
        <v>001207</v>
      </c>
      <c r="C659" t="str">
        <f t="shared" si="71"/>
        <v>79801</v>
      </c>
      <c r="D659" t="s">
        <v>17</v>
      </c>
      <c r="E659">
        <v>80.510000000000005</v>
      </c>
      <c r="F659">
        <v>20131218</v>
      </c>
      <c r="G659" t="s">
        <v>70</v>
      </c>
      <c r="I659" t="s">
        <v>71</v>
      </c>
    </row>
    <row r="660" spans="1:9" x14ac:dyDescent="0.25">
      <c r="A660">
        <v>20131217</v>
      </c>
      <c r="B660" t="str">
        <f t="shared" si="70"/>
        <v>001207</v>
      </c>
      <c r="C660" t="str">
        <f t="shared" si="71"/>
        <v>79801</v>
      </c>
      <c r="D660" t="s">
        <v>17</v>
      </c>
      <c r="E660">
        <v>119.55</v>
      </c>
      <c r="F660">
        <v>20131218</v>
      </c>
      <c r="G660" t="s">
        <v>72</v>
      </c>
      <c r="I660" t="s">
        <v>73</v>
      </c>
    </row>
    <row r="661" spans="1:9" x14ac:dyDescent="0.25">
      <c r="A661">
        <v>20131217</v>
      </c>
      <c r="B661" t="str">
        <f t="shared" si="70"/>
        <v>001207</v>
      </c>
      <c r="C661" t="str">
        <f t="shared" si="71"/>
        <v>79801</v>
      </c>
      <c r="D661" t="s">
        <v>17</v>
      </c>
      <c r="E661">
        <v>12.5</v>
      </c>
      <c r="F661">
        <v>20131218</v>
      </c>
      <c r="G661" t="s">
        <v>74</v>
      </c>
      <c r="I661" t="s">
        <v>75</v>
      </c>
    </row>
    <row r="662" spans="1:9" x14ac:dyDescent="0.25">
      <c r="A662">
        <v>20131217</v>
      </c>
      <c r="B662" t="str">
        <f t="shared" si="70"/>
        <v>001207</v>
      </c>
      <c r="C662" t="str">
        <f t="shared" si="71"/>
        <v>79801</v>
      </c>
      <c r="D662" t="s">
        <v>17</v>
      </c>
      <c r="E662">
        <v>11.88</v>
      </c>
      <c r="F662">
        <v>20131218</v>
      </c>
      <c r="G662" t="s">
        <v>76</v>
      </c>
      <c r="I662" t="s">
        <v>77</v>
      </c>
    </row>
    <row r="663" spans="1:9" x14ac:dyDescent="0.25">
      <c r="A663">
        <v>20131217</v>
      </c>
      <c r="B663" t="str">
        <f t="shared" si="70"/>
        <v>001207</v>
      </c>
      <c r="C663" t="str">
        <f t="shared" si="71"/>
        <v>79801</v>
      </c>
      <c r="D663" t="s">
        <v>17</v>
      </c>
      <c r="E663">
        <v>480.32</v>
      </c>
      <c r="F663">
        <v>20131218</v>
      </c>
      <c r="G663" t="s">
        <v>78</v>
      </c>
      <c r="I663" t="s">
        <v>79</v>
      </c>
    </row>
    <row r="664" spans="1:9" x14ac:dyDescent="0.25">
      <c r="A664">
        <v>20131218</v>
      </c>
      <c r="B664" t="str">
        <f>"001208"</f>
        <v>001208</v>
      </c>
      <c r="C664" t="str">
        <f>"83327"</f>
        <v>83327</v>
      </c>
      <c r="D664" t="s">
        <v>18</v>
      </c>
      <c r="E664" s="1">
        <v>195145.58</v>
      </c>
      <c r="F664">
        <v>20131218</v>
      </c>
      <c r="G664" t="s">
        <v>19</v>
      </c>
      <c r="H664" t="s">
        <v>326</v>
      </c>
      <c r="I664" t="s">
        <v>21</v>
      </c>
    </row>
    <row r="665" spans="1:9" x14ac:dyDescent="0.25">
      <c r="A665">
        <v>20131220</v>
      </c>
      <c r="B665" t="str">
        <f t="shared" ref="B665:B676" si="72">"001209"</f>
        <v>001209</v>
      </c>
      <c r="C665" t="str">
        <f t="shared" ref="C665:C677" si="73">"55555"</f>
        <v>55555</v>
      </c>
      <c r="D665" t="s">
        <v>52</v>
      </c>
      <c r="E665" s="1">
        <v>1644.36</v>
      </c>
      <c r="F665">
        <v>20131218</v>
      </c>
      <c r="G665" t="s">
        <v>80</v>
      </c>
      <c r="I665" t="s">
        <v>61</v>
      </c>
    </row>
    <row r="666" spans="1:9" x14ac:dyDescent="0.25">
      <c r="A666">
        <v>20131220</v>
      </c>
      <c r="B666" t="str">
        <f t="shared" si="72"/>
        <v>001209</v>
      </c>
      <c r="C666" t="str">
        <f t="shared" si="73"/>
        <v>55555</v>
      </c>
      <c r="D666" t="s">
        <v>52</v>
      </c>
      <c r="E666" s="1">
        <v>4567.3100000000004</v>
      </c>
      <c r="F666">
        <v>20131218</v>
      </c>
      <c r="G666" t="s">
        <v>81</v>
      </c>
      <c r="I666" t="s">
        <v>63</v>
      </c>
    </row>
    <row r="667" spans="1:9" x14ac:dyDescent="0.25">
      <c r="A667">
        <v>20131220</v>
      </c>
      <c r="B667" t="str">
        <f t="shared" si="72"/>
        <v>001209</v>
      </c>
      <c r="C667" t="str">
        <f t="shared" si="73"/>
        <v>55555</v>
      </c>
      <c r="D667" t="s">
        <v>52</v>
      </c>
      <c r="E667">
        <v>279.02</v>
      </c>
      <c r="F667">
        <v>20131218</v>
      </c>
      <c r="G667" t="s">
        <v>134</v>
      </c>
      <c r="I667" t="s">
        <v>131</v>
      </c>
    </row>
    <row r="668" spans="1:9" x14ac:dyDescent="0.25">
      <c r="A668">
        <v>20131220</v>
      </c>
      <c r="B668" t="str">
        <f t="shared" si="72"/>
        <v>001209</v>
      </c>
      <c r="C668" t="str">
        <f t="shared" si="73"/>
        <v>55555</v>
      </c>
      <c r="D668" t="s">
        <v>52</v>
      </c>
      <c r="E668" s="1">
        <v>1512331.98</v>
      </c>
      <c r="F668">
        <v>20131218</v>
      </c>
      <c r="G668" t="s">
        <v>53</v>
      </c>
      <c r="I668" t="s">
        <v>21</v>
      </c>
    </row>
    <row r="669" spans="1:9" x14ac:dyDescent="0.25">
      <c r="A669">
        <v>20131220</v>
      </c>
      <c r="B669" t="str">
        <f t="shared" si="72"/>
        <v>001209</v>
      </c>
      <c r="C669" t="str">
        <f t="shared" si="73"/>
        <v>55555</v>
      </c>
      <c r="D669" t="s">
        <v>52</v>
      </c>
      <c r="E669" s="1">
        <v>124631.79</v>
      </c>
      <c r="F669">
        <v>20131218</v>
      </c>
      <c r="G669" t="s">
        <v>82</v>
      </c>
      <c r="I669" t="s">
        <v>66</v>
      </c>
    </row>
    <row r="670" spans="1:9" x14ac:dyDescent="0.25">
      <c r="A670">
        <v>20131220</v>
      </c>
      <c r="B670" t="str">
        <f t="shared" si="72"/>
        <v>001209</v>
      </c>
      <c r="C670" t="str">
        <f t="shared" si="73"/>
        <v>55555</v>
      </c>
      <c r="D670" t="s">
        <v>52</v>
      </c>
      <c r="E670" s="1">
        <v>75596.11</v>
      </c>
      <c r="F670">
        <v>20131218</v>
      </c>
      <c r="G670" t="s">
        <v>83</v>
      </c>
      <c r="I670" t="s">
        <v>68</v>
      </c>
    </row>
    <row r="671" spans="1:9" x14ac:dyDescent="0.25">
      <c r="A671">
        <v>20131220</v>
      </c>
      <c r="B671" t="str">
        <f t="shared" si="72"/>
        <v>001209</v>
      </c>
      <c r="C671" t="str">
        <f t="shared" si="73"/>
        <v>55555</v>
      </c>
      <c r="D671" t="s">
        <v>52</v>
      </c>
      <c r="E671" s="1">
        <v>102021.95</v>
      </c>
      <c r="F671">
        <v>20131218</v>
      </c>
      <c r="G671" t="s">
        <v>84</v>
      </c>
      <c r="I671" t="s">
        <v>12</v>
      </c>
    </row>
    <row r="672" spans="1:9" x14ac:dyDescent="0.25">
      <c r="A672">
        <v>20131220</v>
      </c>
      <c r="B672" t="str">
        <f t="shared" si="72"/>
        <v>001209</v>
      </c>
      <c r="C672" t="str">
        <f t="shared" si="73"/>
        <v>55555</v>
      </c>
      <c r="D672" t="s">
        <v>52</v>
      </c>
      <c r="E672" s="1">
        <v>8747.98</v>
      </c>
      <c r="F672">
        <v>20131218</v>
      </c>
      <c r="G672" t="s">
        <v>85</v>
      </c>
      <c r="I672" t="s">
        <v>71</v>
      </c>
    </row>
    <row r="673" spans="1:9" x14ac:dyDescent="0.25">
      <c r="A673">
        <v>20131220</v>
      </c>
      <c r="B673" t="str">
        <f t="shared" si="72"/>
        <v>001209</v>
      </c>
      <c r="C673" t="str">
        <f t="shared" si="73"/>
        <v>55555</v>
      </c>
      <c r="D673" t="s">
        <v>52</v>
      </c>
      <c r="E673" s="1">
        <v>13436.41</v>
      </c>
      <c r="F673">
        <v>20131218</v>
      </c>
      <c r="G673" t="s">
        <v>86</v>
      </c>
      <c r="I673" t="s">
        <v>73</v>
      </c>
    </row>
    <row r="674" spans="1:9" x14ac:dyDescent="0.25">
      <c r="A674">
        <v>20131220</v>
      </c>
      <c r="B674" t="str">
        <f t="shared" si="72"/>
        <v>001209</v>
      </c>
      <c r="C674" t="str">
        <f t="shared" si="73"/>
        <v>55555</v>
      </c>
      <c r="D674" t="s">
        <v>52</v>
      </c>
      <c r="E674" s="1">
        <v>1728.77</v>
      </c>
      <c r="F674">
        <v>20131218</v>
      </c>
      <c r="G674" t="s">
        <v>87</v>
      </c>
      <c r="I674" t="s">
        <v>75</v>
      </c>
    </row>
    <row r="675" spans="1:9" x14ac:dyDescent="0.25">
      <c r="A675">
        <v>20131220</v>
      </c>
      <c r="B675" t="str">
        <f t="shared" si="72"/>
        <v>001209</v>
      </c>
      <c r="C675" t="str">
        <f t="shared" si="73"/>
        <v>55555</v>
      </c>
      <c r="D675" t="s">
        <v>52</v>
      </c>
      <c r="E675" s="1">
        <v>1436.35</v>
      </c>
      <c r="F675">
        <v>20131218</v>
      </c>
      <c r="G675" t="s">
        <v>88</v>
      </c>
      <c r="I675" t="s">
        <v>77</v>
      </c>
    </row>
    <row r="676" spans="1:9" x14ac:dyDescent="0.25">
      <c r="A676">
        <v>20131220</v>
      </c>
      <c r="B676" t="str">
        <f t="shared" si="72"/>
        <v>001209</v>
      </c>
      <c r="C676" t="str">
        <f t="shared" si="73"/>
        <v>55555</v>
      </c>
      <c r="D676" t="s">
        <v>52</v>
      </c>
      <c r="E676" s="1">
        <v>46890.96</v>
      </c>
      <c r="F676">
        <v>20131218</v>
      </c>
      <c r="G676" t="s">
        <v>89</v>
      </c>
      <c r="I676" t="s">
        <v>79</v>
      </c>
    </row>
    <row r="677" spans="1:9" x14ac:dyDescent="0.25">
      <c r="A677">
        <v>20131220</v>
      </c>
      <c r="B677" t="str">
        <f>"001210"</f>
        <v>001210</v>
      </c>
      <c r="C677" t="str">
        <f t="shared" si="73"/>
        <v>55555</v>
      </c>
      <c r="D677" t="s">
        <v>52</v>
      </c>
      <c r="E677" s="1">
        <v>750000</v>
      </c>
      <c r="F677">
        <v>20131218</v>
      </c>
      <c r="G677" t="s">
        <v>53</v>
      </c>
      <c r="I677" t="s">
        <v>21</v>
      </c>
    </row>
    <row r="678" spans="1:9" x14ac:dyDescent="0.25">
      <c r="A678">
        <v>20131217</v>
      </c>
      <c r="B678" t="str">
        <f>"001217"</f>
        <v>001217</v>
      </c>
      <c r="C678" t="str">
        <f>"99998"</f>
        <v>99998</v>
      </c>
      <c r="D678" t="s">
        <v>9</v>
      </c>
      <c r="E678">
        <v>173</v>
      </c>
      <c r="F678">
        <v>20140106</v>
      </c>
      <c r="G678" t="s">
        <v>327</v>
      </c>
      <c r="H678" t="s">
        <v>328</v>
      </c>
      <c r="I678" t="s">
        <v>25</v>
      </c>
    </row>
    <row r="679" spans="1:9" x14ac:dyDescent="0.25">
      <c r="A679">
        <v>20131217</v>
      </c>
      <c r="B679" t="str">
        <f>"001218"</f>
        <v>001218</v>
      </c>
      <c r="C679" t="str">
        <f>"99998"</f>
        <v>99998</v>
      </c>
      <c r="D679" t="s">
        <v>9</v>
      </c>
      <c r="E679">
        <v>16</v>
      </c>
      <c r="F679">
        <v>20140106</v>
      </c>
      <c r="G679" t="s">
        <v>329</v>
      </c>
      <c r="H679" t="s">
        <v>330</v>
      </c>
      <c r="I679" t="s">
        <v>25</v>
      </c>
    </row>
    <row r="680" spans="1:9" x14ac:dyDescent="0.25">
      <c r="A680">
        <v>20131220</v>
      </c>
      <c r="B680" t="str">
        <f t="shared" ref="B680:B686" si="74">"001225"</f>
        <v>001225</v>
      </c>
      <c r="C680" t="str">
        <f t="shared" ref="C680:C686" si="75">"55555"</f>
        <v>55555</v>
      </c>
      <c r="D680" t="s">
        <v>52</v>
      </c>
      <c r="E680" s="1">
        <v>29252.639999999999</v>
      </c>
      <c r="F680">
        <v>20131220</v>
      </c>
      <c r="G680" t="s">
        <v>53</v>
      </c>
      <c r="I680" t="s">
        <v>21</v>
      </c>
    </row>
    <row r="681" spans="1:9" x14ac:dyDescent="0.25">
      <c r="A681">
        <v>20131220</v>
      </c>
      <c r="B681" t="str">
        <f t="shared" si="74"/>
        <v>001225</v>
      </c>
      <c r="C681" t="str">
        <f t="shared" si="75"/>
        <v>55555</v>
      </c>
      <c r="D681" t="s">
        <v>52</v>
      </c>
      <c r="E681">
        <v>182.9</v>
      </c>
      <c r="F681">
        <v>20131220</v>
      </c>
      <c r="G681" t="s">
        <v>82</v>
      </c>
      <c r="I681" t="s">
        <v>66</v>
      </c>
    </row>
    <row r="682" spans="1:9" x14ac:dyDescent="0.25">
      <c r="A682">
        <v>20131220</v>
      </c>
      <c r="B682" t="str">
        <f t="shared" si="74"/>
        <v>001225</v>
      </c>
      <c r="C682" t="str">
        <f t="shared" si="75"/>
        <v>55555</v>
      </c>
      <c r="D682" t="s">
        <v>52</v>
      </c>
      <c r="E682">
        <v>76.88</v>
      </c>
      <c r="F682">
        <v>20131220</v>
      </c>
      <c r="G682" t="s">
        <v>83</v>
      </c>
      <c r="I682" t="s">
        <v>68</v>
      </c>
    </row>
    <row r="683" spans="1:9" x14ac:dyDescent="0.25">
      <c r="A683">
        <v>20131220</v>
      </c>
      <c r="B683" t="str">
        <f t="shared" si="74"/>
        <v>001225</v>
      </c>
      <c r="C683" t="str">
        <f t="shared" si="75"/>
        <v>55555</v>
      </c>
      <c r="D683" t="s">
        <v>52</v>
      </c>
      <c r="E683">
        <v>49.34</v>
      </c>
      <c r="F683">
        <v>20131220</v>
      </c>
      <c r="G683" t="s">
        <v>85</v>
      </c>
      <c r="I683" t="s">
        <v>71</v>
      </c>
    </row>
    <row r="684" spans="1:9" x14ac:dyDescent="0.25">
      <c r="A684">
        <v>20131220</v>
      </c>
      <c r="B684" t="str">
        <f t="shared" si="74"/>
        <v>001225</v>
      </c>
      <c r="C684" t="str">
        <f t="shared" si="75"/>
        <v>55555</v>
      </c>
      <c r="D684" t="s">
        <v>52</v>
      </c>
      <c r="E684">
        <v>16.46</v>
      </c>
      <c r="F684">
        <v>20131220</v>
      </c>
      <c r="G684" t="s">
        <v>86</v>
      </c>
      <c r="I684" t="s">
        <v>73</v>
      </c>
    </row>
    <row r="685" spans="1:9" x14ac:dyDescent="0.25">
      <c r="A685">
        <v>20131220</v>
      </c>
      <c r="B685" t="str">
        <f t="shared" si="74"/>
        <v>001225</v>
      </c>
      <c r="C685" t="str">
        <f t="shared" si="75"/>
        <v>55555</v>
      </c>
      <c r="D685" t="s">
        <v>52</v>
      </c>
      <c r="E685">
        <v>26.66</v>
      </c>
      <c r="F685">
        <v>20131220</v>
      </c>
      <c r="G685" t="s">
        <v>87</v>
      </c>
      <c r="I685" t="s">
        <v>75</v>
      </c>
    </row>
    <row r="686" spans="1:9" x14ac:dyDescent="0.25">
      <c r="A686">
        <v>20131220</v>
      </c>
      <c r="B686" t="str">
        <f t="shared" si="74"/>
        <v>001225</v>
      </c>
      <c r="C686" t="str">
        <f t="shared" si="75"/>
        <v>55555</v>
      </c>
      <c r="D686" t="s">
        <v>52</v>
      </c>
      <c r="E686">
        <v>511.47</v>
      </c>
      <c r="F686">
        <v>20131220</v>
      </c>
      <c r="G686" t="s">
        <v>89</v>
      </c>
      <c r="I686" t="s">
        <v>79</v>
      </c>
    </row>
    <row r="687" spans="1:9" x14ac:dyDescent="0.25">
      <c r="A687">
        <v>20131223</v>
      </c>
      <c r="B687" t="str">
        <f>"001226"</f>
        <v>001226</v>
      </c>
      <c r="C687" t="str">
        <f>"83327"</f>
        <v>83327</v>
      </c>
      <c r="D687" t="s">
        <v>18</v>
      </c>
      <c r="E687" s="1">
        <v>137730.23999999999</v>
      </c>
      <c r="F687">
        <v>20131220</v>
      </c>
      <c r="G687" t="s">
        <v>19</v>
      </c>
      <c r="I687" t="s">
        <v>21</v>
      </c>
    </row>
    <row r="688" spans="1:9" x14ac:dyDescent="0.25">
      <c r="A688">
        <v>20131218</v>
      </c>
      <c r="B688" t="str">
        <f>"001227"</f>
        <v>001227</v>
      </c>
      <c r="C688" t="str">
        <f>"83309"</f>
        <v>83309</v>
      </c>
      <c r="D688" t="s">
        <v>98</v>
      </c>
      <c r="E688">
        <v>160.22999999999999</v>
      </c>
      <c r="F688">
        <v>20131220</v>
      </c>
      <c r="G688" t="s">
        <v>331</v>
      </c>
      <c r="H688" t="s">
        <v>139</v>
      </c>
      <c r="I688" t="s">
        <v>12</v>
      </c>
    </row>
    <row r="689" spans="1:9" x14ac:dyDescent="0.25">
      <c r="A689">
        <v>20131231</v>
      </c>
      <c r="B689" t="str">
        <f>"001231"</f>
        <v>001231</v>
      </c>
      <c r="C689" t="str">
        <f>"83309"</f>
        <v>83309</v>
      </c>
      <c r="D689" t="s">
        <v>98</v>
      </c>
      <c r="E689">
        <v>6</v>
      </c>
      <c r="F689">
        <v>20140106</v>
      </c>
      <c r="G689" t="s">
        <v>99</v>
      </c>
      <c r="H689" t="s">
        <v>100</v>
      </c>
      <c r="I689" t="s">
        <v>21</v>
      </c>
    </row>
    <row r="690" spans="1:9" x14ac:dyDescent="0.25">
      <c r="A690">
        <v>20140829</v>
      </c>
      <c r="B690" t="str">
        <f>"001239"</f>
        <v>001239</v>
      </c>
      <c r="C690" t="str">
        <f>"79801"</f>
        <v>79801</v>
      </c>
      <c r="D690" t="s">
        <v>17</v>
      </c>
      <c r="E690">
        <v>360.08</v>
      </c>
      <c r="F690">
        <v>20140826</v>
      </c>
      <c r="G690" t="s">
        <v>14</v>
      </c>
      <c r="I690" t="s">
        <v>15</v>
      </c>
    </row>
    <row r="691" spans="1:9" x14ac:dyDescent="0.25">
      <c r="A691">
        <v>20140404</v>
      </c>
      <c r="B691" t="str">
        <f>"001400"</f>
        <v>001400</v>
      </c>
      <c r="C691" t="str">
        <f>"00362"</f>
        <v>00362</v>
      </c>
      <c r="D691" t="s">
        <v>22</v>
      </c>
      <c r="E691">
        <v>13.5</v>
      </c>
      <c r="F691">
        <v>20140404</v>
      </c>
      <c r="G691" t="s">
        <v>169</v>
      </c>
      <c r="H691" t="s">
        <v>332</v>
      </c>
      <c r="I691" t="s">
        <v>21</v>
      </c>
    </row>
    <row r="692" spans="1:9" x14ac:dyDescent="0.25">
      <c r="A692">
        <v>20130902</v>
      </c>
      <c r="B692" t="str">
        <f>"010871"</f>
        <v>010871</v>
      </c>
      <c r="C692" t="str">
        <f t="shared" ref="C692:C723" si="76">"79800"</f>
        <v>79800</v>
      </c>
      <c r="D692" t="s">
        <v>13</v>
      </c>
      <c r="E692">
        <v>525.37</v>
      </c>
      <c r="F692">
        <v>20130924</v>
      </c>
      <c r="G692" t="s">
        <v>14</v>
      </c>
      <c r="I692" t="s">
        <v>15</v>
      </c>
    </row>
    <row r="693" spans="1:9" x14ac:dyDescent="0.25">
      <c r="A693">
        <v>20130902</v>
      </c>
      <c r="B693" t="str">
        <f>"010872"</f>
        <v>010872</v>
      </c>
      <c r="C693" t="str">
        <f t="shared" si="76"/>
        <v>79800</v>
      </c>
      <c r="D693" t="s">
        <v>13</v>
      </c>
      <c r="E693">
        <v>253.4</v>
      </c>
      <c r="F693">
        <v>20130924</v>
      </c>
      <c r="G693" t="s">
        <v>14</v>
      </c>
      <c r="I693" t="s">
        <v>15</v>
      </c>
    </row>
    <row r="694" spans="1:9" x14ac:dyDescent="0.25">
      <c r="A694">
        <v>20130906</v>
      </c>
      <c r="B694" t="str">
        <f>"010873"</f>
        <v>010873</v>
      </c>
      <c r="C694" t="str">
        <f t="shared" si="76"/>
        <v>79800</v>
      </c>
      <c r="D694" t="s">
        <v>13</v>
      </c>
      <c r="E694">
        <v>134.22</v>
      </c>
      <c r="F694">
        <v>20130924</v>
      </c>
      <c r="G694" t="s">
        <v>14</v>
      </c>
      <c r="I694" t="s">
        <v>15</v>
      </c>
    </row>
    <row r="695" spans="1:9" x14ac:dyDescent="0.25">
      <c r="A695">
        <v>20130906</v>
      </c>
      <c r="B695" t="str">
        <f>"010874"</f>
        <v>010874</v>
      </c>
      <c r="C695" t="str">
        <f t="shared" si="76"/>
        <v>79800</v>
      </c>
      <c r="D695" t="s">
        <v>13</v>
      </c>
      <c r="E695">
        <v>500</v>
      </c>
      <c r="F695">
        <v>20130924</v>
      </c>
      <c r="G695" t="s">
        <v>14</v>
      </c>
      <c r="I695" t="s">
        <v>15</v>
      </c>
    </row>
    <row r="696" spans="1:9" x14ac:dyDescent="0.25">
      <c r="A696">
        <v>20130910</v>
      </c>
      <c r="B696" t="str">
        <f>"010875"</f>
        <v>010875</v>
      </c>
      <c r="C696" t="str">
        <f t="shared" si="76"/>
        <v>79800</v>
      </c>
      <c r="D696" t="s">
        <v>13</v>
      </c>
      <c r="E696">
        <v>525.37</v>
      </c>
      <c r="F696">
        <v>20130924</v>
      </c>
      <c r="G696" t="s">
        <v>14</v>
      </c>
      <c r="I696" t="s">
        <v>15</v>
      </c>
    </row>
    <row r="697" spans="1:9" x14ac:dyDescent="0.25">
      <c r="A697">
        <v>20130910</v>
      </c>
      <c r="B697" t="str">
        <f>"010876"</f>
        <v>010876</v>
      </c>
      <c r="C697" t="str">
        <f t="shared" si="76"/>
        <v>79800</v>
      </c>
      <c r="D697" t="s">
        <v>13</v>
      </c>
      <c r="E697">
        <v>253.4</v>
      </c>
      <c r="F697">
        <v>20130924</v>
      </c>
      <c r="G697" t="s">
        <v>14</v>
      </c>
      <c r="I697" t="s">
        <v>15</v>
      </c>
    </row>
    <row r="698" spans="1:9" x14ac:dyDescent="0.25">
      <c r="A698">
        <v>20130911</v>
      </c>
      <c r="B698" t="str">
        <f>"010877"</f>
        <v>010877</v>
      </c>
      <c r="C698" t="str">
        <f t="shared" si="76"/>
        <v>79800</v>
      </c>
      <c r="D698" t="s">
        <v>13</v>
      </c>
      <c r="E698">
        <v>176.28</v>
      </c>
      <c r="F698">
        <v>20130924</v>
      </c>
      <c r="G698" t="s">
        <v>14</v>
      </c>
      <c r="I698" t="s">
        <v>15</v>
      </c>
    </row>
    <row r="699" spans="1:9" x14ac:dyDescent="0.25">
      <c r="A699">
        <v>20130913</v>
      </c>
      <c r="B699" t="str">
        <f>"010878"</f>
        <v>010878</v>
      </c>
      <c r="C699" t="str">
        <f t="shared" si="76"/>
        <v>79800</v>
      </c>
      <c r="D699" t="s">
        <v>13</v>
      </c>
      <c r="E699">
        <v>402.71</v>
      </c>
      <c r="F699">
        <v>20130924</v>
      </c>
      <c r="G699" t="s">
        <v>14</v>
      </c>
      <c r="I699" t="s">
        <v>15</v>
      </c>
    </row>
    <row r="700" spans="1:9" x14ac:dyDescent="0.25">
      <c r="A700">
        <v>20130913</v>
      </c>
      <c r="B700" t="str">
        <f>"010879"</f>
        <v>010879</v>
      </c>
      <c r="C700" t="str">
        <f t="shared" si="76"/>
        <v>79800</v>
      </c>
      <c r="D700" t="s">
        <v>13</v>
      </c>
      <c r="E700" s="1">
        <v>1189.25</v>
      </c>
      <c r="F700">
        <v>20130924</v>
      </c>
      <c r="G700" t="s">
        <v>14</v>
      </c>
      <c r="I700" t="s">
        <v>15</v>
      </c>
    </row>
    <row r="701" spans="1:9" x14ac:dyDescent="0.25">
      <c r="A701">
        <v>20130917</v>
      </c>
      <c r="B701" t="str">
        <f>"010880"</f>
        <v>010880</v>
      </c>
      <c r="C701" t="str">
        <f t="shared" si="76"/>
        <v>79800</v>
      </c>
      <c r="D701" t="s">
        <v>13</v>
      </c>
      <c r="E701">
        <v>525.37</v>
      </c>
      <c r="F701">
        <v>20130924</v>
      </c>
      <c r="G701" t="s">
        <v>14</v>
      </c>
      <c r="I701" t="s">
        <v>15</v>
      </c>
    </row>
    <row r="702" spans="1:9" x14ac:dyDescent="0.25">
      <c r="A702">
        <v>20130917</v>
      </c>
      <c r="B702" t="str">
        <f>"010881"</f>
        <v>010881</v>
      </c>
      <c r="C702" t="str">
        <f t="shared" si="76"/>
        <v>79800</v>
      </c>
      <c r="D702" t="s">
        <v>13</v>
      </c>
      <c r="E702">
        <v>253.4</v>
      </c>
      <c r="F702">
        <v>20130924</v>
      </c>
      <c r="G702" t="s">
        <v>14</v>
      </c>
      <c r="I702" t="s">
        <v>15</v>
      </c>
    </row>
    <row r="703" spans="1:9" x14ac:dyDescent="0.25">
      <c r="A703">
        <v>20130918</v>
      </c>
      <c r="B703" t="str">
        <f>"010882"</f>
        <v>010882</v>
      </c>
      <c r="C703" t="str">
        <f t="shared" si="76"/>
        <v>79800</v>
      </c>
      <c r="D703" t="s">
        <v>13</v>
      </c>
      <c r="E703">
        <v>100</v>
      </c>
      <c r="F703">
        <v>20130924</v>
      </c>
      <c r="G703" t="s">
        <v>14</v>
      </c>
      <c r="I703" t="s">
        <v>15</v>
      </c>
    </row>
    <row r="704" spans="1:9" x14ac:dyDescent="0.25">
      <c r="A704">
        <v>20130918</v>
      </c>
      <c r="B704" t="str">
        <f>"010883"</f>
        <v>010883</v>
      </c>
      <c r="C704" t="str">
        <f t="shared" si="76"/>
        <v>79800</v>
      </c>
      <c r="D704" t="s">
        <v>13</v>
      </c>
      <c r="E704">
        <v>463.07</v>
      </c>
      <c r="F704">
        <v>20130924</v>
      </c>
      <c r="G704" t="s">
        <v>14</v>
      </c>
      <c r="I704" t="s">
        <v>15</v>
      </c>
    </row>
    <row r="705" spans="1:9" x14ac:dyDescent="0.25">
      <c r="A705">
        <v>20130918</v>
      </c>
      <c r="B705" t="str">
        <f>"010884"</f>
        <v>010884</v>
      </c>
      <c r="C705" t="str">
        <f t="shared" si="76"/>
        <v>79800</v>
      </c>
      <c r="D705" t="s">
        <v>13</v>
      </c>
      <c r="E705" s="1">
        <v>7293.69</v>
      </c>
      <c r="F705">
        <v>20130924</v>
      </c>
      <c r="G705" t="s">
        <v>14</v>
      </c>
      <c r="I705" t="s">
        <v>15</v>
      </c>
    </row>
    <row r="706" spans="1:9" x14ac:dyDescent="0.25">
      <c r="A706">
        <v>20130919</v>
      </c>
      <c r="B706" t="str">
        <f>"010885"</f>
        <v>010885</v>
      </c>
      <c r="C706" t="str">
        <f t="shared" si="76"/>
        <v>79800</v>
      </c>
      <c r="D706" t="s">
        <v>13</v>
      </c>
      <c r="E706">
        <v>573</v>
      </c>
      <c r="F706">
        <v>20130924</v>
      </c>
      <c r="G706" t="s">
        <v>14</v>
      </c>
      <c r="I706" t="s">
        <v>15</v>
      </c>
    </row>
    <row r="707" spans="1:9" x14ac:dyDescent="0.25">
      <c r="A707">
        <v>20130920</v>
      </c>
      <c r="B707" t="str">
        <f>"010886"</f>
        <v>010886</v>
      </c>
      <c r="C707" t="str">
        <f t="shared" si="76"/>
        <v>79800</v>
      </c>
      <c r="D707" t="s">
        <v>13</v>
      </c>
      <c r="E707">
        <v>503.23</v>
      </c>
      <c r="F707">
        <v>20130924</v>
      </c>
      <c r="G707" t="s">
        <v>14</v>
      </c>
      <c r="I707" t="s">
        <v>15</v>
      </c>
    </row>
    <row r="708" spans="1:9" x14ac:dyDescent="0.25">
      <c r="A708">
        <v>20130920</v>
      </c>
      <c r="B708" t="str">
        <f>"010887"</f>
        <v>010887</v>
      </c>
      <c r="C708" t="str">
        <f t="shared" si="76"/>
        <v>79800</v>
      </c>
      <c r="D708" t="s">
        <v>13</v>
      </c>
      <c r="E708">
        <v>94.71</v>
      </c>
      <c r="F708">
        <v>20130924</v>
      </c>
      <c r="G708" t="s">
        <v>14</v>
      </c>
      <c r="I708" t="s">
        <v>15</v>
      </c>
    </row>
    <row r="709" spans="1:9" x14ac:dyDescent="0.25">
      <c r="A709">
        <v>20130920</v>
      </c>
      <c r="B709" t="str">
        <f>"010888"</f>
        <v>010888</v>
      </c>
      <c r="C709" t="str">
        <f t="shared" si="76"/>
        <v>79800</v>
      </c>
      <c r="D709" t="s">
        <v>13</v>
      </c>
      <c r="E709">
        <v>628.67999999999995</v>
      </c>
      <c r="F709">
        <v>20130924</v>
      </c>
      <c r="G709" t="s">
        <v>14</v>
      </c>
      <c r="I709" t="s">
        <v>15</v>
      </c>
    </row>
    <row r="710" spans="1:9" x14ac:dyDescent="0.25">
      <c r="A710">
        <v>20130920</v>
      </c>
      <c r="B710" t="str">
        <f>"010889"</f>
        <v>010889</v>
      </c>
      <c r="C710" t="str">
        <f t="shared" si="76"/>
        <v>79800</v>
      </c>
      <c r="D710" t="s">
        <v>13</v>
      </c>
      <c r="E710">
        <v>14.36</v>
      </c>
      <c r="F710">
        <v>20130924</v>
      </c>
      <c r="G710" t="s">
        <v>14</v>
      </c>
      <c r="I710" t="s">
        <v>15</v>
      </c>
    </row>
    <row r="711" spans="1:9" x14ac:dyDescent="0.25">
      <c r="A711">
        <v>20130923</v>
      </c>
      <c r="B711" t="str">
        <f>"010890"</f>
        <v>010890</v>
      </c>
      <c r="C711" t="str">
        <f t="shared" si="76"/>
        <v>79800</v>
      </c>
      <c r="D711" t="s">
        <v>13</v>
      </c>
      <c r="E711">
        <v>573</v>
      </c>
      <c r="F711">
        <v>20130924</v>
      </c>
      <c r="G711" t="s">
        <v>14</v>
      </c>
      <c r="I711" t="s">
        <v>15</v>
      </c>
    </row>
    <row r="712" spans="1:9" x14ac:dyDescent="0.25">
      <c r="A712">
        <v>20130924</v>
      </c>
      <c r="B712" t="str">
        <f>"010891"</f>
        <v>010891</v>
      </c>
      <c r="C712" t="str">
        <f t="shared" si="76"/>
        <v>79800</v>
      </c>
      <c r="D712" t="s">
        <v>13</v>
      </c>
      <c r="E712">
        <v>253.4</v>
      </c>
      <c r="F712">
        <v>20130924</v>
      </c>
      <c r="G712" t="s">
        <v>14</v>
      </c>
      <c r="I712" t="s">
        <v>15</v>
      </c>
    </row>
    <row r="713" spans="1:9" x14ac:dyDescent="0.25">
      <c r="A713">
        <v>20130926</v>
      </c>
      <c r="B713" t="str">
        <f>"010892"</f>
        <v>010892</v>
      </c>
      <c r="C713" t="str">
        <f t="shared" si="76"/>
        <v>79800</v>
      </c>
      <c r="D713" t="s">
        <v>13</v>
      </c>
      <c r="E713">
        <v>541.24</v>
      </c>
      <c r="F713">
        <v>20130924</v>
      </c>
      <c r="G713" t="s">
        <v>14</v>
      </c>
      <c r="I713" t="s">
        <v>15</v>
      </c>
    </row>
    <row r="714" spans="1:9" x14ac:dyDescent="0.25">
      <c r="A714">
        <v>20130930</v>
      </c>
      <c r="B714" t="str">
        <f>"010893"</f>
        <v>010893</v>
      </c>
      <c r="C714" t="str">
        <f t="shared" si="76"/>
        <v>79800</v>
      </c>
      <c r="D714" t="s">
        <v>13</v>
      </c>
      <c r="E714">
        <v>573</v>
      </c>
      <c r="F714">
        <v>20130925</v>
      </c>
      <c r="G714" t="s">
        <v>14</v>
      </c>
      <c r="I714" t="s">
        <v>15</v>
      </c>
    </row>
    <row r="715" spans="1:9" x14ac:dyDescent="0.25">
      <c r="A715">
        <v>20131003</v>
      </c>
      <c r="B715" t="str">
        <f>"010895"</f>
        <v>010895</v>
      </c>
      <c r="C715" t="str">
        <f t="shared" si="76"/>
        <v>79800</v>
      </c>
      <c r="D715" t="s">
        <v>13</v>
      </c>
      <c r="E715">
        <v>270.62</v>
      </c>
      <c r="F715">
        <v>20131007</v>
      </c>
      <c r="G715" t="s">
        <v>14</v>
      </c>
      <c r="I715" t="s">
        <v>15</v>
      </c>
    </row>
    <row r="716" spans="1:9" x14ac:dyDescent="0.25">
      <c r="A716">
        <v>20131004</v>
      </c>
      <c r="B716" t="str">
        <f>"010896"</f>
        <v>010896</v>
      </c>
      <c r="C716" t="str">
        <f t="shared" si="76"/>
        <v>79800</v>
      </c>
      <c r="D716" t="s">
        <v>13</v>
      </c>
      <c r="E716">
        <v>185</v>
      </c>
      <c r="F716">
        <v>20131007</v>
      </c>
      <c r="G716" t="s">
        <v>14</v>
      </c>
      <c r="I716" t="s">
        <v>15</v>
      </c>
    </row>
    <row r="717" spans="1:9" x14ac:dyDescent="0.25">
      <c r="A717">
        <v>20131004</v>
      </c>
      <c r="B717" t="str">
        <f>"010897"</f>
        <v>010897</v>
      </c>
      <c r="C717" t="str">
        <f t="shared" si="76"/>
        <v>79800</v>
      </c>
      <c r="D717" t="s">
        <v>13</v>
      </c>
      <c r="E717">
        <v>498</v>
      </c>
      <c r="F717">
        <v>20131007</v>
      </c>
      <c r="G717" t="s">
        <v>14</v>
      </c>
      <c r="I717" t="s">
        <v>15</v>
      </c>
    </row>
    <row r="718" spans="1:9" x14ac:dyDescent="0.25">
      <c r="A718">
        <v>20131004</v>
      </c>
      <c r="B718" t="str">
        <f>"010898"</f>
        <v>010898</v>
      </c>
      <c r="C718" t="str">
        <f t="shared" si="76"/>
        <v>79800</v>
      </c>
      <c r="D718" t="s">
        <v>13</v>
      </c>
      <c r="E718">
        <v>155</v>
      </c>
      <c r="F718">
        <v>20131007</v>
      </c>
      <c r="G718" t="s">
        <v>14</v>
      </c>
      <c r="I718" t="s">
        <v>15</v>
      </c>
    </row>
    <row r="719" spans="1:9" x14ac:dyDescent="0.25">
      <c r="A719">
        <v>20131004</v>
      </c>
      <c r="B719" t="str">
        <f>"010899"</f>
        <v>010899</v>
      </c>
      <c r="C719" t="str">
        <f t="shared" si="76"/>
        <v>79800</v>
      </c>
      <c r="D719" t="s">
        <v>13</v>
      </c>
      <c r="E719">
        <v>350.36</v>
      </c>
      <c r="F719">
        <v>20131007</v>
      </c>
      <c r="G719" t="s">
        <v>14</v>
      </c>
      <c r="I719" t="s">
        <v>15</v>
      </c>
    </row>
    <row r="720" spans="1:9" x14ac:dyDescent="0.25">
      <c r="A720">
        <v>20131007</v>
      </c>
      <c r="B720" t="str">
        <f>"010900"</f>
        <v>010900</v>
      </c>
      <c r="C720" t="str">
        <f t="shared" si="76"/>
        <v>79800</v>
      </c>
      <c r="D720" t="s">
        <v>13</v>
      </c>
      <c r="E720">
        <v>573</v>
      </c>
      <c r="F720">
        <v>20131007</v>
      </c>
      <c r="G720" t="s">
        <v>14</v>
      </c>
      <c r="I720" t="s">
        <v>15</v>
      </c>
    </row>
    <row r="721" spans="1:9" x14ac:dyDescent="0.25">
      <c r="A721">
        <v>20131008</v>
      </c>
      <c r="B721" t="str">
        <f>"010901"</f>
        <v>010901</v>
      </c>
      <c r="C721" t="str">
        <f t="shared" si="76"/>
        <v>79800</v>
      </c>
      <c r="D721" t="s">
        <v>13</v>
      </c>
      <c r="E721">
        <v>40</v>
      </c>
      <c r="F721">
        <v>20131007</v>
      </c>
      <c r="G721" t="s">
        <v>14</v>
      </c>
      <c r="I721" t="s">
        <v>15</v>
      </c>
    </row>
    <row r="722" spans="1:9" x14ac:dyDescent="0.25">
      <c r="A722">
        <v>20131008</v>
      </c>
      <c r="B722" t="str">
        <f>"010902"</f>
        <v>010902</v>
      </c>
      <c r="C722" t="str">
        <f t="shared" si="76"/>
        <v>79800</v>
      </c>
      <c r="D722" t="s">
        <v>13</v>
      </c>
      <c r="E722">
        <v>253.4</v>
      </c>
      <c r="F722">
        <v>20131007</v>
      </c>
      <c r="G722" t="s">
        <v>14</v>
      </c>
      <c r="I722" t="s">
        <v>15</v>
      </c>
    </row>
    <row r="723" spans="1:9" x14ac:dyDescent="0.25">
      <c r="A723">
        <v>20131008</v>
      </c>
      <c r="B723" t="str">
        <f>"010903"</f>
        <v>010903</v>
      </c>
      <c r="C723" t="str">
        <f t="shared" si="76"/>
        <v>79800</v>
      </c>
      <c r="D723" t="s">
        <v>13</v>
      </c>
      <c r="E723">
        <v>100</v>
      </c>
      <c r="F723">
        <v>20131007</v>
      </c>
      <c r="G723" t="s">
        <v>14</v>
      </c>
      <c r="I723" t="s">
        <v>15</v>
      </c>
    </row>
    <row r="724" spans="1:9" x14ac:dyDescent="0.25">
      <c r="A724">
        <v>20131008</v>
      </c>
      <c r="B724" t="str">
        <f>"010904"</f>
        <v>010904</v>
      </c>
      <c r="C724" t="str">
        <f t="shared" ref="C724:C758" si="77">"79800"</f>
        <v>79800</v>
      </c>
      <c r="D724" t="s">
        <v>13</v>
      </c>
      <c r="E724">
        <v>100</v>
      </c>
      <c r="F724">
        <v>20131007</v>
      </c>
      <c r="G724" t="s">
        <v>14</v>
      </c>
      <c r="I724" t="s">
        <v>15</v>
      </c>
    </row>
    <row r="725" spans="1:9" x14ac:dyDescent="0.25">
      <c r="A725">
        <v>20131010</v>
      </c>
      <c r="B725" t="str">
        <f>"010905"</f>
        <v>010905</v>
      </c>
      <c r="C725" t="str">
        <f t="shared" si="77"/>
        <v>79800</v>
      </c>
      <c r="D725" t="s">
        <v>13</v>
      </c>
      <c r="E725">
        <v>270.62</v>
      </c>
      <c r="F725">
        <v>20131008</v>
      </c>
      <c r="G725" t="s">
        <v>14</v>
      </c>
      <c r="I725" t="s">
        <v>15</v>
      </c>
    </row>
    <row r="726" spans="1:9" x14ac:dyDescent="0.25">
      <c r="A726">
        <v>20131011</v>
      </c>
      <c r="B726" t="str">
        <f>"010906"</f>
        <v>010906</v>
      </c>
      <c r="C726" t="str">
        <f t="shared" si="77"/>
        <v>79800</v>
      </c>
      <c r="D726" t="s">
        <v>13</v>
      </c>
      <c r="E726">
        <v>664</v>
      </c>
      <c r="F726">
        <v>20131008</v>
      </c>
      <c r="G726" t="s">
        <v>14</v>
      </c>
      <c r="I726" t="s">
        <v>15</v>
      </c>
    </row>
    <row r="727" spans="1:9" x14ac:dyDescent="0.25">
      <c r="A727">
        <v>20131014</v>
      </c>
      <c r="B727" t="str">
        <f>"010907"</f>
        <v>010907</v>
      </c>
      <c r="C727" t="str">
        <f t="shared" si="77"/>
        <v>79800</v>
      </c>
      <c r="D727" t="s">
        <v>13</v>
      </c>
      <c r="E727">
        <v>573</v>
      </c>
      <c r="F727">
        <v>20131009</v>
      </c>
      <c r="G727" t="s">
        <v>14</v>
      </c>
      <c r="I727" t="s">
        <v>15</v>
      </c>
    </row>
    <row r="728" spans="1:9" x14ac:dyDescent="0.25">
      <c r="A728">
        <v>20131015</v>
      </c>
      <c r="B728" t="str">
        <f>"010908"</f>
        <v>010908</v>
      </c>
      <c r="C728" t="str">
        <f t="shared" si="77"/>
        <v>79800</v>
      </c>
      <c r="D728" t="s">
        <v>13</v>
      </c>
      <c r="E728">
        <v>253.4</v>
      </c>
      <c r="F728">
        <v>20131011</v>
      </c>
      <c r="G728" t="s">
        <v>14</v>
      </c>
      <c r="I728" t="s">
        <v>15</v>
      </c>
    </row>
    <row r="729" spans="1:9" x14ac:dyDescent="0.25">
      <c r="A729">
        <v>20131016</v>
      </c>
      <c r="B729" t="str">
        <f>"010909"</f>
        <v>010909</v>
      </c>
      <c r="C729" t="str">
        <f t="shared" si="77"/>
        <v>79800</v>
      </c>
      <c r="D729" t="s">
        <v>13</v>
      </c>
      <c r="E729">
        <v>2.4500000000000002</v>
      </c>
      <c r="F729">
        <v>20131011</v>
      </c>
      <c r="G729" t="s">
        <v>14</v>
      </c>
      <c r="I729" t="s">
        <v>15</v>
      </c>
    </row>
    <row r="730" spans="1:9" x14ac:dyDescent="0.25">
      <c r="A730">
        <v>20131016</v>
      </c>
      <c r="B730" t="str">
        <f>"010910"</f>
        <v>010910</v>
      </c>
      <c r="C730" t="str">
        <f t="shared" si="77"/>
        <v>79800</v>
      </c>
      <c r="D730" t="s">
        <v>13</v>
      </c>
      <c r="E730">
        <v>22.99</v>
      </c>
      <c r="F730">
        <v>20131011</v>
      </c>
      <c r="G730" t="s">
        <v>14</v>
      </c>
      <c r="I730" t="s">
        <v>15</v>
      </c>
    </row>
    <row r="731" spans="1:9" x14ac:dyDescent="0.25">
      <c r="A731">
        <v>20131016</v>
      </c>
      <c r="B731" t="str">
        <f>"010911"</f>
        <v>010911</v>
      </c>
      <c r="C731" t="str">
        <f t="shared" si="77"/>
        <v>79800</v>
      </c>
      <c r="D731" t="s">
        <v>13</v>
      </c>
      <c r="E731">
        <v>100</v>
      </c>
      <c r="F731">
        <v>20131011</v>
      </c>
      <c r="G731" t="s">
        <v>14</v>
      </c>
      <c r="I731" t="s">
        <v>15</v>
      </c>
    </row>
    <row r="732" spans="1:9" x14ac:dyDescent="0.25">
      <c r="A732">
        <v>20131016</v>
      </c>
      <c r="B732" t="str">
        <f>"010912"</f>
        <v>010912</v>
      </c>
      <c r="C732" t="str">
        <f t="shared" si="77"/>
        <v>79800</v>
      </c>
      <c r="D732" t="s">
        <v>13</v>
      </c>
      <c r="E732">
        <v>181.16</v>
      </c>
      <c r="F732">
        <v>20131011</v>
      </c>
      <c r="G732" t="s">
        <v>14</v>
      </c>
      <c r="I732" t="s">
        <v>15</v>
      </c>
    </row>
    <row r="733" spans="1:9" x14ac:dyDescent="0.25">
      <c r="A733">
        <v>20131016</v>
      </c>
      <c r="B733" t="str">
        <f>"010913"</f>
        <v>010913</v>
      </c>
      <c r="C733" t="str">
        <f t="shared" si="77"/>
        <v>79800</v>
      </c>
      <c r="D733" t="s">
        <v>13</v>
      </c>
      <c r="E733">
        <v>636.44000000000005</v>
      </c>
      <c r="F733">
        <v>20131011</v>
      </c>
      <c r="G733" t="s">
        <v>14</v>
      </c>
      <c r="I733" t="s">
        <v>15</v>
      </c>
    </row>
    <row r="734" spans="1:9" x14ac:dyDescent="0.25">
      <c r="A734">
        <v>20131016</v>
      </c>
      <c r="B734" t="str">
        <f>"010914"</f>
        <v>010914</v>
      </c>
      <c r="C734" t="str">
        <f t="shared" si="77"/>
        <v>79800</v>
      </c>
      <c r="D734" t="s">
        <v>13</v>
      </c>
      <c r="E734">
        <v>464.51</v>
      </c>
      <c r="F734">
        <v>20131011</v>
      </c>
      <c r="G734" t="s">
        <v>14</v>
      </c>
      <c r="I734" t="s">
        <v>15</v>
      </c>
    </row>
    <row r="735" spans="1:9" x14ac:dyDescent="0.25">
      <c r="A735">
        <v>20131016</v>
      </c>
      <c r="B735" t="str">
        <f>"010915"</f>
        <v>010915</v>
      </c>
      <c r="C735" t="str">
        <f t="shared" si="77"/>
        <v>79800</v>
      </c>
      <c r="D735" t="s">
        <v>13</v>
      </c>
      <c r="E735" s="1">
        <v>2037.36</v>
      </c>
      <c r="F735">
        <v>20131011</v>
      </c>
      <c r="G735" t="s">
        <v>14</v>
      </c>
      <c r="I735" t="s">
        <v>15</v>
      </c>
    </row>
    <row r="736" spans="1:9" x14ac:dyDescent="0.25">
      <c r="A736">
        <v>20131016</v>
      </c>
      <c r="B736" t="str">
        <f>"010916"</f>
        <v>010916</v>
      </c>
      <c r="C736" t="str">
        <f t="shared" si="77"/>
        <v>79800</v>
      </c>
      <c r="D736" t="s">
        <v>13</v>
      </c>
      <c r="E736">
        <v>270.62</v>
      </c>
      <c r="F736">
        <v>20131011</v>
      </c>
      <c r="G736" t="s">
        <v>14</v>
      </c>
      <c r="I736" t="s">
        <v>15</v>
      </c>
    </row>
    <row r="737" spans="1:9" x14ac:dyDescent="0.25">
      <c r="A737">
        <v>20131018</v>
      </c>
      <c r="B737" t="str">
        <f>"010917"</f>
        <v>010917</v>
      </c>
      <c r="C737" t="str">
        <f t="shared" si="77"/>
        <v>79800</v>
      </c>
      <c r="D737" t="s">
        <v>13</v>
      </c>
      <c r="E737">
        <v>650</v>
      </c>
      <c r="F737">
        <v>20131016</v>
      </c>
      <c r="G737" t="s">
        <v>14</v>
      </c>
      <c r="I737" t="s">
        <v>15</v>
      </c>
    </row>
    <row r="738" spans="1:9" x14ac:dyDescent="0.25">
      <c r="A738">
        <v>20131018</v>
      </c>
      <c r="B738" t="str">
        <f>"010918"</f>
        <v>010918</v>
      </c>
      <c r="C738" t="str">
        <f t="shared" si="77"/>
        <v>79800</v>
      </c>
      <c r="D738" t="s">
        <v>13</v>
      </c>
      <c r="E738">
        <v>413.16</v>
      </c>
      <c r="F738">
        <v>20131016</v>
      </c>
      <c r="G738" t="s">
        <v>14</v>
      </c>
      <c r="I738" t="s">
        <v>15</v>
      </c>
    </row>
    <row r="739" spans="1:9" x14ac:dyDescent="0.25">
      <c r="A739">
        <v>20131018</v>
      </c>
      <c r="B739" t="str">
        <f>"010919"</f>
        <v>010919</v>
      </c>
      <c r="C739" t="str">
        <f t="shared" si="77"/>
        <v>79800</v>
      </c>
      <c r="D739" t="s">
        <v>13</v>
      </c>
      <c r="E739">
        <v>174.78</v>
      </c>
      <c r="F739">
        <v>20131016</v>
      </c>
      <c r="G739" t="s">
        <v>14</v>
      </c>
      <c r="I739" t="s">
        <v>15</v>
      </c>
    </row>
    <row r="740" spans="1:9" x14ac:dyDescent="0.25">
      <c r="A740">
        <v>20131018</v>
      </c>
      <c r="B740" t="str">
        <f>"010920"</f>
        <v>010920</v>
      </c>
      <c r="C740" t="str">
        <f t="shared" si="77"/>
        <v>79800</v>
      </c>
      <c r="D740" t="s">
        <v>13</v>
      </c>
      <c r="E740">
        <v>135</v>
      </c>
      <c r="F740">
        <v>20131016</v>
      </c>
      <c r="G740" t="s">
        <v>14</v>
      </c>
      <c r="I740" t="s">
        <v>15</v>
      </c>
    </row>
    <row r="741" spans="1:9" x14ac:dyDescent="0.25">
      <c r="A741">
        <v>20131021</v>
      </c>
      <c r="B741" t="str">
        <f>"010921"</f>
        <v>010921</v>
      </c>
      <c r="C741" t="str">
        <f t="shared" si="77"/>
        <v>79800</v>
      </c>
      <c r="D741" t="s">
        <v>13</v>
      </c>
      <c r="E741" s="1">
        <v>8022</v>
      </c>
      <c r="F741">
        <v>20131017</v>
      </c>
      <c r="G741" t="s">
        <v>14</v>
      </c>
      <c r="I741" t="s">
        <v>15</v>
      </c>
    </row>
    <row r="742" spans="1:9" x14ac:dyDescent="0.25">
      <c r="A742">
        <v>20131021</v>
      </c>
      <c r="B742" t="str">
        <f>"010922"</f>
        <v>010922</v>
      </c>
      <c r="C742" t="str">
        <f t="shared" si="77"/>
        <v>79800</v>
      </c>
      <c r="D742" t="s">
        <v>13</v>
      </c>
      <c r="E742">
        <v>573</v>
      </c>
      <c r="F742">
        <v>20131017</v>
      </c>
      <c r="G742" t="s">
        <v>14</v>
      </c>
      <c r="I742" t="s">
        <v>15</v>
      </c>
    </row>
    <row r="743" spans="1:9" x14ac:dyDescent="0.25">
      <c r="A743">
        <v>20131022</v>
      </c>
      <c r="B743" t="str">
        <f>"010923"</f>
        <v>010923</v>
      </c>
      <c r="C743" t="str">
        <f t="shared" si="77"/>
        <v>79800</v>
      </c>
      <c r="D743" t="s">
        <v>13</v>
      </c>
      <c r="E743">
        <v>253.4</v>
      </c>
      <c r="F743">
        <v>20131018</v>
      </c>
      <c r="G743" t="s">
        <v>14</v>
      </c>
      <c r="I743" t="s">
        <v>15</v>
      </c>
    </row>
    <row r="744" spans="1:9" x14ac:dyDescent="0.25">
      <c r="A744">
        <v>20131023</v>
      </c>
      <c r="B744" t="str">
        <f>"010924"</f>
        <v>010924</v>
      </c>
      <c r="C744" t="str">
        <f t="shared" si="77"/>
        <v>79800</v>
      </c>
      <c r="D744" t="s">
        <v>13</v>
      </c>
      <c r="E744">
        <v>332</v>
      </c>
      <c r="F744">
        <v>20131018</v>
      </c>
      <c r="G744" t="s">
        <v>14</v>
      </c>
      <c r="I744" t="s">
        <v>15</v>
      </c>
    </row>
    <row r="745" spans="1:9" x14ac:dyDescent="0.25">
      <c r="A745">
        <v>20131023</v>
      </c>
      <c r="B745" t="str">
        <f>"010925"</f>
        <v>010925</v>
      </c>
      <c r="C745" t="str">
        <f t="shared" si="77"/>
        <v>79800</v>
      </c>
      <c r="D745" t="s">
        <v>13</v>
      </c>
      <c r="E745">
        <v>166</v>
      </c>
      <c r="F745">
        <v>20131018</v>
      </c>
      <c r="G745" t="s">
        <v>14</v>
      </c>
      <c r="I745" t="s">
        <v>15</v>
      </c>
    </row>
    <row r="746" spans="1:9" x14ac:dyDescent="0.25">
      <c r="A746">
        <v>20131023</v>
      </c>
      <c r="B746" t="str">
        <f>"010926"</f>
        <v>010926</v>
      </c>
      <c r="C746" t="str">
        <f t="shared" si="77"/>
        <v>79800</v>
      </c>
      <c r="D746" t="s">
        <v>13</v>
      </c>
      <c r="E746">
        <v>432</v>
      </c>
      <c r="F746">
        <v>20131018</v>
      </c>
      <c r="G746" t="s">
        <v>14</v>
      </c>
      <c r="I746" t="s">
        <v>15</v>
      </c>
    </row>
    <row r="747" spans="1:9" x14ac:dyDescent="0.25">
      <c r="A747">
        <v>20131023</v>
      </c>
      <c r="B747" t="str">
        <f>"010927"</f>
        <v>010927</v>
      </c>
      <c r="C747" t="str">
        <f t="shared" si="77"/>
        <v>79800</v>
      </c>
      <c r="D747" t="s">
        <v>13</v>
      </c>
      <c r="E747">
        <v>573</v>
      </c>
      <c r="F747">
        <v>20131018</v>
      </c>
      <c r="G747" t="s">
        <v>14</v>
      </c>
      <c r="I747" t="s">
        <v>15</v>
      </c>
    </row>
    <row r="748" spans="1:9" x14ac:dyDescent="0.25">
      <c r="A748">
        <v>20131023</v>
      </c>
      <c r="B748" t="str">
        <f>"010928"</f>
        <v>010928</v>
      </c>
      <c r="C748" t="str">
        <f t="shared" si="77"/>
        <v>79800</v>
      </c>
      <c r="D748" t="s">
        <v>13</v>
      </c>
      <c r="E748">
        <v>174.92</v>
      </c>
      <c r="F748">
        <v>20131018</v>
      </c>
      <c r="G748" t="s">
        <v>14</v>
      </c>
      <c r="I748" t="s">
        <v>15</v>
      </c>
    </row>
    <row r="749" spans="1:9" x14ac:dyDescent="0.25">
      <c r="A749">
        <v>20131024</v>
      </c>
      <c r="B749" t="str">
        <f>"010929"</f>
        <v>010929</v>
      </c>
      <c r="C749" t="str">
        <f t="shared" si="77"/>
        <v>79800</v>
      </c>
      <c r="D749" t="s">
        <v>13</v>
      </c>
      <c r="E749">
        <v>270.62</v>
      </c>
      <c r="F749">
        <v>20131021</v>
      </c>
      <c r="G749" t="s">
        <v>14</v>
      </c>
      <c r="I749" t="s">
        <v>15</v>
      </c>
    </row>
    <row r="750" spans="1:9" x14ac:dyDescent="0.25">
      <c r="A750">
        <v>20131025</v>
      </c>
      <c r="B750" t="str">
        <f>"010930"</f>
        <v>010930</v>
      </c>
      <c r="C750" t="str">
        <f t="shared" si="77"/>
        <v>79800</v>
      </c>
      <c r="D750" t="s">
        <v>13</v>
      </c>
      <c r="E750">
        <v>57.67</v>
      </c>
      <c r="F750">
        <v>20131023</v>
      </c>
      <c r="G750" t="s">
        <v>14</v>
      </c>
      <c r="I750" t="s">
        <v>15</v>
      </c>
    </row>
    <row r="751" spans="1:9" x14ac:dyDescent="0.25">
      <c r="A751">
        <v>20131028</v>
      </c>
      <c r="B751" t="str">
        <f>"010931"</f>
        <v>010931</v>
      </c>
      <c r="C751" t="str">
        <f t="shared" si="77"/>
        <v>79800</v>
      </c>
      <c r="D751" t="s">
        <v>13</v>
      </c>
      <c r="E751">
        <v>573</v>
      </c>
      <c r="F751">
        <v>20131023</v>
      </c>
      <c r="G751" t="s">
        <v>14</v>
      </c>
      <c r="I751" t="s">
        <v>15</v>
      </c>
    </row>
    <row r="752" spans="1:9" x14ac:dyDescent="0.25">
      <c r="A752">
        <v>20131029</v>
      </c>
      <c r="B752" t="str">
        <f>"010932"</f>
        <v>010932</v>
      </c>
      <c r="C752" t="str">
        <f t="shared" si="77"/>
        <v>79800</v>
      </c>
      <c r="D752" t="s">
        <v>13</v>
      </c>
      <c r="E752">
        <v>253.4</v>
      </c>
      <c r="F752">
        <v>20131025</v>
      </c>
      <c r="G752" t="s">
        <v>14</v>
      </c>
      <c r="I752" t="s">
        <v>15</v>
      </c>
    </row>
    <row r="753" spans="1:9" x14ac:dyDescent="0.25">
      <c r="A753">
        <v>20131030</v>
      </c>
      <c r="B753" t="str">
        <f>"010933"</f>
        <v>010933</v>
      </c>
      <c r="C753" t="str">
        <f t="shared" si="77"/>
        <v>79800</v>
      </c>
      <c r="D753" t="s">
        <v>13</v>
      </c>
      <c r="E753">
        <v>57.77</v>
      </c>
      <c r="F753">
        <v>20131028</v>
      </c>
      <c r="G753" t="s">
        <v>14</v>
      </c>
      <c r="I753" t="s">
        <v>15</v>
      </c>
    </row>
    <row r="754" spans="1:9" x14ac:dyDescent="0.25">
      <c r="A754">
        <v>20131030</v>
      </c>
      <c r="B754" t="str">
        <f>"010934"</f>
        <v>010934</v>
      </c>
      <c r="C754" t="str">
        <f t="shared" si="77"/>
        <v>79800</v>
      </c>
      <c r="D754" t="s">
        <v>13</v>
      </c>
      <c r="E754">
        <v>412</v>
      </c>
      <c r="F754">
        <v>20131028</v>
      </c>
      <c r="G754" t="s">
        <v>14</v>
      </c>
      <c r="I754" t="s">
        <v>15</v>
      </c>
    </row>
    <row r="755" spans="1:9" x14ac:dyDescent="0.25">
      <c r="A755">
        <v>20131030</v>
      </c>
      <c r="B755" t="str">
        <f>"010935"</f>
        <v>010935</v>
      </c>
      <c r="C755" t="str">
        <f t="shared" si="77"/>
        <v>79800</v>
      </c>
      <c r="D755" t="s">
        <v>13</v>
      </c>
      <c r="E755">
        <v>417</v>
      </c>
      <c r="F755">
        <v>20131028</v>
      </c>
      <c r="G755" t="s">
        <v>14</v>
      </c>
      <c r="I755" t="s">
        <v>15</v>
      </c>
    </row>
    <row r="756" spans="1:9" x14ac:dyDescent="0.25">
      <c r="A756">
        <v>20131030</v>
      </c>
      <c r="B756" t="str">
        <f>"010936"</f>
        <v>010936</v>
      </c>
      <c r="C756" t="str">
        <f t="shared" si="77"/>
        <v>79800</v>
      </c>
      <c r="D756" t="s">
        <v>13</v>
      </c>
      <c r="E756">
        <v>573</v>
      </c>
      <c r="F756">
        <v>20131028</v>
      </c>
      <c r="G756" t="s">
        <v>14</v>
      </c>
      <c r="I756" t="s">
        <v>15</v>
      </c>
    </row>
    <row r="757" spans="1:9" x14ac:dyDescent="0.25">
      <c r="A757">
        <v>20131031</v>
      </c>
      <c r="B757" t="str">
        <f>"010937"</f>
        <v>010937</v>
      </c>
      <c r="C757" t="str">
        <f t="shared" si="77"/>
        <v>79800</v>
      </c>
      <c r="D757" t="s">
        <v>13</v>
      </c>
      <c r="E757">
        <v>270.62</v>
      </c>
      <c r="F757">
        <v>20131029</v>
      </c>
      <c r="G757" t="s">
        <v>14</v>
      </c>
      <c r="I757" t="s">
        <v>15</v>
      </c>
    </row>
    <row r="758" spans="1:9" x14ac:dyDescent="0.25">
      <c r="A758">
        <v>20131031</v>
      </c>
      <c r="B758" t="str">
        <f>"010937"</f>
        <v>010937</v>
      </c>
      <c r="C758" t="str">
        <f t="shared" si="77"/>
        <v>79800</v>
      </c>
      <c r="D758" t="s">
        <v>13</v>
      </c>
      <c r="E758">
        <v>-270.62</v>
      </c>
      <c r="F758">
        <v>20131106</v>
      </c>
      <c r="G758" t="s">
        <v>14</v>
      </c>
      <c r="H758" t="s">
        <v>333</v>
      </c>
      <c r="I758" t="s">
        <v>15</v>
      </c>
    </row>
    <row r="759" spans="1:9" x14ac:dyDescent="0.25">
      <c r="A759">
        <v>20131101</v>
      </c>
      <c r="B759" t="str">
        <f>"010938"</f>
        <v>010938</v>
      </c>
      <c r="C759" t="str">
        <f t="shared" ref="C759:C790" si="78">"79801"</f>
        <v>79801</v>
      </c>
      <c r="D759" t="s">
        <v>17</v>
      </c>
      <c r="E759">
        <v>206</v>
      </c>
      <c r="F759">
        <v>20131106</v>
      </c>
      <c r="G759" t="s">
        <v>14</v>
      </c>
      <c r="I759" t="s">
        <v>15</v>
      </c>
    </row>
    <row r="760" spans="1:9" x14ac:dyDescent="0.25">
      <c r="A760">
        <v>20131104</v>
      </c>
      <c r="B760" t="str">
        <f>"010939"</f>
        <v>010939</v>
      </c>
      <c r="C760" t="str">
        <f t="shared" si="78"/>
        <v>79801</v>
      </c>
      <c r="D760" t="s">
        <v>17</v>
      </c>
      <c r="E760">
        <v>573</v>
      </c>
      <c r="F760">
        <v>20131106</v>
      </c>
      <c r="G760" t="s">
        <v>14</v>
      </c>
      <c r="I760" t="s">
        <v>15</v>
      </c>
    </row>
    <row r="761" spans="1:9" x14ac:dyDescent="0.25">
      <c r="A761">
        <v>20131105</v>
      </c>
      <c r="B761" t="str">
        <f>"010940"</f>
        <v>010940</v>
      </c>
      <c r="C761" t="str">
        <f t="shared" si="78"/>
        <v>79801</v>
      </c>
      <c r="D761" t="s">
        <v>17</v>
      </c>
      <c r="E761">
        <v>193.3</v>
      </c>
      <c r="F761">
        <v>20131106</v>
      </c>
      <c r="G761" t="s">
        <v>14</v>
      </c>
      <c r="I761" t="s">
        <v>15</v>
      </c>
    </row>
    <row r="762" spans="1:9" x14ac:dyDescent="0.25">
      <c r="A762">
        <v>20131105</v>
      </c>
      <c r="B762" t="str">
        <f>"010941"</f>
        <v>010941</v>
      </c>
      <c r="C762" t="str">
        <f t="shared" si="78"/>
        <v>79801</v>
      </c>
      <c r="D762" t="s">
        <v>17</v>
      </c>
      <c r="E762">
        <v>253.4</v>
      </c>
      <c r="F762">
        <v>20131106</v>
      </c>
      <c r="G762" t="s">
        <v>14</v>
      </c>
      <c r="I762" t="s">
        <v>15</v>
      </c>
    </row>
    <row r="763" spans="1:9" x14ac:dyDescent="0.25">
      <c r="A763">
        <v>20131106</v>
      </c>
      <c r="B763" t="str">
        <f>"010942"</f>
        <v>010942</v>
      </c>
      <c r="C763" t="str">
        <f t="shared" si="78"/>
        <v>79801</v>
      </c>
      <c r="D763" t="s">
        <v>17</v>
      </c>
      <c r="E763">
        <v>608.05999999999995</v>
      </c>
      <c r="F763">
        <v>20131106</v>
      </c>
      <c r="G763" t="s">
        <v>14</v>
      </c>
      <c r="I763" t="s">
        <v>15</v>
      </c>
    </row>
    <row r="764" spans="1:9" x14ac:dyDescent="0.25">
      <c r="A764">
        <v>20131106</v>
      </c>
      <c r="B764" t="str">
        <f>"010943"</f>
        <v>010943</v>
      </c>
      <c r="C764" t="str">
        <f t="shared" si="78"/>
        <v>79801</v>
      </c>
      <c r="D764" t="s">
        <v>17</v>
      </c>
      <c r="E764">
        <v>440</v>
      </c>
      <c r="F764">
        <v>20131106</v>
      </c>
      <c r="G764" t="s">
        <v>14</v>
      </c>
      <c r="I764" t="s">
        <v>15</v>
      </c>
    </row>
    <row r="765" spans="1:9" x14ac:dyDescent="0.25">
      <c r="A765">
        <v>20131106</v>
      </c>
      <c r="B765" t="str">
        <f>"010944"</f>
        <v>010944</v>
      </c>
      <c r="C765" t="str">
        <f t="shared" si="78"/>
        <v>79801</v>
      </c>
      <c r="D765" t="s">
        <v>17</v>
      </c>
      <c r="E765">
        <v>17.02</v>
      </c>
      <c r="F765">
        <v>20131106</v>
      </c>
      <c r="G765" t="s">
        <v>14</v>
      </c>
      <c r="I765" t="s">
        <v>15</v>
      </c>
    </row>
    <row r="766" spans="1:9" x14ac:dyDescent="0.25">
      <c r="A766">
        <v>20131106</v>
      </c>
      <c r="B766" t="str">
        <f>"010945"</f>
        <v>010945</v>
      </c>
      <c r="C766" t="str">
        <f t="shared" si="78"/>
        <v>79801</v>
      </c>
      <c r="D766" t="s">
        <v>17</v>
      </c>
      <c r="E766">
        <v>522.13</v>
      </c>
      <c r="F766">
        <v>20131106</v>
      </c>
      <c r="G766" t="s">
        <v>14</v>
      </c>
      <c r="I766" t="s">
        <v>15</v>
      </c>
    </row>
    <row r="767" spans="1:9" x14ac:dyDescent="0.25">
      <c r="A767">
        <v>20131106</v>
      </c>
      <c r="B767" t="str">
        <f>"010946"</f>
        <v>010946</v>
      </c>
      <c r="C767" t="str">
        <f t="shared" si="78"/>
        <v>79801</v>
      </c>
      <c r="D767" t="s">
        <v>17</v>
      </c>
      <c r="E767">
        <v>573</v>
      </c>
      <c r="F767">
        <v>20131106</v>
      </c>
      <c r="G767" t="s">
        <v>14</v>
      </c>
      <c r="I767" t="s">
        <v>15</v>
      </c>
    </row>
    <row r="768" spans="1:9" x14ac:dyDescent="0.25">
      <c r="A768">
        <v>20131108</v>
      </c>
      <c r="B768" t="str">
        <f>"010947"</f>
        <v>010947</v>
      </c>
      <c r="C768" t="str">
        <f t="shared" si="78"/>
        <v>79801</v>
      </c>
      <c r="D768" t="s">
        <v>17</v>
      </c>
      <c r="E768" s="1">
        <v>1337.93</v>
      </c>
      <c r="F768">
        <v>20131107</v>
      </c>
      <c r="G768" t="s">
        <v>14</v>
      </c>
      <c r="I768" t="s">
        <v>15</v>
      </c>
    </row>
    <row r="769" spans="1:9" x14ac:dyDescent="0.25">
      <c r="A769">
        <v>20131108</v>
      </c>
      <c r="B769" t="str">
        <f>"010948"</f>
        <v>010948</v>
      </c>
      <c r="C769" t="str">
        <f t="shared" si="78"/>
        <v>79801</v>
      </c>
      <c r="D769" t="s">
        <v>17</v>
      </c>
      <c r="E769">
        <v>266</v>
      </c>
      <c r="F769">
        <v>20131107</v>
      </c>
      <c r="G769" t="s">
        <v>14</v>
      </c>
      <c r="I769" t="s">
        <v>15</v>
      </c>
    </row>
    <row r="770" spans="1:9" x14ac:dyDescent="0.25">
      <c r="A770">
        <v>20131108</v>
      </c>
      <c r="B770" t="str">
        <f>"010949"</f>
        <v>010949</v>
      </c>
      <c r="C770" t="str">
        <f t="shared" si="78"/>
        <v>79801</v>
      </c>
      <c r="D770" t="s">
        <v>17</v>
      </c>
      <c r="E770">
        <v>279.05</v>
      </c>
      <c r="F770">
        <v>20131107</v>
      </c>
      <c r="G770" t="s">
        <v>14</v>
      </c>
      <c r="I770" t="s">
        <v>15</v>
      </c>
    </row>
    <row r="771" spans="1:9" x14ac:dyDescent="0.25">
      <c r="A771">
        <v>20131108</v>
      </c>
      <c r="B771" t="str">
        <f>"010950"</f>
        <v>010950</v>
      </c>
      <c r="C771" t="str">
        <f t="shared" si="78"/>
        <v>79801</v>
      </c>
      <c r="D771" t="s">
        <v>17</v>
      </c>
      <c r="E771">
        <v>313.38</v>
      </c>
      <c r="F771">
        <v>20131107</v>
      </c>
      <c r="G771" t="s">
        <v>14</v>
      </c>
      <c r="I771" t="s">
        <v>15</v>
      </c>
    </row>
    <row r="772" spans="1:9" x14ac:dyDescent="0.25">
      <c r="A772">
        <v>20131111</v>
      </c>
      <c r="B772" t="str">
        <f>"010951"</f>
        <v>010951</v>
      </c>
      <c r="C772" t="str">
        <f t="shared" si="78"/>
        <v>79801</v>
      </c>
      <c r="D772" t="s">
        <v>17</v>
      </c>
      <c r="E772">
        <v>573</v>
      </c>
      <c r="F772">
        <v>20131107</v>
      </c>
      <c r="G772" t="s">
        <v>14</v>
      </c>
      <c r="I772" t="s">
        <v>15</v>
      </c>
    </row>
    <row r="773" spans="1:9" x14ac:dyDescent="0.25">
      <c r="A773">
        <v>20131112</v>
      </c>
      <c r="B773" t="str">
        <f>"010952"</f>
        <v>010952</v>
      </c>
      <c r="C773" t="str">
        <f t="shared" si="78"/>
        <v>79801</v>
      </c>
      <c r="D773" t="s">
        <v>17</v>
      </c>
      <c r="E773">
        <v>253.4</v>
      </c>
      <c r="F773">
        <v>20131107</v>
      </c>
      <c r="G773" t="s">
        <v>14</v>
      </c>
      <c r="I773" t="s">
        <v>15</v>
      </c>
    </row>
    <row r="774" spans="1:9" x14ac:dyDescent="0.25">
      <c r="A774">
        <v>20131113</v>
      </c>
      <c r="B774" t="str">
        <f>"010953"</f>
        <v>010953</v>
      </c>
      <c r="C774" t="str">
        <f t="shared" si="78"/>
        <v>79801</v>
      </c>
      <c r="D774" t="s">
        <v>17</v>
      </c>
      <c r="E774" s="1">
        <v>1099</v>
      </c>
      <c r="F774">
        <v>20131111</v>
      </c>
      <c r="G774" t="s">
        <v>14</v>
      </c>
      <c r="I774" t="s">
        <v>15</v>
      </c>
    </row>
    <row r="775" spans="1:9" x14ac:dyDescent="0.25">
      <c r="A775">
        <v>20131113</v>
      </c>
      <c r="B775" t="str">
        <f>"010954"</f>
        <v>010954</v>
      </c>
      <c r="C775" t="str">
        <f t="shared" si="78"/>
        <v>79801</v>
      </c>
      <c r="D775" t="s">
        <v>17</v>
      </c>
      <c r="E775">
        <v>331.58</v>
      </c>
      <c r="F775">
        <v>20131111</v>
      </c>
      <c r="G775" t="s">
        <v>14</v>
      </c>
      <c r="I775" t="s">
        <v>15</v>
      </c>
    </row>
    <row r="776" spans="1:9" x14ac:dyDescent="0.25">
      <c r="A776">
        <v>20131113</v>
      </c>
      <c r="B776" t="str">
        <f>"010955"</f>
        <v>010955</v>
      </c>
      <c r="C776" t="str">
        <f t="shared" si="78"/>
        <v>79801</v>
      </c>
      <c r="D776" t="s">
        <v>17</v>
      </c>
      <c r="E776">
        <v>573</v>
      </c>
      <c r="F776">
        <v>20131111</v>
      </c>
      <c r="G776" t="s">
        <v>14</v>
      </c>
      <c r="I776" t="s">
        <v>15</v>
      </c>
    </row>
    <row r="777" spans="1:9" x14ac:dyDescent="0.25">
      <c r="A777">
        <v>20131113</v>
      </c>
      <c r="B777" t="str">
        <f>"010956"</f>
        <v>010956</v>
      </c>
      <c r="C777" t="str">
        <f t="shared" si="78"/>
        <v>79801</v>
      </c>
      <c r="D777" t="s">
        <v>17</v>
      </c>
      <c r="E777" s="1">
        <v>3605.26</v>
      </c>
      <c r="F777">
        <v>20131111</v>
      </c>
      <c r="G777" t="s">
        <v>14</v>
      </c>
      <c r="I777" t="s">
        <v>15</v>
      </c>
    </row>
    <row r="778" spans="1:9" x14ac:dyDescent="0.25">
      <c r="A778">
        <v>20131113</v>
      </c>
      <c r="B778" t="str">
        <f>"010957"</f>
        <v>010957</v>
      </c>
      <c r="C778" t="str">
        <f t="shared" si="78"/>
        <v>79801</v>
      </c>
      <c r="D778" t="s">
        <v>17</v>
      </c>
      <c r="E778">
        <v>724.31</v>
      </c>
      <c r="F778">
        <v>20131111</v>
      </c>
      <c r="G778" t="s">
        <v>14</v>
      </c>
      <c r="I778" t="s">
        <v>15</v>
      </c>
    </row>
    <row r="779" spans="1:9" x14ac:dyDescent="0.25">
      <c r="A779">
        <v>20131113</v>
      </c>
      <c r="B779" t="str">
        <f>"010958"</f>
        <v>010958</v>
      </c>
      <c r="C779" t="str">
        <f t="shared" si="78"/>
        <v>79801</v>
      </c>
      <c r="D779" t="s">
        <v>17</v>
      </c>
      <c r="E779">
        <v>302.16000000000003</v>
      </c>
      <c r="F779">
        <v>20131111</v>
      </c>
      <c r="G779" t="s">
        <v>14</v>
      </c>
      <c r="I779" t="s">
        <v>15</v>
      </c>
    </row>
    <row r="780" spans="1:9" x14ac:dyDescent="0.25">
      <c r="A780">
        <v>20131115</v>
      </c>
      <c r="B780" t="str">
        <f>"010959"</f>
        <v>010959</v>
      </c>
      <c r="C780" t="str">
        <f t="shared" si="78"/>
        <v>79801</v>
      </c>
      <c r="D780" t="s">
        <v>17</v>
      </c>
      <c r="E780" s="1">
        <v>1584.98</v>
      </c>
      <c r="F780">
        <v>20131113</v>
      </c>
      <c r="G780" t="s">
        <v>14</v>
      </c>
      <c r="I780" t="s">
        <v>15</v>
      </c>
    </row>
    <row r="781" spans="1:9" x14ac:dyDescent="0.25">
      <c r="A781">
        <v>20131115</v>
      </c>
      <c r="B781" t="str">
        <f>"010960"</f>
        <v>010960</v>
      </c>
      <c r="C781" t="str">
        <f t="shared" si="78"/>
        <v>79801</v>
      </c>
      <c r="D781" t="s">
        <v>17</v>
      </c>
      <c r="E781">
        <v>482.7</v>
      </c>
      <c r="F781">
        <v>20131113</v>
      </c>
      <c r="G781" t="s">
        <v>14</v>
      </c>
      <c r="I781" t="s">
        <v>15</v>
      </c>
    </row>
    <row r="782" spans="1:9" x14ac:dyDescent="0.25">
      <c r="A782">
        <v>20131118</v>
      </c>
      <c r="B782" t="str">
        <f>"010961"</f>
        <v>010961</v>
      </c>
      <c r="C782" t="str">
        <f t="shared" si="78"/>
        <v>79801</v>
      </c>
      <c r="D782" t="s">
        <v>17</v>
      </c>
      <c r="E782">
        <v>573</v>
      </c>
      <c r="F782">
        <v>20131113</v>
      </c>
      <c r="G782" t="s">
        <v>14</v>
      </c>
      <c r="I782" t="s">
        <v>15</v>
      </c>
    </row>
    <row r="783" spans="1:9" x14ac:dyDescent="0.25">
      <c r="A783">
        <v>20131118</v>
      </c>
      <c r="B783" t="str">
        <f>"010962"</f>
        <v>010962</v>
      </c>
      <c r="C783" t="str">
        <f t="shared" si="78"/>
        <v>79801</v>
      </c>
      <c r="D783" t="s">
        <v>17</v>
      </c>
      <c r="E783">
        <v>411.32</v>
      </c>
      <c r="F783">
        <v>20131113</v>
      </c>
      <c r="G783" t="s">
        <v>14</v>
      </c>
      <c r="I783" t="s">
        <v>15</v>
      </c>
    </row>
    <row r="784" spans="1:9" x14ac:dyDescent="0.25">
      <c r="A784">
        <v>20131119</v>
      </c>
      <c r="B784" t="str">
        <f>"010963"</f>
        <v>010963</v>
      </c>
      <c r="C784" t="str">
        <f t="shared" si="78"/>
        <v>79801</v>
      </c>
      <c r="D784" t="s">
        <v>17</v>
      </c>
      <c r="E784">
        <v>253.4</v>
      </c>
      <c r="F784">
        <v>20131115</v>
      </c>
      <c r="G784" t="s">
        <v>14</v>
      </c>
      <c r="I784" t="s">
        <v>15</v>
      </c>
    </row>
    <row r="785" spans="1:9" x14ac:dyDescent="0.25">
      <c r="A785">
        <v>20131120</v>
      </c>
      <c r="B785" t="str">
        <f>"010964"</f>
        <v>010964</v>
      </c>
      <c r="C785" t="str">
        <f t="shared" si="78"/>
        <v>79801</v>
      </c>
      <c r="D785" t="s">
        <v>17</v>
      </c>
      <c r="E785">
        <v>573</v>
      </c>
      <c r="F785">
        <v>20131118</v>
      </c>
      <c r="G785" t="s">
        <v>14</v>
      </c>
      <c r="I785" t="s">
        <v>15</v>
      </c>
    </row>
    <row r="786" spans="1:9" x14ac:dyDescent="0.25">
      <c r="A786">
        <v>20131120</v>
      </c>
      <c r="B786" t="str">
        <f>"010965"</f>
        <v>010965</v>
      </c>
      <c r="C786" t="str">
        <f t="shared" si="78"/>
        <v>79801</v>
      </c>
      <c r="D786" t="s">
        <v>17</v>
      </c>
      <c r="E786">
        <v>254.61</v>
      </c>
      <c r="F786">
        <v>20131118</v>
      </c>
      <c r="G786" t="s">
        <v>14</v>
      </c>
      <c r="I786" t="s">
        <v>15</v>
      </c>
    </row>
    <row r="787" spans="1:9" x14ac:dyDescent="0.25">
      <c r="A787">
        <v>20131122</v>
      </c>
      <c r="B787" t="str">
        <f>"010966"</f>
        <v>010966</v>
      </c>
      <c r="C787" t="str">
        <f t="shared" si="78"/>
        <v>79801</v>
      </c>
      <c r="D787" t="s">
        <v>17</v>
      </c>
      <c r="E787">
        <v>4</v>
      </c>
      <c r="F787">
        <v>20131122</v>
      </c>
      <c r="G787" t="s">
        <v>14</v>
      </c>
      <c r="I787" t="s">
        <v>15</v>
      </c>
    </row>
    <row r="788" spans="1:9" x14ac:dyDescent="0.25">
      <c r="A788">
        <v>20131125</v>
      </c>
      <c r="B788" t="str">
        <f>"010967"</f>
        <v>010967</v>
      </c>
      <c r="C788" t="str">
        <f t="shared" si="78"/>
        <v>79801</v>
      </c>
      <c r="D788" t="s">
        <v>17</v>
      </c>
      <c r="E788">
        <v>573</v>
      </c>
      <c r="F788">
        <v>20131122</v>
      </c>
      <c r="G788" t="s">
        <v>14</v>
      </c>
      <c r="I788" t="s">
        <v>15</v>
      </c>
    </row>
    <row r="789" spans="1:9" x14ac:dyDescent="0.25">
      <c r="A789">
        <v>20131126</v>
      </c>
      <c r="B789" t="str">
        <f>"010968"</f>
        <v>010968</v>
      </c>
      <c r="C789" t="str">
        <f t="shared" si="78"/>
        <v>79801</v>
      </c>
      <c r="D789" t="s">
        <v>17</v>
      </c>
      <c r="E789">
        <v>253.4</v>
      </c>
      <c r="F789">
        <v>20131122</v>
      </c>
      <c r="G789" t="s">
        <v>14</v>
      </c>
      <c r="I789" t="s">
        <v>15</v>
      </c>
    </row>
    <row r="790" spans="1:9" x14ac:dyDescent="0.25">
      <c r="A790">
        <v>20131126</v>
      </c>
      <c r="B790" t="str">
        <f>"010969"</f>
        <v>010969</v>
      </c>
      <c r="C790" t="str">
        <f t="shared" si="78"/>
        <v>79801</v>
      </c>
      <c r="D790" t="s">
        <v>17</v>
      </c>
      <c r="E790">
        <v>573</v>
      </c>
      <c r="F790">
        <v>20131122</v>
      </c>
      <c r="G790" t="s">
        <v>14</v>
      </c>
      <c r="I790" t="s">
        <v>15</v>
      </c>
    </row>
    <row r="791" spans="1:9" x14ac:dyDescent="0.25">
      <c r="A791">
        <v>20131126</v>
      </c>
      <c r="B791" t="str">
        <f>"010970"</f>
        <v>010970</v>
      </c>
      <c r="C791" t="str">
        <f t="shared" ref="C791:C822" si="79">"79801"</f>
        <v>79801</v>
      </c>
      <c r="D791" t="s">
        <v>17</v>
      </c>
      <c r="E791">
        <v>573</v>
      </c>
      <c r="F791">
        <v>20131122</v>
      </c>
      <c r="G791" t="s">
        <v>14</v>
      </c>
      <c r="I791" t="s">
        <v>15</v>
      </c>
    </row>
    <row r="792" spans="1:9" x14ac:dyDescent="0.25">
      <c r="A792">
        <v>20131126</v>
      </c>
      <c r="B792" t="str">
        <f>"010971"</f>
        <v>010971</v>
      </c>
      <c r="C792" t="str">
        <f t="shared" si="79"/>
        <v>79801</v>
      </c>
      <c r="D792" t="s">
        <v>17</v>
      </c>
      <c r="E792">
        <v>253.4</v>
      </c>
      <c r="F792">
        <v>20131122</v>
      </c>
      <c r="G792" t="s">
        <v>14</v>
      </c>
      <c r="I792" t="s">
        <v>15</v>
      </c>
    </row>
    <row r="793" spans="1:9" x14ac:dyDescent="0.25">
      <c r="A793">
        <v>20131126</v>
      </c>
      <c r="B793" t="str">
        <f>"010972"</f>
        <v>010972</v>
      </c>
      <c r="C793" t="str">
        <f t="shared" si="79"/>
        <v>79801</v>
      </c>
      <c r="D793" t="s">
        <v>17</v>
      </c>
      <c r="E793">
        <v>573</v>
      </c>
      <c r="F793">
        <v>20131122</v>
      </c>
      <c r="G793" t="s">
        <v>14</v>
      </c>
      <c r="I793" t="s">
        <v>15</v>
      </c>
    </row>
    <row r="794" spans="1:9" x14ac:dyDescent="0.25">
      <c r="A794">
        <v>20131206</v>
      </c>
      <c r="B794" t="str">
        <f>"010973"</f>
        <v>010973</v>
      </c>
      <c r="C794" t="str">
        <f t="shared" si="79"/>
        <v>79801</v>
      </c>
      <c r="D794" t="s">
        <v>17</v>
      </c>
      <c r="E794">
        <v>337.33</v>
      </c>
      <c r="F794">
        <v>20131210</v>
      </c>
      <c r="G794" t="s">
        <v>14</v>
      </c>
      <c r="I794" t="s">
        <v>15</v>
      </c>
    </row>
    <row r="795" spans="1:9" x14ac:dyDescent="0.25">
      <c r="A795">
        <v>20131206</v>
      </c>
      <c r="B795" t="str">
        <f>"010974"</f>
        <v>010974</v>
      </c>
      <c r="C795" t="str">
        <f t="shared" si="79"/>
        <v>79801</v>
      </c>
      <c r="D795" t="s">
        <v>17</v>
      </c>
      <c r="E795">
        <v>112.25</v>
      </c>
      <c r="F795">
        <v>20131210</v>
      </c>
      <c r="G795" t="s">
        <v>14</v>
      </c>
      <c r="I795" t="s">
        <v>15</v>
      </c>
    </row>
    <row r="796" spans="1:9" x14ac:dyDescent="0.25">
      <c r="A796">
        <v>20131206</v>
      </c>
      <c r="B796" t="str">
        <f>"010975"</f>
        <v>010975</v>
      </c>
      <c r="C796" t="str">
        <f t="shared" si="79"/>
        <v>79801</v>
      </c>
      <c r="D796" t="s">
        <v>17</v>
      </c>
      <c r="E796">
        <v>57.67</v>
      </c>
      <c r="F796">
        <v>20131210</v>
      </c>
      <c r="G796" t="s">
        <v>14</v>
      </c>
      <c r="I796" t="s">
        <v>15</v>
      </c>
    </row>
    <row r="797" spans="1:9" x14ac:dyDescent="0.25">
      <c r="A797">
        <v>20131206</v>
      </c>
      <c r="B797" t="str">
        <f>"010976"</f>
        <v>010976</v>
      </c>
      <c r="C797" t="str">
        <f t="shared" si="79"/>
        <v>79801</v>
      </c>
      <c r="D797" t="s">
        <v>17</v>
      </c>
      <c r="E797">
        <v>170</v>
      </c>
      <c r="F797">
        <v>20131210</v>
      </c>
      <c r="G797" t="s">
        <v>14</v>
      </c>
      <c r="I797" t="s">
        <v>15</v>
      </c>
    </row>
    <row r="798" spans="1:9" x14ac:dyDescent="0.25">
      <c r="A798">
        <v>20131206</v>
      </c>
      <c r="B798" t="str">
        <f>"010977"</f>
        <v>010977</v>
      </c>
      <c r="C798" t="str">
        <f t="shared" si="79"/>
        <v>79801</v>
      </c>
      <c r="D798" t="s">
        <v>17</v>
      </c>
      <c r="E798">
        <v>166</v>
      </c>
      <c r="F798">
        <v>20131210</v>
      </c>
      <c r="G798" t="s">
        <v>14</v>
      </c>
      <c r="I798" t="s">
        <v>15</v>
      </c>
    </row>
    <row r="799" spans="1:9" x14ac:dyDescent="0.25">
      <c r="A799">
        <v>20131206</v>
      </c>
      <c r="B799" t="str">
        <f>"010978"</f>
        <v>010978</v>
      </c>
      <c r="C799" t="str">
        <f t="shared" si="79"/>
        <v>79801</v>
      </c>
      <c r="D799" t="s">
        <v>17</v>
      </c>
      <c r="E799">
        <v>166</v>
      </c>
      <c r="F799">
        <v>20131210</v>
      </c>
      <c r="G799" t="s">
        <v>14</v>
      </c>
      <c r="I799" t="s">
        <v>15</v>
      </c>
    </row>
    <row r="800" spans="1:9" x14ac:dyDescent="0.25">
      <c r="A800">
        <v>20131206</v>
      </c>
      <c r="B800" t="str">
        <f>"010979"</f>
        <v>010979</v>
      </c>
      <c r="C800" t="str">
        <f t="shared" si="79"/>
        <v>79801</v>
      </c>
      <c r="D800" t="s">
        <v>17</v>
      </c>
      <c r="E800">
        <v>166</v>
      </c>
      <c r="F800">
        <v>20131210</v>
      </c>
      <c r="G800" t="s">
        <v>14</v>
      </c>
      <c r="I800" t="s">
        <v>15</v>
      </c>
    </row>
    <row r="801" spans="1:9" x14ac:dyDescent="0.25">
      <c r="A801">
        <v>20131206</v>
      </c>
      <c r="B801" t="str">
        <f>"010980"</f>
        <v>010980</v>
      </c>
      <c r="C801" t="str">
        <f t="shared" si="79"/>
        <v>79801</v>
      </c>
      <c r="D801" t="s">
        <v>17</v>
      </c>
      <c r="E801">
        <v>174.92</v>
      </c>
      <c r="F801">
        <v>20131210</v>
      </c>
      <c r="G801" t="s">
        <v>14</v>
      </c>
      <c r="I801" t="s">
        <v>15</v>
      </c>
    </row>
    <row r="802" spans="1:9" x14ac:dyDescent="0.25">
      <c r="A802">
        <v>20131209</v>
      </c>
      <c r="B802" t="str">
        <f>"010981"</f>
        <v>010981</v>
      </c>
      <c r="C802" t="str">
        <f t="shared" si="79"/>
        <v>79801</v>
      </c>
      <c r="D802" t="s">
        <v>17</v>
      </c>
      <c r="E802">
        <v>874.35</v>
      </c>
      <c r="F802">
        <v>20131210</v>
      </c>
      <c r="G802" t="s">
        <v>14</v>
      </c>
      <c r="I802" t="s">
        <v>15</v>
      </c>
    </row>
    <row r="803" spans="1:9" x14ac:dyDescent="0.25">
      <c r="A803">
        <v>20131209</v>
      </c>
      <c r="B803" t="str">
        <f>"010982"</f>
        <v>010982</v>
      </c>
      <c r="C803" t="str">
        <f t="shared" si="79"/>
        <v>79801</v>
      </c>
      <c r="D803" t="s">
        <v>17</v>
      </c>
      <c r="E803">
        <v>573</v>
      </c>
      <c r="F803">
        <v>20131210</v>
      </c>
      <c r="G803" t="s">
        <v>14</v>
      </c>
      <c r="I803" t="s">
        <v>15</v>
      </c>
    </row>
    <row r="804" spans="1:9" x14ac:dyDescent="0.25">
      <c r="A804">
        <v>20131210</v>
      </c>
      <c r="B804" t="str">
        <f>"010983"</f>
        <v>010983</v>
      </c>
      <c r="C804" t="str">
        <f t="shared" si="79"/>
        <v>79801</v>
      </c>
      <c r="D804" t="s">
        <v>17</v>
      </c>
      <c r="E804">
        <v>253.4</v>
      </c>
      <c r="F804">
        <v>20131210</v>
      </c>
      <c r="G804" t="s">
        <v>14</v>
      </c>
      <c r="I804" t="s">
        <v>15</v>
      </c>
    </row>
    <row r="805" spans="1:9" x14ac:dyDescent="0.25">
      <c r="A805">
        <v>20131210</v>
      </c>
      <c r="B805" t="str">
        <f>"010984"</f>
        <v>010984</v>
      </c>
      <c r="C805" t="str">
        <f t="shared" si="79"/>
        <v>79801</v>
      </c>
      <c r="D805" t="s">
        <v>17</v>
      </c>
      <c r="E805">
        <v>166</v>
      </c>
      <c r="F805">
        <v>20131210</v>
      </c>
      <c r="G805" t="s">
        <v>14</v>
      </c>
      <c r="I805" t="s">
        <v>15</v>
      </c>
    </row>
    <row r="806" spans="1:9" x14ac:dyDescent="0.25">
      <c r="A806">
        <v>20131210</v>
      </c>
      <c r="B806" t="str">
        <f>"010985"</f>
        <v>010985</v>
      </c>
      <c r="C806" t="str">
        <f t="shared" si="79"/>
        <v>79801</v>
      </c>
      <c r="D806" t="s">
        <v>17</v>
      </c>
      <c r="E806">
        <v>266</v>
      </c>
      <c r="F806">
        <v>20131210</v>
      </c>
      <c r="G806" t="s">
        <v>14</v>
      </c>
      <c r="I806" t="s">
        <v>15</v>
      </c>
    </row>
    <row r="807" spans="1:9" x14ac:dyDescent="0.25">
      <c r="A807">
        <v>20131210</v>
      </c>
      <c r="B807" t="str">
        <f>"010986"</f>
        <v>010986</v>
      </c>
      <c r="C807" t="str">
        <f t="shared" si="79"/>
        <v>79801</v>
      </c>
      <c r="D807" t="s">
        <v>17</v>
      </c>
      <c r="E807">
        <v>306</v>
      </c>
      <c r="F807">
        <v>20131210</v>
      </c>
      <c r="G807" t="s">
        <v>14</v>
      </c>
      <c r="I807" t="s">
        <v>15</v>
      </c>
    </row>
    <row r="808" spans="1:9" x14ac:dyDescent="0.25">
      <c r="A808">
        <v>20131210</v>
      </c>
      <c r="B808" t="str">
        <f>"010987"</f>
        <v>010987</v>
      </c>
      <c r="C808" t="str">
        <f t="shared" si="79"/>
        <v>79801</v>
      </c>
      <c r="D808" t="s">
        <v>17</v>
      </c>
      <c r="E808">
        <v>572.82000000000005</v>
      </c>
      <c r="F808">
        <v>20131210</v>
      </c>
      <c r="G808" t="s">
        <v>14</v>
      </c>
      <c r="I808" t="s">
        <v>15</v>
      </c>
    </row>
    <row r="809" spans="1:9" x14ac:dyDescent="0.25">
      <c r="A809">
        <v>20131210</v>
      </c>
      <c r="B809" t="str">
        <f>"010988"</f>
        <v>010988</v>
      </c>
      <c r="C809" t="str">
        <f t="shared" si="79"/>
        <v>79801</v>
      </c>
      <c r="D809" t="s">
        <v>17</v>
      </c>
      <c r="E809">
        <v>573</v>
      </c>
      <c r="F809">
        <v>20131210</v>
      </c>
      <c r="G809" t="s">
        <v>14</v>
      </c>
      <c r="I809" t="s">
        <v>15</v>
      </c>
    </row>
    <row r="810" spans="1:9" x14ac:dyDescent="0.25">
      <c r="A810">
        <v>20131213</v>
      </c>
      <c r="B810" t="str">
        <f>"010989"</f>
        <v>010989</v>
      </c>
      <c r="C810" t="str">
        <f t="shared" si="79"/>
        <v>79801</v>
      </c>
      <c r="D810" t="s">
        <v>17</v>
      </c>
      <c r="E810">
        <v>614.01</v>
      </c>
      <c r="F810">
        <v>20131210</v>
      </c>
      <c r="G810" t="s">
        <v>14</v>
      </c>
      <c r="I810" t="s">
        <v>15</v>
      </c>
    </row>
    <row r="811" spans="1:9" x14ac:dyDescent="0.25">
      <c r="A811">
        <v>20131213</v>
      </c>
      <c r="B811" t="str">
        <f>"010990"</f>
        <v>010990</v>
      </c>
      <c r="C811" t="str">
        <f t="shared" si="79"/>
        <v>79801</v>
      </c>
      <c r="D811" t="s">
        <v>17</v>
      </c>
      <c r="E811">
        <v>165.09</v>
      </c>
      <c r="F811">
        <v>20131210</v>
      </c>
      <c r="G811" t="s">
        <v>14</v>
      </c>
      <c r="I811" t="s">
        <v>15</v>
      </c>
    </row>
    <row r="812" spans="1:9" x14ac:dyDescent="0.25">
      <c r="A812">
        <v>20131216</v>
      </c>
      <c r="B812" t="str">
        <f>"010991"</f>
        <v>010991</v>
      </c>
      <c r="C812" t="str">
        <f t="shared" si="79"/>
        <v>79801</v>
      </c>
      <c r="D812" t="s">
        <v>17</v>
      </c>
      <c r="E812">
        <v>573</v>
      </c>
      <c r="F812">
        <v>20131218</v>
      </c>
      <c r="G812" t="s">
        <v>14</v>
      </c>
      <c r="I812" t="s">
        <v>15</v>
      </c>
    </row>
    <row r="813" spans="1:9" x14ac:dyDescent="0.25">
      <c r="A813">
        <v>20131217</v>
      </c>
      <c r="B813" t="str">
        <f>"010992"</f>
        <v>010992</v>
      </c>
      <c r="C813" t="str">
        <f t="shared" si="79"/>
        <v>79801</v>
      </c>
      <c r="D813" t="s">
        <v>17</v>
      </c>
      <c r="E813">
        <v>253.4</v>
      </c>
      <c r="F813">
        <v>20131218</v>
      </c>
      <c r="G813" t="s">
        <v>14</v>
      </c>
      <c r="I813" t="s">
        <v>15</v>
      </c>
    </row>
    <row r="814" spans="1:9" x14ac:dyDescent="0.25">
      <c r="A814">
        <v>20131218</v>
      </c>
      <c r="B814" t="str">
        <f>"010993"</f>
        <v>010993</v>
      </c>
      <c r="C814" t="str">
        <f t="shared" si="79"/>
        <v>79801</v>
      </c>
      <c r="D814" t="s">
        <v>17</v>
      </c>
      <c r="E814">
        <v>371.24</v>
      </c>
      <c r="F814">
        <v>20131218</v>
      </c>
      <c r="G814" t="s">
        <v>14</v>
      </c>
      <c r="I814" t="s">
        <v>15</v>
      </c>
    </row>
    <row r="815" spans="1:9" x14ac:dyDescent="0.25">
      <c r="A815">
        <v>20131218</v>
      </c>
      <c r="B815" t="str">
        <f>"010994"</f>
        <v>010994</v>
      </c>
      <c r="C815" t="str">
        <f t="shared" si="79"/>
        <v>79801</v>
      </c>
      <c r="D815" t="s">
        <v>17</v>
      </c>
      <c r="E815">
        <v>482.7</v>
      </c>
      <c r="F815">
        <v>20131218</v>
      </c>
      <c r="G815" t="s">
        <v>14</v>
      </c>
      <c r="I815" t="s">
        <v>15</v>
      </c>
    </row>
    <row r="816" spans="1:9" x14ac:dyDescent="0.25">
      <c r="A816">
        <v>20131218</v>
      </c>
      <c r="B816" t="str">
        <f>"010995"</f>
        <v>010995</v>
      </c>
      <c r="C816" t="str">
        <f t="shared" si="79"/>
        <v>79801</v>
      </c>
      <c r="D816" t="s">
        <v>17</v>
      </c>
      <c r="E816">
        <v>500</v>
      </c>
      <c r="F816">
        <v>20131218</v>
      </c>
      <c r="G816" t="s">
        <v>14</v>
      </c>
      <c r="I816" t="s">
        <v>15</v>
      </c>
    </row>
    <row r="817" spans="1:9" x14ac:dyDescent="0.25">
      <c r="A817">
        <v>20131218</v>
      </c>
      <c r="B817" t="str">
        <f>"010996"</f>
        <v>010996</v>
      </c>
      <c r="C817" t="str">
        <f t="shared" si="79"/>
        <v>79801</v>
      </c>
      <c r="D817" t="s">
        <v>17</v>
      </c>
      <c r="E817">
        <v>52.85</v>
      </c>
      <c r="F817">
        <v>20131218</v>
      </c>
      <c r="G817" t="s">
        <v>14</v>
      </c>
      <c r="I817" t="s">
        <v>15</v>
      </c>
    </row>
    <row r="818" spans="1:9" x14ac:dyDescent="0.25">
      <c r="A818">
        <v>20131218</v>
      </c>
      <c r="B818" t="str">
        <f>"010997"</f>
        <v>010997</v>
      </c>
      <c r="C818" t="str">
        <f t="shared" si="79"/>
        <v>79801</v>
      </c>
      <c r="D818" t="s">
        <v>17</v>
      </c>
      <c r="E818">
        <v>573</v>
      </c>
      <c r="F818">
        <v>20131218</v>
      </c>
      <c r="G818" t="s">
        <v>14</v>
      </c>
      <c r="I818" t="s">
        <v>15</v>
      </c>
    </row>
    <row r="819" spans="1:9" x14ac:dyDescent="0.25">
      <c r="A819">
        <v>20131220</v>
      </c>
      <c r="B819" t="str">
        <f>"010998"</f>
        <v>010998</v>
      </c>
      <c r="C819" t="str">
        <f t="shared" si="79"/>
        <v>79801</v>
      </c>
      <c r="D819" t="s">
        <v>17</v>
      </c>
      <c r="E819">
        <v>166</v>
      </c>
      <c r="F819">
        <v>20131218</v>
      </c>
      <c r="G819" t="s">
        <v>14</v>
      </c>
      <c r="I819" t="s">
        <v>15</v>
      </c>
    </row>
    <row r="820" spans="1:9" x14ac:dyDescent="0.25">
      <c r="A820">
        <v>20131220</v>
      </c>
      <c r="B820" t="str">
        <f>"010999"</f>
        <v>010999</v>
      </c>
      <c r="C820" t="str">
        <f t="shared" si="79"/>
        <v>79801</v>
      </c>
      <c r="D820" t="s">
        <v>17</v>
      </c>
      <c r="E820">
        <v>359.8</v>
      </c>
      <c r="F820">
        <v>20131218</v>
      </c>
      <c r="G820" t="s">
        <v>14</v>
      </c>
      <c r="I820" t="s">
        <v>15</v>
      </c>
    </row>
    <row r="821" spans="1:9" x14ac:dyDescent="0.25">
      <c r="A821">
        <v>20131223</v>
      </c>
      <c r="B821" t="str">
        <f>"011000"</f>
        <v>011000</v>
      </c>
      <c r="C821" t="str">
        <f t="shared" si="79"/>
        <v>79801</v>
      </c>
      <c r="D821" t="s">
        <v>17</v>
      </c>
      <c r="E821">
        <v>573</v>
      </c>
      <c r="F821">
        <v>20131220</v>
      </c>
      <c r="G821" t="s">
        <v>14</v>
      </c>
      <c r="I821" t="s">
        <v>15</v>
      </c>
    </row>
    <row r="822" spans="1:9" x14ac:dyDescent="0.25">
      <c r="A822">
        <v>20131223</v>
      </c>
      <c r="B822" t="str">
        <f>"011001"</f>
        <v>011001</v>
      </c>
      <c r="C822" t="str">
        <f t="shared" si="79"/>
        <v>79801</v>
      </c>
      <c r="D822" t="s">
        <v>17</v>
      </c>
      <c r="E822">
        <v>253.4</v>
      </c>
      <c r="F822">
        <v>20131220</v>
      </c>
      <c r="G822" t="s">
        <v>14</v>
      </c>
      <c r="I822" t="s">
        <v>15</v>
      </c>
    </row>
    <row r="823" spans="1:9" x14ac:dyDescent="0.25">
      <c r="A823">
        <v>20131223</v>
      </c>
      <c r="B823" t="str">
        <f>"011002"</f>
        <v>011002</v>
      </c>
      <c r="C823" t="str">
        <f t="shared" ref="C823:C830" si="80">"79801"</f>
        <v>79801</v>
      </c>
      <c r="D823" t="s">
        <v>17</v>
      </c>
      <c r="E823">
        <v>573</v>
      </c>
      <c r="F823">
        <v>20131220</v>
      </c>
      <c r="G823" t="s">
        <v>14</v>
      </c>
      <c r="I823" t="s">
        <v>15</v>
      </c>
    </row>
    <row r="824" spans="1:9" x14ac:dyDescent="0.25">
      <c r="A824">
        <v>20131223</v>
      </c>
      <c r="B824" t="str">
        <f>"011003"</f>
        <v>011003</v>
      </c>
      <c r="C824" t="str">
        <f t="shared" si="80"/>
        <v>79801</v>
      </c>
      <c r="D824" t="s">
        <v>17</v>
      </c>
      <c r="E824">
        <v>573</v>
      </c>
      <c r="F824">
        <v>20131220</v>
      </c>
      <c r="G824" t="s">
        <v>14</v>
      </c>
      <c r="I824" t="s">
        <v>15</v>
      </c>
    </row>
    <row r="825" spans="1:9" x14ac:dyDescent="0.25">
      <c r="A825">
        <v>20131223</v>
      </c>
      <c r="B825" t="str">
        <f>"011004"</f>
        <v>011004</v>
      </c>
      <c r="C825" t="str">
        <f t="shared" si="80"/>
        <v>79801</v>
      </c>
      <c r="D825" t="s">
        <v>17</v>
      </c>
      <c r="E825">
        <v>253.4</v>
      </c>
      <c r="F825">
        <v>20131220</v>
      </c>
      <c r="G825" t="s">
        <v>14</v>
      </c>
      <c r="I825" t="s">
        <v>15</v>
      </c>
    </row>
    <row r="826" spans="1:9" x14ac:dyDescent="0.25">
      <c r="A826">
        <v>20131223</v>
      </c>
      <c r="B826" t="str">
        <f>"011005"</f>
        <v>011005</v>
      </c>
      <c r="C826" t="str">
        <f t="shared" si="80"/>
        <v>79801</v>
      </c>
      <c r="D826" t="s">
        <v>17</v>
      </c>
      <c r="E826">
        <v>573</v>
      </c>
      <c r="F826">
        <v>20131220</v>
      </c>
      <c r="G826" t="s">
        <v>14</v>
      </c>
      <c r="I826" t="s">
        <v>15</v>
      </c>
    </row>
    <row r="827" spans="1:9" x14ac:dyDescent="0.25">
      <c r="A827">
        <v>20131223</v>
      </c>
      <c r="B827" t="str">
        <f>"011006"</f>
        <v>011006</v>
      </c>
      <c r="C827" t="str">
        <f t="shared" si="80"/>
        <v>79801</v>
      </c>
      <c r="D827" t="s">
        <v>17</v>
      </c>
      <c r="E827">
        <v>573</v>
      </c>
      <c r="F827">
        <v>20131220</v>
      </c>
      <c r="G827" t="s">
        <v>14</v>
      </c>
      <c r="I827" t="s">
        <v>15</v>
      </c>
    </row>
    <row r="828" spans="1:9" x14ac:dyDescent="0.25">
      <c r="A828">
        <v>20131223</v>
      </c>
      <c r="B828" t="str">
        <f>"011007"</f>
        <v>011007</v>
      </c>
      <c r="C828" t="str">
        <f t="shared" si="80"/>
        <v>79801</v>
      </c>
      <c r="D828" t="s">
        <v>17</v>
      </c>
      <c r="E828">
        <v>253.4</v>
      </c>
      <c r="F828">
        <v>20131220</v>
      </c>
      <c r="G828" t="s">
        <v>14</v>
      </c>
      <c r="I828" t="s">
        <v>15</v>
      </c>
    </row>
    <row r="829" spans="1:9" x14ac:dyDescent="0.25">
      <c r="A829">
        <v>20131223</v>
      </c>
      <c r="B829" t="str">
        <f>"011007"</f>
        <v>011007</v>
      </c>
      <c r="C829" t="str">
        <f t="shared" si="80"/>
        <v>79801</v>
      </c>
      <c r="D829" t="s">
        <v>17</v>
      </c>
      <c r="E829">
        <v>-253.4</v>
      </c>
      <c r="F829">
        <v>20140114</v>
      </c>
      <c r="G829" t="s">
        <v>14</v>
      </c>
      <c r="H829" t="s">
        <v>333</v>
      </c>
      <c r="I829" t="s">
        <v>15</v>
      </c>
    </row>
    <row r="830" spans="1:9" x14ac:dyDescent="0.25">
      <c r="A830">
        <v>20131223</v>
      </c>
      <c r="B830" t="str">
        <f>"011008"</f>
        <v>011008</v>
      </c>
      <c r="C830" t="str">
        <f t="shared" si="80"/>
        <v>79801</v>
      </c>
      <c r="D830" t="s">
        <v>17</v>
      </c>
      <c r="E830">
        <v>573</v>
      </c>
      <c r="F830">
        <v>20131220</v>
      </c>
      <c r="G830" t="s">
        <v>14</v>
      </c>
      <c r="I830" t="s">
        <v>15</v>
      </c>
    </row>
    <row r="831" spans="1:9" x14ac:dyDescent="0.25">
      <c r="A831">
        <v>20140109</v>
      </c>
      <c r="B831" t="str">
        <f>"011009"</f>
        <v>011009</v>
      </c>
      <c r="C831" t="str">
        <f t="shared" ref="C831:C859" si="81">"79800"</f>
        <v>79800</v>
      </c>
      <c r="D831" t="s">
        <v>13</v>
      </c>
      <c r="E831">
        <v>12.87</v>
      </c>
      <c r="F831">
        <v>20140114</v>
      </c>
      <c r="G831" t="s">
        <v>14</v>
      </c>
      <c r="I831" t="s">
        <v>15</v>
      </c>
    </row>
    <row r="832" spans="1:9" x14ac:dyDescent="0.25">
      <c r="A832">
        <v>20140109</v>
      </c>
      <c r="B832" t="str">
        <f>"011010"</f>
        <v>011010</v>
      </c>
      <c r="C832" t="str">
        <f t="shared" si="81"/>
        <v>79800</v>
      </c>
      <c r="D832" t="s">
        <v>13</v>
      </c>
      <c r="E832">
        <v>332</v>
      </c>
      <c r="F832">
        <v>20140114</v>
      </c>
      <c r="G832" t="s">
        <v>14</v>
      </c>
      <c r="I832" t="s">
        <v>15</v>
      </c>
    </row>
    <row r="833" spans="1:9" x14ac:dyDescent="0.25">
      <c r="A833">
        <v>20140109</v>
      </c>
      <c r="B833" t="str">
        <f>"011011"</f>
        <v>011011</v>
      </c>
      <c r="C833" t="str">
        <f t="shared" si="81"/>
        <v>79800</v>
      </c>
      <c r="D833" t="s">
        <v>13</v>
      </c>
      <c r="E833">
        <v>58.76</v>
      </c>
      <c r="F833">
        <v>20140114</v>
      </c>
      <c r="G833" t="s">
        <v>14</v>
      </c>
      <c r="I833" t="s">
        <v>15</v>
      </c>
    </row>
    <row r="834" spans="1:9" x14ac:dyDescent="0.25">
      <c r="A834">
        <v>20140109</v>
      </c>
      <c r="B834" t="str">
        <f>"011012"</f>
        <v>011012</v>
      </c>
      <c r="C834" t="str">
        <f t="shared" si="81"/>
        <v>79800</v>
      </c>
      <c r="D834" t="s">
        <v>13</v>
      </c>
      <c r="E834">
        <v>13.52</v>
      </c>
      <c r="F834">
        <v>20140114</v>
      </c>
      <c r="G834" t="s">
        <v>14</v>
      </c>
      <c r="I834" t="s">
        <v>15</v>
      </c>
    </row>
    <row r="835" spans="1:9" x14ac:dyDescent="0.25">
      <c r="A835">
        <v>20140110</v>
      </c>
      <c r="B835" t="str">
        <f>"011013"</f>
        <v>011013</v>
      </c>
      <c r="C835" t="str">
        <f t="shared" si="81"/>
        <v>79800</v>
      </c>
      <c r="D835" t="s">
        <v>13</v>
      </c>
      <c r="E835" s="1">
        <v>6741.11</v>
      </c>
      <c r="F835">
        <v>20140114</v>
      </c>
      <c r="G835" t="s">
        <v>14</v>
      </c>
      <c r="I835" t="s">
        <v>15</v>
      </c>
    </row>
    <row r="836" spans="1:9" x14ac:dyDescent="0.25">
      <c r="A836">
        <v>20140110</v>
      </c>
      <c r="B836" t="str">
        <f>"011014"</f>
        <v>011014</v>
      </c>
      <c r="C836" t="str">
        <f t="shared" si="81"/>
        <v>79800</v>
      </c>
      <c r="D836" t="s">
        <v>13</v>
      </c>
      <c r="E836">
        <v>330.99</v>
      </c>
      <c r="F836">
        <v>20140114</v>
      </c>
      <c r="G836" t="s">
        <v>14</v>
      </c>
      <c r="I836" t="s">
        <v>15</v>
      </c>
    </row>
    <row r="837" spans="1:9" x14ac:dyDescent="0.25">
      <c r="A837">
        <v>20140110</v>
      </c>
      <c r="B837" t="str">
        <f>"011015"</f>
        <v>011015</v>
      </c>
      <c r="C837" t="str">
        <f t="shared" si="81"/>
        <v>79800</v>
      </c>
      <c r="D837" t="s">
        <v>13</v>
      </c>
      <c r="E837">
        <v>500</v>
      </c>
      <c r="F837">
        <v>20140114</v>
      </c>
      <c r="G837" t="s">
        <v>14</v>
      </c>
      <c r="I837" t="s">
        <v>15</v>
      </c>
    </row>
    <row r="838" spans="1:9" x14ac:dyDescent="0.25">
      <c r="A838">
        <v>20140110</v>
      </c>
      <c r="B838" t="str">
        <f>"011016"</f>
        <v>011016</v>
      </c>
      <c r="C838" t="str">
        <f t="shared" si="81"/>
        <v>79800</v>
      </c>
      <c r="D838" t="s">
        <v>13</v>
      </c>
      <c r="E838">
        <v>100</v>
      </c>
      <c r="F838">
        <v>20140114</v>
      </c>
      <c r="G838" t="s">
        <v>14</v>
      </c>
      <c r="I838" t="s">
        <v>15</v>
      </c>
    </row>
    <row r="839" spans="1:9" x14ac:dyDescent="0.25">
      <c r="A839">
        <v>20140110</v>
      </c>
      <c r="B839" t="str">
        <f>"011017"</f>
        <v>011017</v>
      </c>
      <c r="C839" t="str">
        <f t="shared" si="81"/>
        <v>79800</v>
      </c>
      <c r="D839" t="s">
        <v>13</v>
      </c>
      <c r="E839">
        <v>339.83</v>
      </c>
      <c r="F839">
        <v>20140114</v>
      </c>
      <c r="G839" t="s">
        <v>14</v>
      </c>
      <c r="I839" t="s">
        <v>15</v>
      </c>
    </row>
    <row r="840" spans="1:9" x14ac:dyDescent="0.25">
      <c r="A840">
        <v>20140110</v>
      </c>
      <c r="B840" t="str">
        <f>"011018"</f>
        <v>011018</v>
      </c>
      <c r="C840" t="str">
        <f t="shared" si="81"/>
        <v>79800</v>
      </c>
      <c r="D840" t="s">
        <v>13</v>
      </c>
      <c r="E840">
        <v>627.48</v>
      </c>
      <c r="F840">
        <v>20140114</v>
      </c>
      <c r="G840" t="s">
        <v>14</v>
      </c>
      <c r="I840" t="s">
        <v>15</v>
      </c>
    </row>
    <row r="841" spans="1:9" x14ac:dyDescent="0.25">
      <c r="A841">
        <v>20140113</v>
      </c>
      <c r="B841" t="str">
        <f>"011019"</f>
        <v>011019</v>
      </c>
      <c r="C841" t="str">
        <f t="shared" si="81"/>
        <v>79800</v>
      </c>
      <c r="D841" t="s">
        <v>13</v>
      </c>
      <c r="E841">
        <v>573</v>
      </c>
      <c r="F841">
        <v>20140114</v>
      </c>
      <c r="G841" t="s">
        <v>14</v>
      </c>
      <c r="I841" t="s">
        <v>15</v>
      </c>
    </row>
    <row r="842" spans="1:9" x14ac:dyDescent="0.25">
      <c r="A842">
        <v>20140115</v>
      </c>
      <c r="B842" t="str">
        <f>"011020"</f>
        <v>011020</v>
      </c>
      <c r="C842" t="str">
        <f t="shared" si="81"/>
        <v>79800</v>
      </c>
      <c r="D842" t="s">
        <v>13</v>
      </c>
      <c r="E842">
        <v>573</v>
      </c>
      <c r="F842">
        <v>20140116</v>
      </c>
      <c r="G842" t="s">
        <v>14</v>
      </c>
      <c r="I842" t="s">
        <v>15</v>
      </c>
    </row>
    <row r="843" spans="1:9" x14ac:dyDescent="0.25">
      <c r="A843">
        <v>20140117</v>
      </c>
      <c r="B843" t="str">
        <f>"011021"</f>
        <v>011021</v>
      </c>
      <c r="C843" t="str">
        <f t="shared" si="81"/>
        <v>79800</v>
      </c>
      <c r="D843" t="s">
        <v>13</v>
      </c>
      <c r="E843">
        <v>534.1</v>
      </c>
      <c r="F843">
        <v>20140116</v>
      </c>
      <c r="G843" t="s">
        <v>14</v>
      </c>
      <c r="I843" t="s">
        <v>15</v>
      </c>
    </row>
    <row r="844" spans="1:9" x14ac:dyDescent="0.25">
      <c r="A844">
        <v>20140117</v>
      </c>
      <c r="B844" t="str">
        <f>"011022"</f>
        <v>011022</v>
      </c>
      <c r="C844" t="str">
        <f t="shared" si="81"/>
        <v>79800</v>
      </c>
      <c r="D844" t="s">
        <v>13</v>
      </c>
      <c r="E844">
        <v>246.01</v>
      </c>
      <c r="F844">
        <v>20140116</v>
      </c>
      <c r="G844" t="s">
        <v>14</v>
      </c>
      <c r="I844" t="s">
        <v>15</v>
      </c>
    </row>
    <row r="845" spans="1:9" x14ac:dyDescent="0.25">
      <c r="A845">
        <v>20140117</v>
      </c>
      <c r="B845" t="str">
        <f>"011023"</f>
        <v>011023</v>
      </c>
      <c r="C845" t="str">
        <f t="shared" si="81"/>
        <v>79800</v>
      </c>
      <c r="D845" t="s">
        <v>13</v>
      </c>
      <c r="E845">
        <v>573.19000000000005</v>
      </c>
      <c r="F845">
        <v>20140116</v>
      </c>
      <c r="G845" t="s">
        <v>14</v>
      </c>
      <c r="I845" t="s">
        <v>15</v>
      </c>
    </row>
    <row r="846" spans="1:9" x14ac:dyDescent="0.25">
      <c r="A846">
        <v>20140121</v>
      </c>
      <c r="B846" t="str">
        <f>"011024"</f>
        <v>011024</v>
      </c>
      <c r="C846" t="str">
        <f t="shared" si="81"/>
        <v>79800</v>
      </c>
      <c r="D846" t="s">
        <v>13</v>
      </c>
      <c r="E846">
        <v>573</v>
      </c>
      <c r="F846">
        <v>20140116</v>
      </c>
      <c r="G846" t="s">
        <v>14</v>
      </c>
      <c r="I846" t="s">
        <v>15</v>
      </c>
    </row>
    <row r="847" spans="1:9" x14ac:dyDescent="0.25">
      <c r="A847">
        <v>20140121</v>
      </c>
      <c r="B847" t="str">
        <f>"011025"</f>
        <v>011025</v>
      </c>
      <c r="C847" t="str">
        <f t="shared" si="81"/>
        <v>79800</v>
      </c>
      <c r="D847" t="s">
        <v>13</v>
      </c>
      <c r="E847">
        <v>94.45</v>
      </c>
      <c r="F847">
        <v>20140116</v>
      </c>
      <c r="G847" t="s">
        <v>14</v>
      </c>
      <c r="I847" t="s">
        <v>15</v>
      </c>
    </row>
    <row r="848" spans="1:9" x14ac:dyDescent="0.25">
      <c r="A848">
        <v>20140121</v>
      </c>
      <c r="B848" t="str">
        <f>"011026"</f>
        <v>011026</v>
      </c>
      <c r="C848" t="str">
        <f t="shared" si="81"/>
        <v>79800</v>
      </c>
      <c r="D848" t="s">
        <v>13</v>
      </c>
      <c r="E848">
        <v>95.49</v>
      </c>
      <c r="F848">
        <v>20140116</v>
      </c>
      <c r="G848" t="s">
        <v>14</v>
      </c>
      <c r="I848" t="s">
        <v>15</v>
      </c>
    </row>
    <row r="849" spans="1:9" x14ac:dyDescent="0.25">
      <c r="A849">
        <v>20140121</v>
      </c>
      <c r="B849" t="str">
        <f>"011027"</f>
        <v>011027</v>
      </c>
      <c r="C849" t="str">
        <f t="shared" si="81"/>
        <v>79800</v>
      </c>
      <c r="D849" t="s">
        <v>13</v>
      </c>
      <c r="E849">
        <v>116.51</v>
      </c>
      <c r="F849">
        <v>20140116</v>
      </c>
      <c r="G849" t="s">
        <v>14</v>
      </c>
      <c r="I849" t="s">
        <v>15</v>
      </c>
    </row>
    <row r="850" spans="1:9" x14ac:dyDescent="0.25">
      <c r="A850">
        <v>20140121</v>
      </c>
      <c r="B850" t="str">
        <f>"011028"</f>
        <v>011028</v>
      </c>
      <c r="C850" t="str">
        <f t="shared" si="81"/>
        <v>79800</v>
      </c>
      <c r="D850" t="s">
        <v>13</v>
      </c>
      <c r="E850">
        <v>165.09</v>
      </c>
      <c r="F850">
        <v>20140116</v>
      </c>
      <c r="G850" t="s">
        <v>14</v>
      </c>
      <c r="I850" t="s">
        <v>15</v>
      </c>
    </row>
    <row r="851" spans="1:9" x14ac:dyDescent="0.25">
      <c r="A851">
        <v>20140124</v>
      </c>
      <c r="B851" t="str">
        <f>"011029"</f>
        <v>011029</v>
      </c>
      <c r="C851" t="str">
        <f t="shared" si="81"/>
        <v>79800</v>
      </c>
      <c r="D851" t="s">
        <v>13</v>
      </c>
      <c r="E851">
        <v>246.01</v>
      </c>
      <c r="F851">
        <v>20140122</v>
      </c>
      <c r="G851" t="s">
        <v>14</v>
      </c>
      <c r="I851" t="s">
        <v>15</v>
      </c>
    </row>
    <row r="852" spans="1:9" x14ac:dyDescent="0.25">
      <c r="A852">
        <v>20140124</v>
      </c>
      <c r="B852" t="str">
        <f>"011030"</f>
        <v>011030</v>
      </c>
      <c r="C852" t="str">
        <f t="shared" si="81"/>
        <v>79800</v>
      </c>
      <c r="D852" t="s">
        <v>13</v>
      </c>
      <c r="E852">
        <v>150.61000000000001</v>
      </c>
      <c r="F852">
        <v>20140122</v>
      </c>
      <c r="G852" t="s">
        <v>14</v>
      </c>
      <c r="I852" t="s">
        <v>15</v>
      </c>
    </row>
    <row r="853" spans="1:9" x14ac:dyDescent="0.25">
      <c r="A853">
        <v>20140124</v>
      </c>
      <c r="B853" t="str">
        <f>"011031"</f>
        <v>011031</v>
      </c>
      <c r="C853" t="str">
        <f t="shared" si="81"/>
        <v>79800</v>
      </c>
      <c r="D853" t="s">
        <v>13</v>
      </c>
      <c r="E853">
        <v>482.7</v>
      </c>
      <c r="F853">
        <v>20140122</v>
      </c>
      <c r="G853" t="s">
        <v>14</v>
      </c>
      <c r="I853" t="s">
        <v>15</v>
      </c>
    </row>
    <row r="854" spans="1:9" x14ac:dyDescent="0.25">
      <c r="A854">
        <v>20140124</v>
      </c>
      <c r="B854" t="str">
        <f>"011032"</f>
        <v>011032</v>
      </c>
      <c r="C854" t="str">
        <f t="shared" si="81"/>
        <v>79800</v>
      </c>
      <c r="D854" t="s">
        <v>13</v>
      </c>
      <c r="E854">
        <v>489.48</v>
      </c>
      <c r="F854">
        <v>20140122</v>
      </c>
      <c r="G854" t="s">
        <v>14</v>
      </c>
      <c r="I854" t="s">
        <v>15</v>
      </c>
    </row>
    <row r="855" spans="1:9" x14ac:dyDescent="0.25">
      <c r="A855">
        <v>20140127</v>
      </c>
      <c r="B855" t="str">
        <f>"011033"</f>
        <v>011033</v>
      </c>
      <c r="C855" t="str">
        <f t="shared" si="81"/>
        <v>79800</v>
      </c>
      <c r="D855" t="s">
        <v>13</v>
      </c>
      <c r="E855">
        <v>75</v>
      </c>
      <c r="F855">
        <v>20140123</v>
      </c>
      <c r="G855" t="s">
        <v>14</v>
      </c>
      <c r="I855" t="s">
        <v>15</v>
      </c>
    </row>
    <row r="856" spans="1:9" x14ac:dyDescent="0.25">
      <c r="A856">
        <v>20140129</v>
      </c>
      <c r="B856" t="str">
        <f>"011034"</f>
        <v>011034</v>
      </c>
      <c r="C856" t="str">
        <f t="shared" si="81"/>
        <v>79800</v>
      </c>
      <c r="D856" t="s">
        <v>13</v>
      </c>
      <c r="E856">
        <v>571.29</v>
      </c>
      <c r="F856">
        <v>20140128</v>
      </c>
      <c r="G856" t="s">
        <v>14</v>
      </c>
      <c r="I856" t="s">
        <v>15</v>
      </c>
    </row>
    <row r="857" spans="1:9" x14ac:dyDescent="0.25">
      <c r="A857">
        <v>20140129</v>
      </c>
      <c r="B857" t="str">
        <f>"011035"</f>
        <v>011035</v>
      </c>
      <c r="C857" t="str">
        <f t="shared" si="81"/>
        <v>79800</v>
      </c>
      <c r="D857" t="s">
        <v>13</v>
      </c>
      <c r="E857">
        <v>181.16</v>
      </c>
      <c r="F857">
        <v>20140128</v>
      </c>
      <c r="G857" t="s">
        <v>14</v>
      </c>
      <c r="I857" t="s">
        <v>15</v>
      </c>
    </row>
    <row r="858" spans="1:9" x14ac:dyDescent="0.25">
      <c r="A858">
        <v>20140129</v>
      </c>
      <c r="B858" t="str">
        <f>"011036"</f>
        <v>011036</v>
      </c>
      <c r="C858" t="str">
        <f t="shared" si="81"/>
        <v>79800</v>
      </c>
      <c r="D858" t="s">
        <v>13</v>
      </c>
      <c r="E858">
        <v>573</v>
      </c>
      <c r="F858">
        <v>20140128</v>
      </c>
      <c r="G858" t="s">
        <v>14</v>
      </c>
      <c r="I858" t="s">
        <v>15</v>
      </c>
    </row>
    <row r="859" spans="1:9" x14ac:dyDescent="0.25">
      <c r="A859">
        <v>20140129</v>
      </c>
      <c r="B859" t="str">
        <f>"011037"</f>
        <v>011037</v>
      </c>
      <c r="C859" t="str">
        <f t="shared" si="81"/>
        <v>79800</v>
      </c>
      <c r="D859" t="s">
        <v>13</v>
      </c>
      <c r="E859">
        <v>330.75</v>
      </c>
      <c r="F859">
        <v>20140128</v>
      </c>
      <c r="G859" t="s">
        <v>14</v>
      </c>
      <c r="I859" t="s">
        <v>15</v>
      </c>
    </row>
    <row r="860" spans="1:9" x14ac:dyDescent="0.25">
      <c r="A860">
        <v>20140212</v>
      </c>
      <c r="B860" t="str">
        <f>"011046"</f>
        <v>011046</v>
      </c>
      <c r="C860" t="str">
        <f t="shared" ref="C860:C899" si="82">"79801"</f>
        <v>79801</v>
      </c>
      <c r="D860" t="s">
        <v>17</v>
      </c>
      <c r="E860">
        <v>573</v>
      </c>
      <c r="F860">
        <v>20140212</v>
      </c>
      <c r="G860" t="s">
        <v>14</v>
      </c>
      <c r="I860" t="s">
        <v>15</v>
      </c>
    </row>
    <row r="861" spans="1:9" x14ac:dyDescent="0.25">
      <c r="A861">
        <v>20140214</v>
      </c>
      <c r="B861" t="str">
        <f>"011047"</f>
        <v>011047</v>
      </c>
      <c r="C861" t="str">
        <f t="shared" si="82"/>
        <v>79801</v>
      </c>
      <c r="D861" t="s">
        <v>17</v>
      </c>
      <c r="E861">
        <v>246.01</v>
      </c>
      <c r="F861">
        <v>20140212</v>
      </c>
      <c r="G861" t="s">
        <v>14</v>
      </c>
      <c r="I861" t="s">
        <v>15</v>
      </c>
    </row>
    <row r="862" spans="1:9" x14ac:dyDescent="0.25">
      <c r="A862">
        <v>20140214</v>
      </c>
      <c r="B862" t="str">
        <f>"011048"</f>
        <v>011048</v>
      </c>
      <c r="C862" t="str">
        <f t="shared" si="82"/>
        <v>79801</v>
      </c>
      <c r="D862" t="s">
        <v>17</v>
      </c>
      <c r="E862">
        <v>160.16999999999999</v>
      </c>
      <c r="F862">
        <v>20140212</v>
      </c>
      <c r="G862" t="s">
        <v>14</v>
      </c>
      <c r="I862" t="s">
        <v>15</v>
      </c>
    </row>
    <row r="863" spans="1:9" x14ac:dyDescent="0.25">
      <c r="A863">
        <v>20140219</v>
      </c>
      <c r="B863" t="str">
        <f>"011049"</f>
        <v>011049</v>
      </c>
      <c r="C863" t="str">
        <f t="shared" si="82"/>
        <v>79801</v>
      </c>
      <c r="D863" t="s">
        <v>17</v>
      </c>
      <c r="E863">
        <v>442.04</v>
      </c>
      <c r="F863">
        <v>20140220</v>
      </c>
      <c r="G863" t="s">
        <v>14</v>
      </c>
      <c r="I863" t="s">
        <v>15</v>
      </c>
    </row>
    <row r="864" spans="1:9" x14ac:dyDescent="0.25">
      <c r="A864">
        <v>20140219</v>
      </c>
      <c r="B864" t="str">
        <f>"011050"</f>
        <v>011050</v>
      </c>
      <c r="C864" t="str">
        <f t="shared" si="82"/>
        <v>79801</v>
      </c>
      <c r="D864" t="s">
        <v>17</v>
      </c>
      <c r="E864">
        <v>573</v>
      </c>
      <c r="F864">
        <v>20140220</v>
      </c>
      <c r="G864" t="s">
        <v>14</v>
      </c>
      <c r="I864" t="s">
        <v>15</v>
      </c>
    </row>
    <row r="865" spans="1:9" x14ac:dyDescent="0.25">
      <c r="A865">
        <v>20140219</v>
      </c>
      <c r="B865" t="str">
        <f>"011051"</f>
        <v>011051</v>
      </c>
      <c r="C865" t="str">
        <f t="shared" si="82"/>
        <v>79801</v>
      </c>
      <c r="D865" t="s">
        <v>17</v>
      </c>
      <c r="E865">
        <v>386.33</v>
      </c>
      <c r="F865">
        <v>20140220</v>
      </c>
      <c r="G865" t="s">
        <v>14</v>
      </c>
      <c r="I865" t="s">
        <v>15</v>
      </c>
    </row>
    <row r="866" spans="1:9" x14ac:dyDescent="0.25">
      <c r="A866">
        <v>20140219</v>
      </c>
      <c r="B866" t="str">
        <f>"011052"</f>
        <v>011052</v>
      </c>
      <c r="C866" t="str">
        <f t="shared" si="82"/>
        <v>79801</v>
      </c>
      <c r="D866" t="s">
        <v>17</v>
      </c>
      <c r="E866">
        <v>95.49</v>
      </c>
      <c r="F866">
        <v>20140220</v>
      </c>
      <c r="G866" t="s">
        <v>14</v>
      </c>
      <c r="I866" t="s">
        <v>15</v>
      </c>
    </row>
    <row r="867" spans="1:9" x14ac:dyDescent="0.25">
      <c r="A867">
        <v>20140219</v>
      </c>
      <c r="B867" t="str">
        <f>"011053"</f>
        <v>011053</v>
      </c>
      <c r="C867" t="str">
        <f t="shared" si="82"/>
        <v>79801</v>
      </c>
      <c r="D867" t="s">
        <v>17</v>
      </c>
      <c r="E867">
        <v>164.44</v>
      </c>
      <c r="F867">
        <v>20140220</v>
      </c>
      <c r="G867" t="s">
        <v>14</v>
      </c>
      <c r="I867" t="s">
        <v>15</v>
      </c>
    </row>
    <row r="868" spans="1:9" x14ac:dyDescent="0.25">
      <c r="A868">
        <v>20140219</v>
      </c>
      <c r="B868" t="str">
        <f>"011054"</f>
        <v>011054</v>
      </c>
      <c r="C868" t="str">
        <f t="shared" si="82"/>
        <v>79801</v>
      </c>
      <c r="D868" t="s">
        <v>17</v>
      </c>
      <c r="E868">
        <v>66.86</v>
      </c>
      <c r="F868">
        <v>20140220</v>
      </c>
      <c r="G868" t="s">
        <v>14</v>
      </c>
      <c r="I868" t="s">
        <v>15</v>
      </c>
    </row>
    <row r="869" spans="1:9" x14ac:dyDescent="0.25">
      <c r="A869">
        <v>20140221</v>
      </c>
      <c r="B869" t="str">
        <f>"011055"</f>
        <v>011055</v>
      </c>
      <c r="C869" t="str">
        <f t="shared" si="82"/>
        <v>79801</v>
      </c>
      <c r="D869" t="s">
        <v>17</v>
      </c>
      <c r="E869">
        <v>650</v>
      </c>
      <c r="F869">
        <v>20140220</v>
      </c>
      <c r="G869" t="s">
        <v>14</v>
      </c>
      <c r="I869" t="s">
        <v>15</v>
      </c>
    </row>
    <row r="870" spans="1:9" x14ac:dyDescent="0.25">
      <c r="A870">
        <v>20140221</v>
      </c>
      <c r="B870" t="str">
        <f>"011056"</f>
        <v>011056</v>
      </c>
      <c r="C870" t="str">
        <f t="shared" si="82"/>
        <v>79801</v>
      </c>
      <c r="D870" t="s">
        <v>17</v>
      </c>
      <c r="E870">
        <v>246.01</v>
      </c>
      <c r="F870">
        <v>20140220</v>
      </c>
      <c r="G870" t="s">
        <v>14</v>
      </c>
      <c r="I870" t="s">
        <v>15</v>
      </c>
    </row>
    <row r="871" spans="1:9" x14ac:dyDescent="0.25">
      <c r="A871">
        <v>20140226</v>
      </c>
      <c r="B871" t="str">
        <f>"011057"</f>
        <v>011057</v>
      </c>
      <c r="C871" t="str">
        <f t="shared" si="82"/>
        <v>79801</v>
      </c>
      <c r="D871" t="s">
        <v>17</v>
      </c>
      <c r="E871">
        <v>110.18</v>
      </c>
      <c r="F871">
        <v>20140227</v>
      </c>
      <c r="G871" t="s">
        <v>14</v>
      </c>
      <c r="I871" t="s">
        <v>15</v>
      </c>
    </row>
    <row r="872" spans="1:9" x14ac:dyDescent="0.25">
      <c r="A872">
        <v>20140226</v>
      </c>
      <c r="B872" t="str">
        <f>"011058"</f>
        <v>011058</v>
      </c>
      <c r="C872" t="str">
        <f t="shared" si="82"/>
        <v>79801</v>
      </c>
      <c r="D872" t="s">
        <v>17</v>
      </c>
      <c r="E872">
        <v>767.12</v>
      </c>
      <c r="F872">
        <v>20140227</v>
      </c>
      <c r="G872" t="s">
        <v>14</v>
      </c>
      <c r="I872" t="s">
        <v>15</v>
      </c>
    </row>
    <row r="873" spans="1:9" x14ac:dyDescent="0.25">
      <c r="A873">
        <v>20140226</v>
      </c>
      <c r="B873" t="str">
        <f>"011059"</f>
        <v>011059</v>
      </c>
      <c r="C873" t="str">
        <f t="shared" si="82"/>
        <v>79801</v>
      </c>
      <c r="D873" t="s">
        <v>17</v>
      </c>
      <c r="E873">
        <v>573</v>
      </c>
      <c r="F873">
        <v>20140227</v>
      </c>
      <c r="G873" t="s">
        <v>14</v>
      </c>
      <c r="I873" t="s">
        <v>15</v>
      </c>
    </row>
    <row r="874" spans="1:9" x14ac:dyDescent="0.25">
      <c r="A874">
        <v>20140226</v>
      </c>
      <c r="B874" t="str">
        <f>"011060"</f>
        <v>011060</v>
      </c>
      <c r="C874" t="str">
        <f t="shared" si="82"/>
        <v>79801</v>
      </c>
      <c r="D874" t="s">
        <v>17</v>
      </c>
      <c r="E874">
        <v>161.28</v>
      </c>
      <c r="F874">
        <v>20140227</v>
      </c>
      <c r="G874" t="s">
        <v>14</v>
      </c>
      <c r="I874" t="s">
        <v>15</v>
      </c>
    </row>
    <row r="875" spans="1:9" x14ac:dyDescent="0.25">
      <c r="A875">
        <v>20140310</v>
      </c>
      <c r="B875" t="str">
        <f>"011062"</f>
        <v>011062</v>
      </c>
      <c r="C875" t="str">
        <f t="shared" si="82"/>
        <v>79801</v>
      </c>
      <c r="D875" t="s">
        <v>17</v>
      </c>
      <c r="E875">
        <v>373.93</v>
      </c>
      <c r="F875">
        <v>20140307</v>
      </c>
      <c r="G875" t="s">
        <v>14</v>
      </c>
      <c r="I875" t="s">
        <v>15</v>
      </c>
    </row>
    <row r="876" spans="1:9" x14ac:dyDescent="0.25">
      <c r="A876">
        <v>20140310</v>
      </c>
      <c r="B876" t="str">
        <f>"011063"</f>
        <v>011063</v>
      </c>
      <c r="C876" t="str">
        <f t="shared" si="82"/>
        <v>79801</v>
      </c>
      <c r="D876" t="s">
        <v>17</v>
      </c>
      <c r="E876" s="1">
        <v>1160.5999999999999</v>
      </c>
      <c r="F876">
        <v>20140307</v>
      </c>
      <c r="G876" t="s">
        <v>14</v>
      </c>
      <c r="I876" t="s">
        <v>15</v>
      </c>
    </row>
    <row r="877" spans="1:9" x14ac:dyDescent="0.25">
      <c r="A877">
        <v>20140310</v>
      </c>
      <c r="B877" t="str">
        <f>"011064"</f>
        <v>011064</v>
      </c>
      <c r="C877" t="str">
        <f t="shared" si="82"/>
        <v>79801</v>
      </c>
      <c r="D877" t="s">
        <v>17</v>
      </c>
      <c r="E877">
        <v>484.24</v>
      </c>
      <c r="F877">
        <v>20140307</v>
      </c>
      <c r="G877" t="s">
        <v>14</v>
      </c>
      <c r="I877" t="s">
        <v>15</v>
      </c>
    </row>
    <row r="878" spans="1:9" x14ac:dyDescent="0.25">
      <c r="A878">
        <v>20140312</v>
      </c>
      <c r="B878" t="str">
        <f>"011065"</f>
        <v>011065</v>
      </c>
      <c r="C878" t="str">
        <f t="shared" si="82"/>
        <v>79801</v>
      </c>
      <c r="D878" t="s">
        <v>17</v>
      </c>
      <c r="E878">
        <v>466.05</v>
      </c>
      <c r="F878">
        <v>20140307</v>
      </c>
      <c r="G878" t="s">
        <v>14</v>
      </c>
      <c r="I878" t="s">
        <v>15</v>
      </c>
    </row>
    <row r="879" spans="1:9" x14ac:dyDescent="0.25">
      <c r="A879">
        <v>20140312</v>
      </c>
      <c r="B879" t="str">
        <f>"011066"</f>
        <v>011066</v>
      </c>
      <c r="C879" t="str">
        <f t="shared" si="82"/>
        <v>79801</v>
      </c>
      <c r="D879" t="s">
        <v>17</v>
      </c>
      <c r="E879">
        <v>574.66999999999996</v>
      </c>
      <c r="F879">
        <v>20140307</v>
      </c>
      <c r="G879" t="s">
        <v>14</v>
      </c>
      <c r="I879" t="s">
        <v>15</v>
      </c>
    </row>
    <row r="880" spans="1:9" x14ac:dyDescent="0.25">
      <c r="A880">
        <v>20140312</v>
      </c>
      <c r="B880" t="str">
        <f>"011067"</f>
        <v>011067</v>
      </c>
      <c r="C880" t="str">
        <f t="shared" si="82"/>
        <v>79801</v>
      </c>
      <c r="D880" t="s">
        <v>17</v>
      </c>
      <c r="E880">
        <v>395.8</v>
      </c>
      <c r="F880">
        <v>20140307</v>
      </c>
      <c r="G880" t="s">
        <v>14</v>
      </c>
      <c r="I880" t="s">
        <v>15</v>
      </c>
    </row>
    <row r="881" spans="1:9" x14ac:dyDescent="0.25">
      <c r="A881">
        <v>20140312</v>
      </c>
      <c r="B881" t="str">
        <f>"011068"</f>
        <v>011068</v>
      </c>
      <c r="C881" t="str">
        <f t="shared" si="82"/>
        <v>79801</v>
      </c>
      <c r="D881" t="s">
        <v>17</v>
      </c>
      <c r="E881">
        <v>384.24</v>
      </c>
      <c r="F881">
        <v>20140307</v>
      </c>
      <c r="G881" t="s">
        <v>14</v>
      </c>
      <c r="I881" t="s">
        <v>15</v>
      </c>
    </row>
    <row r="882" spans="1:9" x14ac:dyDescent="0.25">
      <c r="A882">
        <v>20140312</v>
      </c>
      <c r="B882" t="str">
        <f>"011069"</f>
        <v>011069</v>
      </c>
      <c r="C882" t="str">
        <f t="shared" si="82"/>
        <v>79801</v>
      </c>
      <c r="D882" t="s">
        <v>17</v>
      </c>
      <c r="E882">
        <v>573</v>
      </c>
      <c r="F882">
        <v>20140307</v>
      </c>
      <c r="G882" t="s">
        <v>14</v>
      </c>
      <c r="I882" t="s">
        <v>15</v>
      </c>
    </row>
    <row r="883" spans="1:9" x14ac:dyDescent="0.25">
      <c r="A883">
        <v>20140314</v>
      </c>
      <c r="B883" t="str">
        <f>"011070"</f>
        <v>011070</v>
      </c>
      <c r="C883" t="str">
        <f t="shared" si="82"/>
        <v>79801</v>
      </c>
      <c r="D883" t="s">
        <v>17</v>
      </c>
      <c r="E883">
        <v>262.10000000000002</v>
      </c>
      <c r="F883">
        <v>20140317</v>
      </c>
      <c r="G883" t="s">
        <v>14</v>
      </c>
      <c r="I883" t="s">
        <v>15</v>
      </c>
    </row>
    <row r="884" spans="1:9" x14ac:dyDescent="0.25">
      <c r="A884">
        <v>20140314</v>
      </c>
      <c r="B884" t="str">
        <f>"011071"</f>
        <v>011071</v>
      </c>
      <c r="C884" t="str">
        <f t="shared" si="82"/>
        <v>79801</v>
      </c>
      <c r="D884" t="s">
        <v>17</v>
      </c>
      <c r="E884">
        <v>118.58</v>
      </c>
      <c r="F884">
        <v>20140317</v>
      </c>
      <c r="G884" t="s">
        <v>14</v>
      </c>
      <c r="I884" t="s">
        <v>15</v>
      </c>
    </row>
    <row r="885" spans="1:9" x14ac:dyDescent="0.25">
      <c r="A885">
        <v>20140314</v>
      </c>
      <c r="B885" t="str">
        <f>"011072"</f>
        <v>011072</v>
      </c>
      <c r="C885" t="str">
        <f t="shared" si="82"/>
        <v>79801</v>
      </c>
      <c r="D885" t="s">
        <v>17</v>
      </c>
      <c r="E885">
        <v>192.12</v>
      </c>
      <c r="F885">
        <v>20140317</v>
      </c>
      <c r="G885" t="s">
        <v>14</v>
      </c>
      <c r="I885" t="s">
        <v>15</v>
      </c>
    </row>
    <row r="886" spans="1:9" x14ac:dyDescent="0.25">
      <c r="A886">
        <v>20140314</v>
      </c>
      <c r="B886" t="str">
        <f>"011073"</f>
        <v>011073</v>
      </c>
      <c r="C886" t="str">
        <f t="shared" si="82"/>
        <v>79801</v>
      </c>
      <c r="D886" t="s">
        <v>17</v>
      </c>
      <c r="E886">
        <v>673.9</v>
      </c>
      <c r="F886">
        <v>20140317</v>
      </c>
      <c r="G886" t="s">
        <v>14</v>
      </c>
      <c r="I886" t="s">
        <v>15</v>
      </c>
    </row>
    <row r="887" spans="1:9" x14ac:dyDescent="0.25">
      <c r="A887">
        <v>20140319</v>
      </c>
      <c r="B887" t="str">
        <f>"011074"</f>
        <v>011074</v>
      </c>
      <c r="C887" t="str">
        <f t="shared" si="82"/>
        <v>79801</v>
      </c>
      <c r="D887" t="s">
        <v>17</v>
      </c>
      <c r="E887">
        <v>108.33</v>
      </c>
      <c r="F887">
        <v>20140318</v>
      </c>
      <c r="G887" t="s">
        <v>14</v>
      </c>
      <c r="I887" t="s">
        <v>15</v>
      </c>
    </row>
    <row r="888" spans="1:9" x14ac:dyDescent="0.25">
      <c r="A888">
        <v>20140319</v>
      </c>
      <c r="B888" t="str">
        <f>"011075"</f>
        <v>011075</v>
      </c>
      <c r="C888" t="str">
        <f t="shared" si="82"/>
        <v>79801</v>
      </c>
      <c r="D888" t="s">
        <v>17</v>
      </c>
      <c r="E888">
        <v>573</v>
      </c>
      <c r="F888">
        <v>20140318</v>
      </c>
      <c r="G888" t="s">
        <v>14</v>
      </c>
      <c r="I888" t="s">
        <v>15</v>
      </c>
    </row>
    <row r="889" spans="1:9" x14ac:dyDescent="0.25">
      <c r="A889">
        <v>20140321</v>
      </c>
      <c r="B889" t="str">
        <f>"011076"</f>
        <v>011076</v>
      </c>
      <c r="C889" t="str">
        <f t="shared" si="82"/>
        <v>79801</v>
      </c>
      <c r="D889" t="s">
        <v>17</v>
      </c>
      <c r="E889">
        <v>192.12</v>
      </c>
      <c r="F889">
        <v>20140319</v>
      </c>
      <c r="G889" t="s">
        <v>14</v>
      </c>
      <c r="I889" t="s">
        <v>15</v>
      </c>
    </row>
    <row r="890" spans="1:9" x14ac:dyDescent="0.25">
      <c r="A890">
        <v>20140326</v>
      </c>
      <c r="B890" t="str">
        <f>"011077"</f>
        <v>011077</v>
      </c>
      <c r="C890" t="str">
        <f t="shared" si="82"/>
        <v>79801</v>
      </c>
      <c r="D890" t="s">
        <v>17</v>
      </c>
      <c r="E890">
        <v>155.57</v>
      </c>
      <c r="F890">
        <v>20140325</v>
      </c>
      <c r="G890" t="s">
        <v>14</v>
      </c>
      <c r="I890" t="s">
        <v>15</v>
      </c>
    </row>
    <row r="891" spans="1:9" x14ac:dyDescent="0.25">
      <c r="A891">
        <v>20140326</v>
      </c>
      <c r="B891" t="str">
        <f>"011078"</f>
        <v>011078</v>
      </c>
      <c r="C891" t="str">
        <f t="shared" si="82"/>
        <v>79801</v>
      </c>
      <c r="D891" t="s">
        <v>17</v>
      </c>
      <c r="E891">
        <v>173.11</v>
      </c>
      <c r="F891">
        <v>20140325</v>
      </c>
      <c r="G891" t="s">
        <v>14</v>
      </c>
      <c r="I891" t="s">
        <v>15</v>
      </c>
    </row>
    <row r="892" spans="1:9" x14ac:dyDescent="0.25">
      <c r="A892">
        <v>20140326</v>
      </c>
      <c r="B892" t="str">
        <f>"011079"</f>
        <v>011079</v>
      </c>
      <c r="C892" t="str">
        <f t="shared" si="82"/>
        <v>79801</v>
      </c>
      <c r="D892" t="s">
        <v>17</v>
      </c>
      <c r="E892">
        <v>123.33</v>
      </c>
      <c r="F892">
        <v>20140325</v>
      </c>
      <c r="G892" t="s">
        <v>14</v>
      </c>
      <c r="I892" t="s">
        <v>15</v>
      </c>
    </row>
    <row r="893" spans="1:9" x14ac:dyDescent="0.25">
      <c r="A893">
        <v>20140326</v>
      </c>
      <c r="B893" t="str">
        <f>"011080"</f>
        <v>011080</v>
      </c>
      <c r="C893" t="str">
        <f t="shared" si="82"/>
        <v>79801</v>
      </c>
      <c r="D893" t="s">
        <v>17</v>
      </c>
      <c r="E893">
        <v>100</v>
      </c>
      <c r="F893">
        <v>20140325</v>
      </c>
      <c r="G893" t="s">
        <v>14</v>
      </c>
      <c r="I893" t="s">
        <v>15</v>
      </c>
    </row>
    <row r="894" spans="1:9" x14ac:dyDescent="0.25">
      <c r="A894">
        <v>20140326</v>
      </c>
      <c r="B894" t="str">
        <f>"011081"</f>
        <v>011081</v>
      </c>
      <c r="C894" t="str">
        <f t="shared" si="82"/>
        <v>79801</v>
      </c>
      <c r="D894" t="s">
        <v>17</v>
      </c>
      <c r="E894">
        <v>292.12</v>
      </c>
      <c r="F894">
        <v>20140325</v>
      </c>
      <c r="G894" t="s">
        <v>14</v>
      </c>
      <c r="I894" t="s">
        <v>15</v>
      </c>
    </row>
    <row r="895" spans="1:9" x14ac:dyDescent="0.25">
      <c r="A895">
        <v>20140326</v>
      </c>
      <c r="B895" t="str">
        <f>"011082"</f>
        <v>011082</v>
      </c>
      <c r="C895" t="str">
        <f t="shared" si="82"/>
        <v>79801</v>
      </c>
      <c r="D895" t="s">
        <v>17</v>
      </c>
      <c r="E895">
        <v>100</v>
      </c>
      <c r="F895">
        <v>20140325</v>
      </c>
      <c r="G895" t="s">
        <v>14</v>
      </c>
      <c r="I895" t="s">
        <v>15</v>
      </c>
    </row>
    <row r="896" spans="1:9" x14ac:dyDescent="0.25">
      <c r="A896">
        <v>20140326</v>
      </c>
      <c r="B896" t="str">
        <f>"011083"</f>
        <v>011083</v>
      </c>
      <c r="C896" t="str">
        <f t="shared" si="82"/>
        <v>79801</v>
      </c>
      <c r="D896" t="s">
        <v>17</v>
      </c>
      <c r="E896">
        <v>352.5</v>
      </c>
      <c r="F896">
        <v>20140325</v>
      </c>
      <c r="G896" t="s">
        <v>14</v>
      </c>
      <c r="I896" t="s">
        <v>15</v>
      </c>
    </row>
    <row r="897" spans="1:9" x14ac:dyDescent="0.25">
      <c r="A897">
        <v>20140326</v>
      </c>
      <c r="B897" t="str">
        <f>"011084"</f>
        <v>011084</v>
      </c>
      <c r="C897" t="str">
        <f t="shared" si="82"/>
        <v>79801</v>
      </c>
      <c r="D897" t="s">
        <v>17</v>
      </c>
      <c r="E897">
        <v>573</v>
      </c>
      <c r="F897">
        <v>20140325</v>
      </c>
      <c r="G897" t="s">
        <v>14</v>
      </c>
      <c r="I897" t="s">
        <v>15</v>
      </c>
    </row>
    <row r="898" spans="1:9" x14ac:dyDescent="0.25">
      <c r="A898">
        <v>20140326</v>
      </c>
      <c r="B898" t="str">
        <f>"011085"</f>
        <v>011085</v>
      </c>
      <c r="C898" t="str">
        <f t="shared" si="82"/>
        <v>79801</v>
      </c>
      <c r="D898" t="s">
        <v>17</v>
      </c>
      <c r="E898">
        <v>259.60000000000002</v>
      </c>
      <c r="F898">
        <v>20140325</v>
      </c>
      <c r="G898" t="s">
        <v>14</v>
      </c>
      <c r="I898" t="s">
        <v>15</v>
      </c>
    </row>
    <row r="899" spans="1:9" x14ac:dyDescent="0.25">
      <c r="A899">
        <v>20140330</v>
      </c>
      <c r="B899" t="str">
        <f>"011086"</f>
        <v>011086</v>
      </c>
      <c r="C899" t="str">
        <f t="shared" si="82"/>
        <v>79801</v>
      </c>
      <c r="D899" t="s">
        <v>17</v>
      </c>
      <c r="E899">
        <v>620.37</v>
      </c>
      <c r="F899">
        <v>20140325</v>
      </c>
      <c r="G899" t="s">
        <v>14</v>
      </c>
      <c r="I899" t="s">
        <v>15</v>
      </c>
    </row>
    <row r="900" spans="1:9" x14ac:dyDescent="0.25">
      <c r="A900">
        <v>20140402</v>
      </c>
      <c r="B900" t="str">
        <f>"011087"</f>
        <v>011087</v>
      </c>
      <c r="C900" t="str">
        <f t="shared" ref="C900:C931" si="83">"79800"</f>
        <v>79800</v>
      </c>
      <c r="D900" t="s">
        <v>13</v>
      </c>
      <c r="E900">
        <v>100</v>
      </c>
      <c r="F900">
        <v>20140404</v>
      </c>
      <c r="G900" t="s">
        <v>14</v>
      </c>
      <c r="I900" t="s">
        <v>15</v>
      </c>
    </row>
    <row r="901" spans="1:9" x14ac:dyDescent="0.25">
      <c r="A901">
        <v>20140402</v>
      </c>
      <c r="B901" t="str">
        <f>"011088"</f>
        <v>011088</v>
      </c>
      <c r="C901" t="str">
        <f t="shared" si="83"/>
        <v>79800</v>
      </c>
      <c r="D901" t="s">
        <v>13</v>
      </c>
      <c r="E901">
        <v>573</v>
      </c>
      <c r="F901">
        <v>20140404</v>
      </c>
      <c r="G901" t="s">
        <v>14</v>
      </c>
      <c r="I901" t="s">
        <v>15</v>
      </c>
    </row>
    <row r="902" spans="1:9" x14ac:dyDescent="0.25">
      <c r="A902">
        <v>20140402</v>
      </c>
      <c r="B902" t="str">
        <f>"011089"</f>
        <v>011089</v>
      </c>
      <c r="C902" t="str">
        <f t="shared" si="83"/>
        <v>79800</v>
      </c>
      <c r="D902" t="s">
        <v>13</v>
      </c>
      <c r="E902">
        <v>95.49</v>
      </c>
      <c r="F902">
        <v>20140404</v>
      </c>
      <c r="G902" t="s">
        <v>14</v>
      </c>
      <c r="I902" t="s">
        <v>15</v>
      </c>
    </row>
    <row r="903" spans="1:9" x14ac:dyDescent="0.25">
      <c r="A903">
        <v>20140402</v>
      </c>
      <c r="B903" t="str">
        <f>"011090"</f>
        <v>011090</v>
      </c>
      <c r="C903" t="str">
        <f t="shared" si="83"/>
        <v>79800</v>
      </c>
      <c r="D903" t="s">
        <v>13</v>
      </c>
      <c r="E903">
        <v>66.86</v>
      </c>
      <c r="F903">
        <v>20140404</v>
      </c>
      <c r="G903" t="s">
        <v>14</v>
      </c>
      <c r="I903" t="s">
        <v>15</v>
      </c>
    </row>
    <row r="904" spans="1:9" x14ac:dyDescent="0.25">
      <c r="A904">
        <v>20140401</v>
      </c>
      <c r="B904" t="str">
        <f>"011091"</f>
        <v>011091</v>
      </c>
      <c r="C904" t="str">
        <f t="shared" si="83"/>
        <v>79800</v>
      </c>
      <c r="D904" t="s">
        <v>13</v>
      </c>
      <c r="E904">
        <v>123.33</v>
      </c>
      <c r="F904">
        <v>20140404</v>
      </c>
      <c r="G904" t="s">
        <v>14</v>
      </c>
      <c r="I904" t="s">
        <v>15</v>
      </c>
    </row>
    <row r="905" spans="1:9" x14ac:dyDescent="0.25">
      <c r="A905">
        <v>20140409</v>
      </c>
      <c r="B905" t="str">
        <f>"011092"</f>
        <v>011092</v>
      </c>
      <c r="C905" t="str">
        <f t="shared" si="83"/>
        <v>79800</v>
      </c>
      <c r="D905" t="s">
        <v>13</v>
      </c>
      <c r="E905">
        <v>573</v>
      </c>
      <c r="F905">
        <v>20140404</v>
      </c>
      <c r="G905" t="s">
        <v>14</v>
      </c>
      <c r="I905" t="s">
        <v>15</v>
      </c>
    </row>
    <row r="906" spans="1:9" x14ac:dyDescent="0.25">
      <c r="A906">
        <v>20140411</v>
      </c>
      <c r="B906" t="str">
        <f>"011093"</f>
        <v>011093</v>
      </c>
      <c r="C906" t="str">
        <f t="shared" si="83"/>
        <v>79800</v>
      </c>
      <c r="D906" t="s">
        <v>13</v>
      </c>
      <c r="E906">
        <v>123.33</v>
      </c>
      <c r="F906">
        <v>20140411</v>
      </c>
      <c r="G906" t="s">
        <v>14</v>
      </c>
      <c r="I906" t="s">
        <v>15</v>
      </c>
    </row>
    <row r="907" spans="1:9" x14ac:dyDescent="0.25">
      <c r="A907">
        <v>20140411</v>
      </c>
      <c r="B907" t="str">
        <f>"011094"</f>
        <v>011094</v>
      </c>
      <c r="C907" t="str">
        <f t="shared" si="83"/>
        <v>79800</v>
      </c>
      <c r="D907" t="s">
        <v>13</v>
      </c>
      <c r="E907">
        <v>441.8</v>
      </c>
      <c r="F907">
        <v>20140411</v>
      </c>
      <c r="G907" t="s">
        <v>14</v>
      </c>
      <c r="I907" t="s">
        <v>15</v>
      </c>
    </row>
    <row r="908" spans="1:9" x14ac:dyDescent="0.25">
      <c r="A908">
        <v>20140411</v>
      </c>
      <c r="B908" t="str">
        <f>"011095"</f>
        <v>011095</v>
      </c>
      <c r="C908" t="str">
        <f t="shared" si="83"/>
        <v>79800</v>
      </c>
      <c r="D908" t="s">
        <v>13</v>
      </c>
      <c r="E908">
        <v>100</v>
      </c>
      <c r="F908">
        <v>20140411</v>
      </c>
      <c r="G908" t="s">
        <v>14</v>
      </c>
      <c r="I908" t="s">
        <v>15</v>
      </c>
    </row>
    <row r="909" spans="1:9" x14ac:dyDescent="0.25">
      <c r="A909">
        <v>20140411</v>
      </c>
      <c r="B909" t="str">
        <f>"011096"</f>
        <v>011096</v>
      </c>
      <c r="C909" t="str">
        <f t="shared" si="83"/>
        <v>79800</v>
      </c>
      <c r="D909" t="s">
        <v>13</v>
      </c>
      <c r="E909">
        <v>386.33</v>
      </c>
      <c r="F909">
        <v>20140411</v>
      </c>
      <c r="G909" t="s">
        <v>14</v>
      </c>
      <c r="I909" t="s">
        <v>15</v>
      </c>
    </row>
    <row r="910" spans="1:9" x14ac:dyDescent="0.25">
      <c r="A910">
        <v>20140411</v>
      </c>
      <c r="B910" t="str">
        <f>"011097"</f>
        <v>011097</v>
      </c>
      <c r="C910" t="str">
        <f t="shared" si="83"/>
        <v>79800</v>
      </c>
      <c r="D910" t="s">
        <v>13</v>
      </c>
      <c r="E910">
        <v>165.16</v>
      </c>
      <c r="F910">
        <v>20140411</v>
      </c>
      <c r="G910" t="s">
        <v>14</v>
      </c>
      <c r="I910" t="s">
        <v>15</v>
      </c>
    </row>
    <row r="911" spans="1:9" x14ac:dyDescent="0.25">
      <c r="A911">
        <v>20140416</v>
      </c>
      <c r="B911" t="str">
        <f>"011098"</f>
        <v>011098</v>
      </c>
      <c r="C911" t="str">
        <f t="shared" si="83"/>
        <v>79800</v>
      </c>
      <c r="D911" t="s">
        <v>13</v>
      </c>
      <c r="E911">
        <v>123.33</v>
      </c>
      <c r="F911">
        <v>20140411</v>
      </c>
      <c r="G911" t="s">
        <v>14</v>
      </c>
      <c r="I911" t="s">
        <v>15</v>
      </c>
    </row>
    <row r="912" spans="1:9" x14ac:dyDescent="0.25">
      <c r="A912">
        <v>20140416</v>
      </c>
      <c r="B912" t="str">
        <f>"011099"</f>
        <v>011099</v>
      </c>
      <c r="C912" t="str">
        <f t="shared" si="83"/>
        <v>79800</v>
      </c>
      <c r="D912" t="s">
        <v>13</v>
      </c>
      <c r="E912">
        <v>100</v>
      </c>
      <c r="F912">
        <v>20140411</v>
      </c>
      <c r="G912" t="s">
        <v>14</v>
      </c>
      <c r="I912" t="s">
        <v>15</v>
      </c>
    </row>
    <row r="913" spans="1:9" x14ac:dyDescent="0.25">
      <c r="A913">
        <v>20140416</v>
      </c>
      <c r="B913" t="str">
        <f>"011100"</f>
        <v>011100</v>
      </c>
      <c r="C913" t="str">
        <f t="shared" si="83"/>
        <v>79800</v>
      </c>
      <c r="D913" t="s">
        <v>13</v>
      </c>
      <c r="E913">
        <v>573</v>
      </c>
      <c r="F913">
        <v>20140411</v>
      </c>
      <c r="G913" t="s">
        <v>14</v>
      </c>
      <c r="I913" t="s">
        <v>15</v>
      </c>
    </row>
    <row r="914" spans="1:9" x14ac:dyDescent="0.25">
      <c r="A914">
        <v>20140418</v>
      </c>
      <c r="B914" t="str">
        <f>"011101"</f>
        <v>011101</v>
      </c>
      <c r="C914" t="str">
        <f t="shared" si="83"/>
        <v>79800</v>
      </c>
      <c r="D914" t="s">
        <v>13</v>
      </c>
      <c r="E914">
        <v>220.9</v>
      </c>
      <c r="F914">
        <v>20140416</v>
      </c>
      <c r="G914" t="s">
        <v>14</v>
      </c>
      <c r="I914" t="s">
        <v>15</v>
      </c>
    </row>
    <row r="915" spans="1:9" x14ac:dyDescent="0.25">
      <c r="A915">
        <v>20140418</v>
      </c>
      <c r="B915" t="str">
        <f>"011102"</f>
        <v>011102</v>
      </c>
      <c r="C915" t="str">
        <f t="shared" si="83"/>
        <v>79800</v>
      </c>
      <c r="D915" t="s">
        <v>13</v>
      </c>
      <c r="E915">
        <v>100</v>
      </c>
      <c r="F915">
        <v>20140416</v>
      </c>
      <c r="G915" t="s">
        <v>14</v>
      </c>
      <c r="I915" t="s">
        <v>15</v>
      </c>
    </row>
    <row r="916" spans="1:9" x14ac:dyDescent="0.25">
      <c r="A916">
        <v>20140418</v>
      </c>
      <c r="B916" t="str">
        <f>"011103"</f>
        <v>011103</v>
      </c>
      <c r="C916" t="str">
        <f t="shared" si="83"/>
        <v>79800</v>
      </c>
      <c r="D916" t="s">
        <v>13</v>
      </c>
      <c r="E916">
        <v>352.5</v>
      </c>
      <c r="F916">
        <v>20140416</v>
      </c>
      <c r="G916" t="s">
        <v>14</v>
      </c>
      <c r="I916" t="s">
        <v>15</v>
      </c>
    </row>
    <row r="917" spans="1:9" x14ac:dyDescent="0.25">
      <c r="A917">
        <v>20140422</v>
      </c>
      <c r="B917" t="str">
        <f>"011104"</f>
        <v>011104</v>
      </c>
      <c r="C917" t="str">
        <f t="shared" si="83"/>
        <v>79800</v>
      </c>
      <c r="D917" t="s">
        <v>13</v>
      </c>
      <c r="E917">
        <v>573</v>
      </c>
      <c r="F917">
        <v>20140421</v>
      </c>
      <c r="G917" t="s">
        <v>14</v>
      </c>
      <c r="I917" t="s">
        <v>15</v>
      </c>
    </row>
    <row r="918" spans="1:9" x14ac:dyDescent="0.25">
      <c r="A918">
        <v>20140422</v>
      </c>
      <c r="B918" t="str">
        <f>"011105"</f>
        <v>011105</v>
      </c>
      <c r="C918" t="str">
        <f t="shared" si="83"/>
        <v>79800</v>
      </c>
      <c r="D918" t="s">
        <v>13</v>
      </c>
      <c r="E918">
        <v>108.33</v>
      </c>
      <c r="F918">
        <v>20140421</v>
      </c>
      <c r="G918" t="s">
        <v>14</v>
      </c>
      <c r="I918" t="s">
        <v>15</v>
      </c>
    </row>
    <row r="919" spans="1:9" x14ac:dyDescent="0.25">
      <c r="A919">
        <v>20140422</v>
      </c>
      <c r="B919" t="str">
        <f>"011106"</f>
        <v>011106</v>
      </c>
      <c r="C919" t="str">
        <f t="shared" si="83"/>
        <v>79800</v>
      </c>
      <c r="D919" t="s">
        <v>13</v>
      </c>
      <c r="E919">
        <v>254.21</v>
      </c>
      <c r="F919">
        <v>20140421</v>
      </c>
      <c r="G919" t="s">
        <v>14</v>
      </c>
      <c r="I919" t="s">
        <v>15</v>
      </c>
    </row>
    <row r="920" spans="1:9" x14ac:dyDescent="0.25">
      <c r="A920">
        <v>20140422</v>
      </c>
      <c r="B920" t="str">
        <f>"011107"</f>
        <v>011107</v>
      </c>
      <c r="C920" t="str">
        <f t="shared" si="83"/>
        <v>79800</v>
      </c>
      <c r="D920" t="s">
        <v>13</v>
      </c>
      <c r="E920">
        <v>500</v>
      </c>
      <c r="F920">
        <v>20140421</v>
      </c>
      <c r="G920" t="s">
        <v>14</v>
      </c>
      <c r="I920" t="s">
        <v>15</v>
      </c>
    </row>
    <row r="921" spans="1:9" x14ac:dyDescent="0.25">
      <c r="A921">
        <v>20140425</v>
      </c>
      <c r="B921" t="str">
        <f>"011108"</f>
        <v>011108</v>
      </c>
      <c r="C921" t="str">
        <f t="shared" si="83"/>
        <v>79800</v>
      </c>
      <c r="D921" t="s">
        <v>13</v>
      </c>
      <c r="E921">
        <v>220.9</v>
      </c>
      <c r="F921">
        <v>20140423</v>
      </c>
      <c r="G921" t="s">
        <v>14</v>
      </c>
      <c r="I921" t="s">
        <v>15</v>
      </c>
    </row>
    <row r="922" spans="1:9" x14ac:dyDescent="0.25">
      <c r="A922">
        <v>20140428</v>
      </c>
      <c r="B922" t="str">
        <f>"011109"</f>
        <v>011109</v>
      </c>
      <c r="C922" t="str">
        <f t="shared" si="83"/>
        <v>79800</v>
      </c>
      <c r="D922" t="s">
        <v>13</v>
      </c>
      <c r="E922">
        <v>40</v>
      </c>
      <c r="F922">
        <v>20140424</v>
      </c>
      <c r="G922" t="s">
        <v>14</v>
      </c>
      <c r="I922" t="s">
        <v>15</v>
      </c>
    </row>
    <row r="923" spans="1:9" x14ac:dyDescent="0.25">
      <c r="A923">
        <v>20140429</v>
      </c>
      <c r="B923" t="str">
        <f>"011110"</f>
        <v>011110</v>
      </c>
      <c r="C923" t="str">
        <f t="shared" si="83"/>
        <v>79800</v>
      </c>
      <c r="D923" t="s">
        <v>13</v>
      </c>
      <c r="E923">
        <v>12.5</v>
      </c>
      <c r="F923">
        <v>20140425</v>
      </c>
      <c r="G923" t="s">
        <v>14</v>
      </c>
      <c r="I923" t="s">
        <v>15</v>
      </c>
    </row>
    <row r="924" spans="1:9" x14ac:dyDescent="0.25">
      <c r="A924">
        <v>20140430</v>
      </c>
      <c r="B924" t="str">
        <f>"011111"</f>
        <v>011111</v>
      </c>
      <c r="C924" t="str">
        <f t="shared" si="83"/>
        <v>79800</v>
      </c>
      <c r="D924" t="s">
        <v>13</v>
      </c>
      <c r="E924">
        <v>100</v>
      </c>
      <c r="F924">
        <v>20140428</v>
      </c>
      <c r="G924" t="s">
        <v>14</v>
      </c>
      <c r="I924" t="s">
        <v>15</v>
      </c>
    </row>
    <row r="925" spans="1:9" x14ac:dyDescent="0.25">
      <c r="A925">
        <v>20140430</v>
      </c>
      <c r="B925" t="str">
        <f>"011112"</f>
        <v>011112</v>
      </c>
      <c r="C925" t="str">
        <f t="shared" si="83"/>
        <v>79800</v>
      </c>
      <c r="D925" t="s">
        <v>13</v>
      </c>
      <c r="E925">
        <v>573</v>
      </c>
      <c r="F925">
        <v>20140428</v>
      </c>
      <c r="G925" t="s">
        <v>14</v>
      </c>
      <c r="I925" t="s">
        <v>15</v>
      </c>
    </row>
    <row r="926" spans="1:9" x14ac:dyDescent="0.25">
      <c r="A926">
        <v>20140502</v>
      </c>
      <c r="B926" t="str">
        <f>"011113"</f>
        <v>011113</v>
      </c>
      <c r="C926" t="str">
        <f t="shared" si="83"/>
        <v>79800</v>
      </c>
      <c r="D926" t="s">
        <v>13</v>
      </c>
      <c r="E926">
        <v>100</v>
      </c>
      <c r="F926">
        <v>20140502</v>
      </c>
      <c r="G926" t="s">
        <v>14</v>
      </c>
      <c r="I926" t="s">
        <v>15</v>
      </c>
    </row>
    <row r="927" spans="1:9" x14ac:dyDescent="0.25">
      <c r="A927">
        <v>20140502</v>
      </c>
      <c r="B927" t="str">
        <f>"011114"</f>
        <v>011114</v>
      </c>
      <c r="C927" t="str">
        <f t="shared" si="83"/>
        <v>79800</v>
      </c>
      <c r="D927" t="s">
        <v>13</v>
      </c>
      <c r="E927">
        <v>220.9</v>
      </c>
      <c r="F927">
        <v>20140502</v>
      </c>
      <c r="G927" t="s">
        <v>14</v>
      </c>
      <c r="I927" t="s">
        <v>15</v>
      </c>
    </row>
    <row r="928" spans="1:9" x14ac:dyDescent="0.25">
      <c r="A928">
        <v>20140507</v>
      </c>
      <c r="B928" t="str">
        <f>"011115"</f>
        <v>011115</v>
      </c>
      <c r="C928" t="str">
        <f t="shared" si="83"/>
        <v>79800</v>
      </c>
      <c r="D928" t="s">
        <v>13</v>
      </c>
      <c r="E928">
        <v>12.99</v>
      </c>
      <c r="F928">
        <v>20140505</v>
      </c>
      <c r="G928" t="s">
        <v>14</v>
      </c>
      <c r="I928" t="s">
        <v>15</v>
      </c>
    </row>
    <row r="929" spans="1:9" x14ac:dyDescent="0.25">
      <c r="A929">
        <v>20140507</v>
      </c>
      <c r="B929" t="str">
        <f>"011116"</f>
        <v>011116</v>
      </c>
      <c r="C929" t="str">
        <f t="shared" si="83"/>
        <v>79800</v>
      </c>
      <c r="D929" t="s">
        <v>13</v>
      </c>
      <c r="E929">
        <v>573</v>
      </c>
      <c r="F929">
        <v>20140505</v>
      </c>
      <c r="G929" t="s">
        <v>14</v>
      </c>
      <c r="I929" t="s">
        <v>15</v>
      </c>
    </row>
    <row r="930" spans="1:9" x14ac:dyDescent="0.25">
      <c r="A930">
        <v>20140507</v>
      </c>
      <c r="B930" t="str">
        <f>"011117"</f>
        <v>011117</v>
      </c>
      <c r="C930" t="str">
        <f t="shared" si="83"/>
        <v>79800</v>
      </c>
      <c r="D930" t="s">
        <v>13</v>
      </c>
      <c r="E930">
        <v>113.61</v>
      </c>
      <c r="F930">
        <v>20140505</v>
      </c>
      <c r="G930" t="s">
        <v>14</v>
      </c>
      <c r="I930" t="s">
        <v>15</v>
      </c>
    </row>
    <row r="931" spans="1:9" x14ac:dyDescent="0.25">
      <c r="A931">
        <v>20140507</v>
      </c>
      <c r="B931" t="str">
        <f>"011118"</f>
        <v>011118</v>
      </c>
      <c r="C931" t="str">
        <f t="shared" si="83"/>
        <v>79800</v>
      </c>
      <c r="D931" t="s">
        <v>13</v>
      </c>
      <c r="E931">
        <v>13.01</v>
      </c>
      <c r="F931">
        <v>20140505</v>
      </c>
      <c r="G931" t="s">
        <v>14</v>
      </c>
      <c r="I931" t="s">
        <v>15</v>
      </c>
    </row>
    <row r="932" spans="1:9" x14ac:dyDescent="0.25">
      <c r="A932">
        <v>20140507</v>
      </c>
      <c r="B932" t="str">
        <f>"011119"</f>
        <v>011119</v>
      </c>
      <c r="C932" t="str">
        <f t="shared" ref="C932:C958" si="84">"79800"</f>
        <v>79800</v>
      </c>
      <c r="D932" t="s">
        <v>13</v>
      </c>
      <c r="E932">
        <v>21.56</v>
      </c>
      <c r="F932">
        <v>20140505</v>
      </c>
      <c r="G932" t="s">
        <v>14</v>
      </c>
      <c r="I932" t="s">
        <v>15</v>
      </c>
    </row>
    <row r="933" spans="1:9" x14ac:dyDescent="0.25">
      <c r="A933">
        <v>20140509</v>
      </c>
      <c r="B933" t="str">
        <f>"011120"</f>
        <v>011120</v>
      </c>
      <c r="C933" t="str">
        <f t="shared" si="84"/>
        <v>79800</v>
      </c>
      <c r="D933" t="s">
        <v>13</v>
      </c>
      <c r="E933">
        <v>168.9</v>
      </c>
      <c r="F933">
        <v>20140507</v>
      </c>
      <c r="G933" t="s">
        <v>14</v>
      </c>
      <c r="I933" t="s">
        <v>15</v>
      </c>
    </row>
    <row r="934" spans="1:9" x14ac:dyDescent="0.25">
      <c r="A934">
        <v>20140509</v>
      </c>
      <c r="B934" t="str">
        <f>"011121"</f>
        <v>011121</v>
      </c>
      <c r="C934" t="str">
        <f t="shared" si="84"/>
        <v>79800</v>
      </c>
      <c r="D934" t="s">
        <v>13</v>
      </c>
      <c r="E934">
        <v>220.9</v>
      </c>
      <c r="F934">
        <v>20140507</v>
      </c>
      <c r="G934" t="s">
        <v>14</v>
      </c>
      <c r="I934" t="s">
        <v>15</v>
      </c>
    </row>
    <row r="935" spans="1:9" x14ac:dyDescent="0.25">
      <c r="A935">
        <v>20140509</v>
      </c>
      <c r="B935" t="str">
        <f>"011122"</f>
        <v>011122</v>
      </c>
      <c r="C935" t="str">
        <f t="shared" si="84"/>
        <v>79800</v>
      </c>
      <c r="D935" t="s">
        <v>13</v>
      </c>
      <c r="E935">
        <v>412.73</v>
      </c>
      <c r="F935">
        <v>20140507</v>
      </c>
      <c r="G935" t="s">
        <v>14</v>
      </c>
      <c r="I935" t="s">
        <v>15</v>
      </c>
    </row>
    <row r="936" spans="1:9" x14ac:dyDescent="0.25">
      <c r="A936">
        <v>20140514</v>
      </c>
      <c r="B936" t="str">
        <f>"011123"</f>
        <v>011123</v>
      </c>
      <c r="C936" t="str">
        <f t="shared" si="84"/>
        <v>79800</v>
      </c>
      <c r="D936" t="s">
        <v>13</v>
      </c>
      <c r="E936">
        <v>573</v>
      </c>
      <c r="F936">
        <v>20140509</v>
      </c>
      <c r="G936" t="s">
        <v>14</v>
      </c>
      <c r="I936" t="s">
        <v>15</v>
      </c>
    </row>
    <row r="937" spans="1:9" x14ac:dyDescent="0.25">
      <c r="A937">
        <v>20140514</v>
      </c>
      <c r="B937" t="str">
        <f>"011124"</f>
        <v>011124</v>
      </c>
      <c r="C937" t="str">
        <f t="shared" si="84"/>
        <v>79800</v>
      </c>
      <c r="D937" t="s">
        <v>13</v>
      </c>
      <c r="E937">
        <v>206.78</v>
      </c>
      <c r="F937">
        <v>20140509</v>
      </c>
      <c r="G937" t="s">
        <v>14</v>
      </c>
      <c r="I937" t="s">
        <v>15</v>
      </c>
    </row>
    <row r="938" spans="1:9" x14ac:dyDescent="0.25">
      <c r="A938">
        <v>20140516</v>
      </c>
      <c r="B938" t="str">
        <f>"011125"</f>
        <v>011125</v>
      </c>
      <c r="C938" t="str">
        <f t="shared" si="84"/>
        <v>79800</v>
      </c>
      <c r="D938" t="s">
        <v>13</v>
      </c>
      <c r="E938">
        <v>123.33</v>
      </c>
      <c r="F938">
        <v>20140514</v>
      </c>
      <c r="G938" t="s">
        <v>14</v>
      </c>
      <c r="I938" t="s">
        <v>15</v>
      </c>
    </row>
    <row r="939" spans="1:9" x14ac:dyDescent="0.25">
      <c r="A939">
        <v>20140516</v>
      </c>
      <c r="B939" t="str">
        <f>"011126"</f>
        <v>011126</v>
      </c>
      <c r="C939" t="str">
        <f t="shared" si="84"/>
        <v>79800</v>
      </c>
      <c r="D939" t="s">
        <v>13</v>
      </c>
      <c r="E939">
        <v>672.82</v>
      </c>
      <c r="F939">
        <v>20140514</v>
      </c>
      <c r="G939" t="s">
        <v>14</v>
      </c>
      <c r="I939" t="s">
        <v>15</v>
      </c>
    </row>
    <row r="940" spans="1:9" x14ac:dyDescent="0.25">
      <c r="A940">
        <v>20140516</v>
      </c>
      <c r="B940" t="str">
        <f>"011127"</f>
        <v>011127</v>
      </c>
      <c r="C940" t="str">
        <f t="shared" si="84"/>
        <v>79800</v>
      </c>
      <c r="D940" t="s">
        <v>13</v>
      </c>
      <c r="E940">
        <v>220.9</v>
      </c>
      <c r="F940">
        <v>20140514</v>
      </c>
      <c r="G940" t="s">
        <v>14</v>
      </c>
      <c r="I940" t="s">
        <v>15</v>
      </c>
    </row>
    <row r="941" spans="1:9" x14ac:dyDescent="0.25">
      <c r="A941">
        <v>20140516</v>
      </c>
      <c r="B941" t="str">
        <f>"011128"</f>
        <v>011128</v>
      </c>
      <c r="C941" t="str">
        <f t="shared" si="84"/>
        <v>79800</v>
      </c>
      <c r="D941" t="s">
        <v>13</v>
      </c>
      <c r="E941">
        <v>179.34</v>
      </c>
      <c r="F941">
        <v>20140514</v>
      </c>
      <c r="G941" t="s">
        <v>14</v>
      </c>
      <c r="I941" t="s">
        <v>15</v>
      </c>
    </row>
    <row r="942" spans="1:9" x14ac:dyDescent="0.25">
      <c r="A942">
        <v>20140516</v>
      </c>
      <c r="B942" t="str">
        <f>"011129"</f>
        <v>011129</v>
      </c>
      <c r="C942" t="str">
        <f t="shared" si="84"/>
        <v>79800</v>
      </c>
      <c r="D942" t="s">
        <v>13</v>
      </c>
      <c r="E942">
        <v>496.21</v>
      </c>
      <c r="F942">
        <v>20140514</v>
      </c>
      <c r="G942" t="s">
        <v>14</v>
      </c>
      <c r="I942" t="s">
        <v>15</v>
      </c>
    </row>
    <row r="943" spans="1:9" x14ac:dyDescent="0.25">
      <c r="A943">
        <v>20140521</v>
      </c>
      <c r="B943" t="str">
        <f>"011130"</f>
        <v>011130</v>
      </c>
      <c r="C943" t="str">
        <f t="shared" si="84"/>
        <v>79800</v>
      </c>
      <c r="D943" t="s">
        <v>13</v>
      </c>
      <c r="E943">
        <v>76.709999999999994</v>
      </c>
      <c r="F943">
        <v>20140520</v>
      </c>
      <c r="G943" t="s">
        <v>14</v>
      </c>
      <c r="I943" t="s">
        <v>15</v>
      </c>
    </row>
    <row r="944" spans="1:9" x14ac:dyDescent="0.25">
      <c r="A944">
        <v>20140521</v>
      </c>
      <c r="B944" t="str">
        <f>"011131"</f>
        <v>011131</v>
      </c>
      <c r="C944" t="str">
        <f t="shared" si="84"/>
        <v>79800</v>
      </c>
      <c r="D944" t="s">
        <v>13</v>
      </c>
      <c r="E944">
        <v>257.97000000000003</v>
      </c>
      <c r="F944">
        <v>20140520</v>
      </c>
      <c r="G944" t="s">
        <v>14</v>
      </c>
      <c r="I944" t="s">
        <v>15</v>
      </c>
    </row>
    <row r="945" spans="1:9" x14ac:dyDescent="0.25">
      <c r="A945">
        <v>20140521</v>
      </c>
      <c r="B945" t="str">
        <f>"011132"</f>
        <v>011132</v>
      </c>
      <c r="C945" t="str">
        <f t="shared" si="84"/>
        <v>79800</v>
      </c>
      <c r="D945" t="s">
        <v>13</v>
      </c>
      <c r="E945">
        <v>37</v>
      </c>
      <c r="F945">
        <v>20140520</v>
      </c>
      <c r="G945" t="s">
        <v>14</v>
      </c>
      <c r="I945" t="s">
        <v>15</v>
      </c>
    </row>
    <row r="946" spans="1:9" x14ac:dyDescent="0.25">
      <c r="A946">
        <v>20140521</v>
      </c>
      <c r="B946" t="str">
        <f>"011133"</f>
        <v>011133</v>
      </c>
      <c r="C946" t="str">
        <f t="shared" si="84"/>
        <v>79800</v>
      </c>
      <c r="D946" t="s">
        <v>13</v>
      </c>
      <c r="E946">
        <v>337.28</v>
      </c>
      <c r="F946">
        <v>20140520</v>
      </c>
      <c r="G946" t="s">
        <v>14</v>
      </c>
      <c r="I946" t="s">
        <v>15</v>
      </c>
    </row>
    <row r="947" spans="1:9" x14ac:dyDescent="0.25">
      <c r="A947">
        <v>20140521</v>
      </c>
      <c r="B947" t="str">
        <f>"011134"</f>
        <v>011134</v>
      </c>
      <c r="C947" t="str">
        <f t="shared" si="84"/>
        <v>79800</v>
      </c>
      <c r="D947" t="s">
        <v>13</v>
      </c>
      <c r="E947">
        <v>220.97</v>
      </c>
      <c r="F947">
        <v>20140520</v>
      </c>
      <c r="G947" t="s">
        <v>14</v>
      </c>
      <c r="I947" t="s">
        <v>15</v>
      </c>
    </row>
    <row r="948" spans="1:9" x14ac:dyDescent="0.25">
      <c r="A948">
        <v>20140521</v>
      </c>
      <c r="B948" t="str">
        <f>"011135"</f>
        <v>011135</v>
      </c>
      <c r="C948" t="str">
        <f t="shared" si="84"/>
        <v>79800</v>
      </c>
      <c r="D948" t="s">
        <v>13</v>
      </c>
      <c r="E948">
        <v>140.97</v>
      </c>
      <c r="F948">
        <v>20140520</v>
      </c>
      <c r="G948" t="s">
        <v>14</v>
      </c>
      <c r="I948" t="s">
        <v>15</v>
      </c>
    </row>
    <row r="949" spans="1:9" x14ac:dyDescent="0.25">
      <c r="A949">
        <v>20140521</v>
      </c>
      <c r="B949" t="str">
        <f>"011136"</f>
        <v>011136</v>
      </c>
      <c r="C949" t="str">
        <f t="shared" si="84"/>
        <v>79800</v>
      </c>
      <c r="D949" t="s">
        <v>13</v>
      </c>
      <c r="E949">
        <v>100</v>
      </c>
      <c r="F949">
        <v>20140520</v>
      </c>
      <c r="G949" t="s">
        <v>14</v>
      </c>
      <c r="I949" t="s">
        <v>15</v>
      </c>
    </row>
    <row r="950" spans="1:9" x14ac:dyDescent="0.25">
      <c r="A950">
        <v>20140521</v>
      </c>
      <c r="B950" t="str">
        <f>"011137"</f>
        <v>011137</v>
      </c>
      <c r="C950" t="str">
        <f t="shared" si="84"/>
        <v>79800</v>
      </c>
      <c r="D950" t="s">
        <v>13</v>
      </c>
      <c r="E950">
        <v>945.2</v>
      </c>
      <c r="F950">
        <v>20140520</v>
      </c>
      <c r="G950" t="s">
        <v>14</v>
      </c>
      <c r="I950" t="s">
        <v>15</v>
      </c>
    </row>
    <row r="951" spans="1:9" x14ac:dyDescent="0.25">
      <c r="A951">
        <v>20140521</v>
      </c>
      <c r="B951" t="str">
        <f>"011138"</f>
        <v>011138</v>
      </c>
      <c r="C951" t="str">
        <f t="shared" si="84"/>
        <v>79800</v>
      </c>
      <c r="D951" t="s">
        <v>13</v>
      </c>
      <c r="E951">
        <v>573</v>
      </c>
      <c r="F951">
        <v>20140520</v>
      </c>
      <c r="G951" t="s">
        <v>14</v>
      </c>
      <c r="I951" t="s">
        <v>15</v>
      </c>
    </row>
    <row r="952" spans="1:9" x14ac:dyDescent="0.25">
      <c r="A952">
        <v>20140529</v>
      </c>
      <c r="B952" t="str">
        <f>"011139"</f>
        <v>011139</v>
      </c>
      <c r="C952" t="str">
        <f t="shared" si="84"/>
        <v>79800</v>
      </c>
      <c r="D952" t="s">
        <v>13</v>
      </c>
      <c r="E952">
        <v>37</v>
      </c>
      <c r="F952">
        <v>20140520</v>
      </c>
      <c r="G952" t="s">
        <v>14</v>
      </c>
      <c r="I952" t="s">
        <v>15</v>
      </c>
    </row>
    <row r="953" spans="1:9" x14ac:dyDescent="0.25">
      <c r="A953">
        <v>20140529</v>
      </c>
      <c r="B953" t="str">
        <f>"011140"</f>
        <v>011140</v>
      </c>
      <c r="C953" t="str">
        <f t="shared" si="84"/>
        <v>79800</v>
      </c>
      <c r="D953" t="s">
        <v>13</v>
      </c>
      <c r="E953">
        <v>220.9</v>
      </c>
      <c r="F953">
        <v>20140520</v>
      </c>
      <c r="G953" t="s">
        <v>14</v>
      </c>
      <c r="I953" t="s">
        <v>15</v>
      </c>
    </row>
    <row r="954" spans="1:9" x14ac:dyDescent="0.25">
      <c r="A954">
        <v>20140529</v>
      </c>
      <c r="B954" t="str">
        <f>"011141"</f>
        <v>011141</v>
      </c>
      <c r="C954" t="str">
        <f t="shared" si="84"/>
        <v>79800</v>
      </c>
      <c r="D954" t="s">
        <v>13</v>
      </c>
      <c r="E954">
        <v>436.34</v>
      </c>
      <c r="F954">
        <v>20140520</v>
      </c>
      <c r="G954" t="s">
        <v>14</v>
      </c>
      <c r="I954" t="s">
        <v>15</v>
      </c>
    </row>
    <row r="955" spans="1:9" x14ac:dyDescent="0.25">
      <c r="A955">
        <v>20140527</v>
      </c>
      <c r="B955" t="str">
        <f>"011142"</f>
        <v>011142</v>
      </c>
      <c r="C955" t="str">
        <f t="shared" si="84"/>
        <v>79800</v>
      </c>
      <c r="D955" t="s">
        <v>13</v>
      </c>
      <c r="E955">
        <v>573</v>
      </c>
      <c r="F955">
        <v>20140522</v>
      </c>
      <c r="G955" t="s">
        <v>14</v>
      </c>
      <c r="I955" t="s">
        <v>15</v>
      </c>
    </row>
    <row r="956" spans="1:9" x14ac:dyDescent="0.25">
      <c r="A956">
        <v>20140527</v>
      </c>
      <c r="B956" t="str">
        <f>"011143"</f>
        <v>011143</v>
      </c>
      <c r="C956" t="str">
        <f t="shared" si="84"/>
        <v>79800</v>
      </c>
      <c r="D956" t="s">
        <v>13</v>
      </c>
      <c r="E956">
        <v>13.51</v>
      </c>
      <c r="F956">
        <v>20140522</v>
      </c>
      <c r="G956" t="s">
        <v>14</v>
      </c>
      <c r="I956" t="s">
        <v>15</v>
      </c>
    </row>
    <row r="957" spans="1:9" x14ac:dyDescent="0.25">
      <c r="A957">
        <v>20140527</v>
      </c>
      <c r="B957" t="str">
        <f>"011144"</f>
        <v>011144</v>
      </c>
      <c r="C957" t="str">
        <f t="shared" si="84"/>
        <v>79800</v>
      </c>
      <c r="D957" t="s">
        <v>13</v>
      </c>
      <c r="E957">
        <v>179.34</v>
      </c>
      <c r="F957">
        <v>20140522</v>
      </c>
      <c r="G957" t="s">
        <v>14</v>
      </c>
      <c r="I957" t="s">
        <v>15</v>
      </c>
    </row>
    <row r="958" spans="1:9" x14ac:dyDescent="0.25">
      <c r="A958">
        <v>20140527</v>
      </c>
      <c r="B958" t="str">
        <f>"011145"</f>
        <v>011145</v>
      </c>
      <c r="C958" t="str">
        <f t="shared" si="84"/>
        <v>79800</v>
      </c>
      <c r="D958" t="s">
        <v>13</v>
      </c>
      <c r="E958">
        <v>772.3</v>
      </c>
      <c r="F958">
        <v>20140522</v>
      </c>
      <c r="G958" t="s">
        <v>14</v>
      </c>
      <c r="I958" t="s">
        <v>15</v>
      </c>
    </row>
    <row r="959" spans="1:9" x14ac:dyDescent="0.25">
      <c r="A959">
        <v>20140530</v>
      </c>
      <c r="B959" t="str">
        <f>"011146"</f>
        <v>011146</v>
      </c>
      <c r="C959" t="str">
        <f t="shared" ref="C959:C990" si="85">"79801"</f>
        <v>79801</v>
      </c>
      <c r="D959" t="s">
        <v>17</v>
      </c>
      <c r="E959">
        <v>220.9</v>
      </c>
      <c r="F959">
        <v>20140603</v>
      </c>
      <c r="G959" t="s">
        <v>14</v>
      </c>
      <c r="I959" t="s">
        <v>15</v>
      </c>
    </row>
    <row r="960" spans="1:9" x14ac:dyDescent="0.25">
      <c r="A960">
        <v>20140530</v>
      </c>
      <c r="B960" t="str">
        <f>"011147"</f>
        <v>011147</v>
      </c>
      <c r="C960" t="str">
        <f t="shared" si="85"/>
        <v>79801</v>
      </c>
      <c r="D960" t="s">
        <v>17</v>
      </c>
      <c r="E960">
        <v>66.86</v>
      </c>
      <c r="F960">
        <v>20140603</v>
      </c>
      <c r="G960" t="s">
        <v>14</v>
      </c>
      <c r="I960" t="s">
        <v>15</v>
      </c>
    </row>
    <row r="961" spans="1:9" x14ac:dyDescent="0.25">
      <c r="A961">
        <v>20140604</v>
      </c>
      <c r="B961" t="str">
        <f>"011148"</f>
        <v>011148</v>
      </c>
      <c r="C961" t="str">
        <f t="shared" si="85"/>
        <v>79801</v>
      </c>
      <c r="D961" t="s">
        <v>17</v>
      </c>
      <c r="E961">
        <v>123.33</v>
      </c>
      <c r="F961">
        <v>20140603</v>
      </c>
      <c r="G961" t="s">
        <v>14</v>
      </c>
      <c r="I961" t="s">
        <v>15</v>
      </c>
    </row>
    <row r="962" spans="1:9" x14ac:dyDescent="0.25">
      <c r="A962">
        <v>20140604</v>
      </c>
      <c r="B962" t="str">
        <f>"011149"</f>
        <v>011149</v>
      </c>
      <c r="C962" t="str">
        <f t="shared" si="85"/>
        <v>79801</v>
      </c>
      <c r="D962" t="s">
        <v>17</v>
      </c>
      <c r="E962">
        <v>573</v>
      </c>
      <c r="F962">
        <v>20140603</v>
      </c>
      <c r="G962" t="s">
        <v>14</v>
      </c>
      <c r="I962" t="s">
        <v>15</v>
      </c>
    </row>
    <row r="963" spans="1:9" x14ac:dyDescent="0.25">
      <c r="A963">
        <v>20140604</v>
      </c>
      <c r="B963" t="str">
        <f>"011150"</f>
        <v>011150</v>
      </c>
      <c r="C963" t="str">
        <f t="shared" si="85"/>
        <v>79801</v>
      </c>
      <c r="D963" t="s">
        <v>17</v>
      </c>
      <c r="E963">
        <v>185.66</v>
      </c>
      <c r="F963">
        <v>20140603</v>
      </c>
      <c r="G963" t="s">
        <v>14</v>
      </c>
      <c r="I963" t="s">
        <v>15</v>
      </c>
    </row>
    <row r="964" spans="1:9" x14ac:dyDescent="0.25">
      <c r="A964">
        <v>20140606</v>
      </c>
      <c r="B964" t="str">
        <f>"011151"</f>
        <v>011151</v>
      </c>
      <c r="C964" t="str">
        <f t="shared" si="85"/>
        <v>79801</v>
      </c>
      <c r="D964" t="s">
        <v>17</v>
      </c>
      <c r="E964">
        <v>104</v>
      </c>
      <c r="F964">
        <v>20140609</v>
      </c>
      <c r="G964" t="s">
        <v>14</v>
      </c>
      <c r="I964" t="s">
        <v>15</v>
      </c>
    </row>
    <row r="965" spans="1:9" x14ac:dyDescent="0.25">
      <c r="A965">
        <v>20140606</v>
      </c>
      <c r="B965" t="str">
        <f>"011152"</f>
        <v>011152</v>
      </c>
      <c r="C965" t="str">
        <f t="shared" si="85"/>
        <v>79801</v>
      </c>
      <c r="D965" t="s">
        <v>17</v>
      </c>
      <c r="E965">
        <v>220.9</v>
      </c>
      <c r="F965">
        <v>20140609</v>
      </c>
      <c r="G965" t="s">
        <v>14</v>
      </c>
      <c r="I965" t="s">
        <v>15</v>
      </c>
    </row>
    <row r="966" spans="1:9" x14ac:dyDescent="0.25">
      <c r="A966">
        <v>20140606</v>
      </c>
      <c r="B966" t="str">
        <f>"011153"</f>
        <v>011153</v>
      </c>
      <c r="C966" t="str">
        <f t="shared" si="85"/>
        <v>79801</v>
      </c>
      <c r="D966" t="s">
        <v>17</v>
      </c>
      <c r="E966">
        <v>105.86</v>
      </c>
      <c r="F966">
        <v>20140609</v>
      </c>
      <c r="G966" t="s">
        <v>14</v>
      </c>
      <c r="I966" t="s">
        <v>15</v>
      </c>
    </row>
    <row r="967" spans="1:9" x14ac:dyDescent="0.25">
      <c r="A967">
        <v>20140611</v>
      </c>
      <c r="B967" t="str">
        <f>"011154"</f>
        <v>011154</v>
      </c>
      <c r="C967" t="str">
        <f t="shared" si="85"/>
        <v>79801</v>
      </c>
      <c r="D967" t="s">
        <v>17</v>
      </c>
      <c r="E967">
        <v>123.33</v>
      </c>
      <c r="F967">
        <v>20140609</v>
      </c>
      <c r="G967" t="s">
        <v>14</v>
      </c>
      <c r="I967" t="s">
        <v>15</v>
      </c>
    </row>
    <row r="968" spans="1:9" x14ac:dyDescent="0.25">
      <c r="A968">
        <v>20140611</v>
      </c>
      <c r="B968" t="str">
        <f>"011155"</f>
        <v>011155</v>
      </c>
      <c r="C968" t="str">
        <f t="shared" si="85"/>
        <v>79801</v>
      </c>
      <c r="D968" t="s">
        <v>17</v>
      </c>
      <c r="E968">
        <v>276.93</v>
      </c>
      <c r="F968">
        <v>20140609</v>
      </c>
      <c r="G968" t="s">
        <v>14</v>
      </c>
      <c r="I968" t="s">
        <v>15</v>
      </c>
    </row>
    <row r="969" spans="1:9" x14ac:dyDescent="0.25">
      <c r="A969">
        <v>20140611</v>
      </c>
      <c r="B969" t="str">
        <f>"011156"</f>
        <v>011156</v>
      </c>
      <c r="C969" t="str">
        <f t="shared" si="85"/>
        <v>79801</v>
      </c>
      <c r="D969" t="s">
        <v>17</v>
      </c>
      <c r="E969">
        <v>100</v>
      </c>
      <c r="F969">
        <v>20140609</v>
      </c>
      <c r="G969" t="s">
        <v>14</v>
      </c>
      <c r="I969" t="s">
        <v>15</v>
      </c>
    </row>
    <row r="970" spans="1:9" x14ac:dyDescent="0.25">
      <c r="A970">
        <v>20140611</v>
      </c>
      <c r="B970" t="str">
        <f>"011157"</f>
        <v>011157</v>
      </c>
      <c r="C970" t="str">
        <f t="shared" si="85"/>
        <v>79801</v>
      </c>
      <c r="D970" t="s">
        <v>17</v>
      </c>
      <c r="E970">
        <v>100</v>
      </c>
      <c r="F970">
        <v>20140609</v>
      </c>
      <c r="G970" t="s">
        <v>14</v>
      </c>
      <c r="I970" t="s">
        <v>15</v>
      </c>
    </row>
    <row r="971" spans="1:9" x14ac:dyDescent="0.25">
      <c r="A971">
        <v>20140611</v>
      </c>
      <c r="B971" t="str">
        <f>"011158"</f>
        <v>011158</v>
      </c>
      <c r="C971" t="str">
        <f t="shared" si="85"/>
        <v>79801</v>
      </c>
      <c r="D971" t="s">
        <v>17</v>
      </c>
      <c r="E971">
        <v>573</v>
      </c>
      <c r="F971">
        <v>20140609</v>
      </c>
      <c r="G971" t="s">
        <v>14</v>
      </c>
      <c r="I971" t="s">
        <v>15</v>
      </c>
    </row>
    <row r="972" spans="1:9" x14ac:dyDescent="0.25">
      <c r="A972">
        <v>20140611</v>
      </c>
      <c r="B972" t="str">
        <f>"011159"</f>
        <v>011159</v>
      </c>
      <c r="C972" t="str">
        <f t="shared" si="85"/>
        <v>79801</v>
      </c>
      <c r="D972" t="s">
        <v>17</v>
      </c>
      <c r="E972">
        <v>185.66</v>
      </c>
      <c r="F972">
        <v>20140609</v>
      </c>
      <c r="G972" t="s">
        <v>14</v>
      </c>
      <c r="I972" t="s">
        <v>15</v>
      </c>
    </row>
    <row r="973" spans="1:9" x14ac:dyDescent="0.25">
      <c r="A973">
        <v>20140613</v>
      </c>
      <c r="B973" t="str">
        <f>"011160"</f>
        <v>011160</v>
      </c>
      <c r="C973" t="str">
        <f t="shared" si="85"/>
        <v>79801</v>
      </c>
      <c r="D973" t="s">
        <v>17</v>
      </c>
      <c r="E973">
        <v>220.9</v>
      </c>
      <c r="F973">
        <v>20140630</v>
      </c>
      <c r="G973" t="s">
        <v>14</v>
      </c>
      <c r="I973" t="s">
        <v>15</v>
      </c>
    </row>
    <row r="974" spans="1:9" x14ac:dyDescent="0.25">
      <c r="A974">
        <v>20140613</v>
      </c>
      <c r="B974" t="str">
        <f>"011161"</f>
        <v>011161</v>
      </c>
      <c r="C974" t="str">
        <f t="shared" si="85"/>
        <v>79801</v>
      </c>
      <c r="D974" t="s">
        <v>17</v>
      </c>
      <c r="E974">
        <v>66.86</v>
      </c>
      <c r="F974">
        <v>20140630</v>
      </c>
      <c r="G974" t="s">
        <v>14</v>
      </c>
      <c r="I974" t="s">
        <v>15</v>
      </c>
    </row>
    <row r="975" spans="1:9" x14ac:dyDescent="0.25">
      <c r="A975">
        <v>20140618</v>
      </c>
      <c r="B975" t="str">
        <f>"011162"</f>
        <v>011162</v>
      </c>
      <c r="C975" t="str">
        <f t="shared" si="85"/>
        <v>79801</v>
      </c>
      <c r="D975" t="s">
        <v>17</v>
      </c>
      <c r="E975">
        <v>123.33</v>
      </c>
      <c r="F975">
        <v>20140630</v>
      </c>
      <c r="G975" t="s">
        <v>14</v>
      </c>
      <c r="I975" t="s">
        <v>15</v>
      </c>
    </row>
    <row r="976" spans="1:9" x14ac:dyDescent="0.25">
      <c r="A976">
        <v>20140618</v>
      </c>
      <c r="B976" t="str">
        <f>"011163"</f>
        <v>011163</v>
      </c>
      <c r="C976" t="str">
        <f t="shared" si="85"/>
        <v>79801</v>
      </c>
      <c r="D976" t="s">
        <v>17</v>
      </c>
      <c r="E976">
        <v>912.73</v>
      </c>
      <c r="F976">
        <v>20140630</v>
      </c>
      <c r="G976" t="s">
        <v>14</v>
      </c>
      <c r="I976" t="s">
        <v>15</v>
      </c>
    </row>
    <row r="977" spans="1:9" x14ac:dyDescent="0.25">
      <c r="A977">
        <v>20140618</v>
      </c>
      <c r="B977" t="str">
        <f>"011164"</f>
        <v>011164</v>
      </c>
      <c r="C977" t="str">
        <f t="shared" si="85"/>
        <v>79801</v>
      </c>
      <c r="D977" t="s">
        <v>17</v>
      </c>
      <c r="E977">
        <v>160.13999999999999</v>
      </c>
      <c r="F977">
        <v>20140630</v>
      </c>
      <c r="G977" t="s">
        <v>14</v>
      </c>
      <c r="I977" t="s">
        <v>15</v>
      </c>
    </row>
    <row r="978" spans="1:9" x14ac:dyDescent="0.25">
      <c r="A978">
        <v>20140620</v>
      </c>
      <c r="B978" t="str">
        <f>"011165"</f>
        <v>011165</v>
      </c>
      <c r="C978" t="str">
        <f t="shared" si="85"/>
        <v>79801</v>
      </c>
      <c r="D978" t="s">
        <v>17</v>
      </c>
      <c r="E978">
        <v>31.56</v>
      </c>
      <c r="F978">
        <v>20140630</v>
      </c>
      <c r="G978" t="s">
        <v>14</v>
      </c>
      <c r="I978" t="s">
        <v>15</v>
      </c>
    </row>
    <row r="979" spans="1:9" x14ac:dyDescent="0.25">
      <c r="A979">
        <v>20140625</v>
      </c>
      <c r="B979" t="str">
        <f>"011166"</f>
        <v>011166</v>
      </c>
      <c r="C979" t="str">
        <f t="shared" si="85"/>
        <v>79801</v>
      </c>
      <c r="D979" t="s">
        <v>17</v>
      </c>
      <c r="E979">
        <v>878.21</v>
      </c>
      <c r="F979">
        <v>20140630</v>
      </c>
      <c r="G979" t="s">
        <v>14</v>
      </c>
      <c r="I979" t="s">
        <v>15</v>
      </c>
    </row>
    <row r="980" spans="1:9" x14ac:dyDescent="0.25">
      <c r="A980">
        <v>20140627</v>
      </c>
      <c r="B980" t="str">
        <f>"011167"</f>
        <v>011167</v>
      </c>
      <c r="C980" t="str">
        <f t="shared" si="85"/>
        <v>79801</v>
      </c>
      <c r="D980" t="s">
        <v>17</v>
      </c>
      <c r="E980">
        <v>44.66</v>
      </c>
      <c r="F980">
        <v>20140630</v>
      </c>
      <c r="G980" t="s">
        <v>14</v>
      </c>
      <c r="I980" t="s">
        <v>15</v>
      </c>
    </row>
    <row r="981" spans="1:9" x14ac:dyDescent="0.25">
      <c r="A981">
        <v>20140702</v>
      </c>
      <c r="B981" t="str">
        <f>"011168"</f>
        <v>011168</v>
      </c>
      <c r="C981" t="str">
        <f t="shared" si="85"/>
        <v>79801</v>
      </c>
      <c r="D981" t="s">
        <v>17</v>
      </c>
      <c r="E981">
        <v>310.20999999999998</v>
      </c>
      <c r="F981">
        <v>20140709</v>
      </c>
      <c r="G981" t="s">
        <v>14</v>
      </c>
      <c r="I981" t="s">
        <v>15</v>
      </c>
    </row>
    <row r="982" spans="1:9" x14ac:dyDescent="0.25">
      <c r="A982">
        <v>20140702</v>
      </c>
      <c r="B982" t="str">
        <f>"011169"</f>
        <v>011169</v>
      </c>
      <c r="C982" t="str">
        <f t="shared" si="85"/>
        <v>79801</v>
      </c>
      <c r="D982" t="s">
        <v>17</v>
      </c>
      <c r="E982">
        <v>100</v>
      </c>
      <c r="F982">
        <v>20140709</v>
      </c>
      <c r="G982" t="s">
        <v>14</v>
      </c>
      <c r="I982" t="s">
        <v>15</v>
      </c>
    </row>
    <row r="983" spans="1:9" x14ac:dyDescent="0.25">
      <c r="A983">
        <v>20140702</v>
      </c>
      <c r="B983" t="str">
        <f>"011170"</f>
        <v>011170</v>
      </c>
      <c r="C983" t="str">
        <f t="shared" si="85"/>
        <v>79801</v>
      </c>
      <c r="D983" t="s">
        <v>17</v>
      </c>
      <c r="E983">
        <v>100</v>
      </c>
      <c r="F983">
        <v>20140709</v>
      </c>
      <c r="G983" t="s">
        <v>14</v>
      </c>
      <c r="I983" t="s">
        <v>15</v>
      </c>
    </row>
    <row r="984" spans="1:9" x14ac:dyDescent="0.25">
      <c r="A984">
        <v>20140702</v>
      </c>
      <c r="B984" t="str">
        <f>"011171"</f>
        <v>011171</v>
      </c>
      <c r="C984" t="str">
        <f t="shared" si="85"/>
        <v>79801</v>
      </c>
      <c r="D984" t="s">
        <v>17</v>
      </c>
      <c r="E984">
        <v>514.95000000000005</v>
      </c>
      <c r="F984">
        <v>20140709</v>
      </c>
      <c r="G984" t="s">
        <v>14</v>
      </c>
      <c r="I984" t="s">
        <v>15</v>
      </c>
    </row>
    <row r="985" spans="1:9" x14ac:dyDescent="0.25">
      <c r="A985">
        <v>20140702</v>
      </c>
      <c r="B985" t="str">
        <f>"011172"</f>
        <v>011172</v>
      </c>
      <c r="C985" t="str">
        <f t="shared" si="85"/>
        <v>79801</v>
      </c>
      <c r="D985" t="s">
        <v>17</v>
      </c>
      <c r="E985">
        <v>468.6</v>
      </c>
      <c r="F985">
        <v>20140709</v>
      </c>
      <c r="G985" t="s">
        <v>14</v>
      </c>
      <c r="I985" t="s">
        <v>15</v>
      </c>
    </row>
    <row r="986" spans="1:9" x14ac:dyDescent="0.25">
      <c r="A986">
        <v>20140702</v>
      </c>
      <c r="B986" t="str">
        <f>"011173"</f>
        <v>011173</v>
      </c>
      <c r="C986" t="str">
        <f t="shared" si="85"/>
        <v>79801</v>
      </c>
      <c r="D986" t="s">
        <v>17</v>
      </c>
      <c r="E986">
        <v>454.83</v>
      </c>
      <c r="F986">
        <v>20140709</v>
      </c>
      <c r="G986" t="s">
        <v>14</v>
      </c>
      <c r="I986" t="s">
        <v>15</v>
      </c>
    </row>
    <row r="987" spans="1:9" x14ac:dyDescent="0.25">
      <c r="A987">
        <v>20140702</v>
      </c>
      <c r="B987" t="str">
        <f>"011174"</f>
        <v>011174</v>
      </c>
      <c r="C987" t="str">
        <f t="shared" si="85"/>
        <v>79801</v>
      </c>
      <c r="D987" t="s">
        <v>17</v>
      </c>
      <c r="E987">
        <v>733.36</v>
      </c>
      <c r="F987">
        <v>20140709</v>
      </c>
      <c r="G987" t="s">
        <v>14</v>
      </c>
      <c r="I987" t="s">
        <v>15</v>
      </c>
    </row>
    <row r="988" spans="1:9" x14ac:dyDescent="0.25">
      <c r="A988">
        <v>20140702</v>
      </c>
      <c r="B988" t="str">
        <f>"011175"</f>
        <v>011175</v>
      </c>
      <c r="C988" t="str">
        <f t="shared" si="85"/>
        <v>79801</v>
      </c>
      <c r="D988" t="s">
        <v>17</v>
      </c>
      <c r="E988">
        <v>622.49</v>
      </c>
      <c r="F988">
        <v>20140709</v>
      </c>
      <c r="G988" t="s">
        <v>14</v>
      </c>
      <c r="I988" t="s">
        <v>15</v>
      </c>
    </row>
    <row r="989" spans="1:9" x14ac:dyDescent="0.25">
      <c r="A989">
        <v>20140702</v>
      </c>
      <c r="B989" t="str">
        <f>"011176"</f>
        <v>011176</v>
      </c>
      <c r="C989" t="str">
        <f t="shared" si="85"/>
        <v>79801</v>
      </c>
      <c r="D989" t="s">
        <v>17</v>
      </c>
      <c r="E989">
        <v>363.28</v>
      </c>
      <c r="F989">
        <v>20140709</v>
      </c>
      <c r="G989" t="s">
        <v>14</v>
      </c>
      <c r="I989" t="s">
        <v>15</v>
      </c>
    </row>
    <row r="990" spans="1:9" x14ac:dyDescent="0.25">
      <c r="A990">
        <v>20140703</v>
      </c>
      <c r="B990" t="str">
        <f>"011177"</f>
        <v>011177</v>
      </c>
      <c r="C990" t="str">
        <f t="shared" si="85"/>
        <v>79801</v>
      </c>
      <c r="D990" t="s">
        <v>17</v>
      </c>
      <c r="E990" s="1">
        <v>2919.6</v>
      </c>
      <c r="F990">
        <v>20140709</v>
      </c>
      <c r="G990" t="s">
        <v>14</v>
      </c>
      <c r="I990" t="s">
        <v>15</v>
      </c>
    </row>
    <row r="991" spans="1:9" x14ac:dyDescent="0.25">
      <c r="A991">
        <v>20140703</v>
      </c>
      <c r="B991" t="str">
        <f>"011178"</f>
        <v>011178</v>
      </c>
      <c r="C991" t="str">
        <f t="shared" ref="C991:C1022" si="86">"79801"</f>
        <v>79801</v>
      </c>
      <c r="D991" t="s">
        <v>17</v>
      </c>
      <c r="E991">
        <v>573.61</v>
      </c>
      <c r="F991">
        <v>20140709</v>
      </c>
      <c r="G991" t="s">
        <v>14</v>
      </c>
      <c r="I991" t="s">
        <v>15</v>
      </c>
    </row>
    <row r="992" spans="1:9" x14ac:dyDescent="0.25">
      <c r="A992">
        <v>20140703</v>
      </c>
      <c r="B992" t="str">
        <f>"011179"</f>
        <v>011179</v>
      </c>
      <c r="C992" t="str">
        <f t="shared" si="86"/>
        <v>79801</v>
      </c>
      <c r="D992" t="s">
        <v>17</v>
      </c>
      <c r="E992">
        <v>86.62</v>
      </c>
      <c r="F992">
        <v>20140709</v>
      </c>
      <c r="G992" t="s">
        <v>14</v>
      </c>
      <c r="I992" t="s">
        <v>15</v>
      </c>
    </row>
    <row r="993" spans="1:9" x14ac:dyDescent="0.25">
      <c r="A993">
        <v>20140708</v>
      </c>
      <c r="B993" t="str">
        <f>"011180"</f>
        <v>011180</v>
      </c>
      <c r="C993" t="str">
        <f t="shared" si="86"/>
        <v>79801</v>
      </c>
      <c r="D993" t="s">
        <v>17</v>
      </c>
      <c r="E993">
        <v>194.64</v>
      </c>
      <c r="F993">
        <v>20140709</v>
      </c>
      <c r="G993" t="s">
        <v>14</v>
      </c>
      <c r="I993" t="s">
        <v>15</v>
      </c>
    </row>
    <row r="994" spans="1:9" x14ac:dyDescent="0.25">
      <c r="A994">
        <v>20140708</v>
      </c>
      <c r="B994" t="str">
        <f>"011181"</f>
        <v>011181</v>
      </c>
      <c r="C994" t="str">
        <f t="shared" si="86"/>
        <v>79801</v>
      </c>
      <c r="D994" t="s">
        <v>17</v>
      </c>
      <c r="E994">
        <v>100</v>
      </c>
      <c r="F994">
        <v>20140709</v>
      </c>
      <c r="G994" t="s">
        <v>14</v>
      </c>
      <c r="I994" t="s">
        <v>15</v>
      </c>
    </row>
    <row r="995" spans="1:9" x14ac:dyDescent="0.25">
      <c r="A995">
        <v>20140708</v>
      </c>
      <c r="B995" t="str">
        <f>"011182"</f>
        <v>011182</v>
      </c>
      <c r="C995" t="str">
        <f t="shared" si="86"/>
        <v>79801</v>
      </c>
      <c r="D995" t="s">
        <v>17</v>
      </c>
      <c r="E995">
        <v>155</v>
      </c>
      <c r="F995">
        <v>20140709</v>
      </c>
      <c r="G995" t="s">
        <v>14</v>
      </c>
      <c r="I995" t="s">
        <v>15</v>
      </c>
    </row>
    <row r="996" spans="1:9" x14ac:dyDescent="0.25">
      <c r="A996">
        <v>20140711</v>
      </c>
      <c r="B996" t="str">
        <f>"011183"</f>
        <v>011183</v>
      </c>
      <c r="C996" t="str">
        <f t="shared" si="86"/>
        <v>79801</v>
      </c>
      <c r="D996" t="s">
        <v>17</v>
      </c>
      <c r="E996">
        <v>316.68</v>
      </c>
      <c r="F996">
        <v>20140709</v>
      </c>
      <c r="G996" t="s">
        <v>14</v>
      </c>
      <c r="I996" t="s">
        <v>15</v>
      </c>
    </row>
    <row r="997" spans="1:9" x14ac:dyDescent="0.25">
      <c r="A997">
        <v>20140711</v>
      </c>
      <c r="B997" t="str">
        <f>"011184"</f>
        <v>011184</v>
      </c>
      <c r="C997" t="str">
        <f t="shared" si="86"/>
        <v>79801</v>
      </c>
      <c r="D997" t="s">
        <v>17</v>
      </c>
      <c r="E997">
        <v>544.16999999999996</v>
      </c>
      <c r="F997">
        <v>20140709</v>
      </c>
      <c r="G997" t="s">
        <v>14</v>
      </c>
      <c r="I997" t="s">
        <v>15</v>
      </c>
    </row>
    <row r="998" spans="1:9" x14ac:dyDescent="0.25">
      <c r="A998">
        <v>20140711</v>
      </c>
      <c r="B998" t="str">
        <f>"011185"</f>
        <v>011185</v>
      </c>
      <c r="C998" t="str">
        <f t="shared" si="86"/>
        <v>79801</v>
      </c>
      <c r="D998" t="s">
        <v>17</v>
      </c>
      <c r="E998">
        <v>630.49</v>
      </c>
      <c r="F998">
        <v>20140709</v>
      </c>
      <c r="G998" t="s">
        <v>14</v>
      </c>
      <c r="I998" t="s">
        <v>15</v>
      </c>
    </row>
    <row r="999" spans="1:9" x14ac:dyDescent="0.25">
      <c r="A999">
        <v>20140716</v>
      </c>
      <c r="B999" t="str">
        <f>"011186"</f>
        <v>011186</v>
      </c>
      <c r="C999" t="str">
        <f t="shared" si="86"/>
        <v>79801</v>
      </c>
      <c r="D999" t="s">
        <v>17</v>
      </c>
      <c r="E999">
        <v>194.64</v>
      </c>
      <c r="F999">
        <v>20140715</v>
      </c>
      <c r="G999" t="s">
        <v>14</v>
      </c>
      <c r="I999" t="s">
        <v>15</v>
      </c>
    </row>
    <row r="1000" spans="1:9" x14ac:dyDescent="0.25">
      <c r="A1000">
        <v>20140716</v>
      </c>
      <c r="B1000" t="str">
        <f>"011187"</f>
        <v>011187</v>
      </c>
      <c r="C1000" t="str">
        <f t="shared" si="86"/>
        <v>79801</v>
      </c>
      <c r="D1000" t="s">
        <v>17</v>
      </c>
      <c r="E1000">
        <v>123.33</v>
      </c>
      <c r="F1000">
        <v>20140715</v>
      </c>
      <c r="G1000" t="s">
        <v>14</v>
      </c>
      <c r="I1000" t="s">
        <v>15</v>
      </c>
    </row>
    <row r="1001" spans="1:9" x14ac:dyDescent="0.25">
      <c r="A1001">
        <v>20140716</v>
      </c>
      <c r="B1001" t="str">
        <f>"011188"</f>
        <v>011188</v>
      </c>
      <c r="C1001" t="str">
        <f t="shared" si="86"/>
        <v>79801</v>
      </c>
      <c r="D1001" t="s">
        <v>17</v>
      </c>
      <c r="E1001">
        <v>247.1</v>
      </c>
      <c r="F1001">
        <v>20140715</v>
      </c>
      <c r="G1001" t="s">
        <v>14</v>
      </c>
      <c r="I1001" t="s">
        <v>15</v>
      </c>
    </row>
    <row r="1002" spans="1:9" x14ac:dyDescent="0.25">
      <c r="A1002">
        <v>20140716</v>
      </c>
      <c r="B1002" t="str">
        <f>"011189"</f>
        <v>011189</v>
      </c>
      <c r="C1002" t="str">
        <f t="shared" si="86"/>
        <v>79801</v>
      </c>
      <c r="D1002" t="s">
        <v>17</v>
      </c>
      <c r="E1002">
        <v>316.68</v>
      </c>
      <c r="F1002">
        <v>20140715</v>
      </c>
      <c r="G1002" t="s">
        <v>14</v>
      </c>
      <c r="I1002" t="s">
        <v>15</v>
      </c>
    </row>
    <row r="1003" spans="1:9" x14ac:dyDescent="0.25">
      <c r="A1003">
        <v>20140716</v>
      </c>
      <c r="B1003" t="str">
        <f>"011190"</f>
        <v>011190</v>
      </c>
      <c r="C1003" t="str">
        <f t="shared" si="86"/>
        <v>79801</v>
      </c>
      <c r="D1003" t="s">
        <v>17</v>
      </c>
      <c r="E1003">
        <v>85.27</v>
      </c>
      <c r="F1003">
        <v>20140715</v>
      </c>
      <c r="G1003" t="s">
        <v>14</v>
      </c>
      <c r="I1003" t="s">
        <v>15</v>
      </c>
    </row>
    <row r="1004" spans="1:9" x14ac:dyDescent="0.25">
      <c r="A1004">
        <v>20140718</v>
      </c>
      <c r="B1004" t="str">
        <f>"011191"</f>
        <v>011191</v>
      </c>
      <c r="C1004" t="str">
        <f t="shared" si="86"/>
        <v>79801</v>
      </c>
      <c r="D1004" t="s">
        <v>17</v>
      </c>
      <c r="E1004">
        <v>68.459999999999994</v>
      </c>
      <c r="F1004">
        <v>20140716</v>
      </c>
      <c r="G1004" t="s">
        <v>14</v>
      </c>
      <c r="I1004" t="s">
        <v>15</v>
      </c>
    </row>
    <row r="1005" spans="1:9" x14ac:dyDescent="0.25">
      <c r="A1005">
        <v>20140718</v>
      </c>
      <c r="B1005" t="str">
        <f>"011192"</f>
        <v>011192</v>
      </c>
      <c r="C1005" t="str">
        <f t="shared" si="86"/>
        <v>79801</v>
      </c>
      <c r="D1005" t="s">
        <v>17</v>
      </c>
      <c r="E1005">
        <v>650</v>
      </c>
      <c r="F1005">
        <v>20140716</v>
      </c>
      <c r="G1005" t="s">
        <v>14</v>
      </c>
      <c r="I1005" t="s">
        <v>15</v>
      </c>
    </row>
    <row r="1006" spans="1:9" x14ac:dyDescent="0.25">
      <c r="A1006">
        <v>20140718</v>
      </c>
      <c r="B1006" t="str">
        <f>"011193"</f>
        <v>011193</v>
      </c>
      <c r="C1006" t="str">
        <f t="shared" si="86"/>
        <v>79801</v>
      </c>
      <c r="D1006" t="s">
        <v>17</v>
      </c>
      <c r="E1006">
        <v>247.52</v>
      </c>
      <c r="F1006">
        <v>20140716</v>
      </c>
      <c r="G1006" t="s">
        <v>14</v>
      </c>
      <c r="I1006" t="s">
        <v>15</v>
      </c>
    </row>
    <row r="1007" spans="1:9" x14ac:dyDescent="0.25">
      <c r="A1007">
        <v>20140723</v>
      </c>
      <c r="B1007" t="str">
        <f>"011194"</f>
        <v>011194</v>
      </c>
      <c r="C1007" t="str">
        <f t="shared" si="86"/>
        <v>79801</v>
      </c>
      <c r="D1007" t="s">
        <v>17</v>
      </c>
      <c r="E1007">
        <v>194.64</v>
      </c>
      <c r="F1007">
        <v>20140730</v>
      </c>
      <c r="G1007" t="s">
        <v>14</v>
      </c>
      <c r="I1007" t="s">
        <v>15</v>
      </c>
    </row>
    <row r="1008" spans="1:9" x14ac:dyDescent="0.25">
      <c r="A1008">
        <v>20140723</v>
      </c>
      <c r="B1008" t="str">
        <f>"011195"</f>
        <v>011195</v>
      </c>
      <c r="C1008" t="str">
        <f t="shared" si="86"/>
        <v>79801</v>
      </c>
      <c r="D1008" t="s">
        <v>17</v>
      </c>
      <c r="E1008">
        <v>179.34</v>
      </c>
      <c r="F1008">
        <v>20140730</v>
      </c>
      <c r="G1008" t="s">
        <v>14</v>
      </c>
      <c r="I1008" t="s">
        <v>15</v>
      </c>
    </row>
    <row r="1009" spans="1:9" x14ac:dyDescent="0.25">
      <c r="A1009">
        <v>20140723</v>
      </c>
      <c r="B1009" t="str">
        <f>"011196"</f>
        <v>011196</v>
      </c>
      <c r="C1009" t="str">
        <f t="shared" si="86"/>
        <v>79801</v>
      </c>
      <c r="D1009" t="s">
        <v>17</v>
      </c>
      <c r="E1009">
        <v>354.03</v>
      </c>
      <c r="F1009">
        <v>20140730</v>
      </c>
      <c r="G1009" t="s">
        <v>14</v>
      </c>
      <c r="I1009" t="s">
        <v>15</v>
      </c>
    </row>
    <row r="1010" spans="1:9" x14ac:dyDescent="0.25">
      <c r="A1010">
        <v>20140725</v>
      </c>
      <c r="B1010" t="str">
        <f>"011197"</f>
        <v>011197</v>
      </c>
      <c r="C1010" t="str">
        <f t="shared" si="86"/>
        <v>79801</v>
      </c>
      <c r="D1010" t="s">
        <v>17</v>
      </c>
      <c r="E1010">
        <v>258.33999999999997</v>
      </c>
      <c r="F1010">
        <v>20140730</v>
      </c>
      <c r="G1010" t="s">
        <v>14</v>
      </c>
      <c r="I1010" t="s">
        <v>15</v>
      </c>
    </row>
    <row r="1011" spans="1:9" x14ac:dyDescent="0.25">
      <c r="A1011">
        <v>20140725</v>
      </c>
      <c r="B1011" t="str">
        <f>"011198"</f>
        <v>011198</v>
      </c>
      <c r="C1011" t="str">
        <f t="shared" si="86"/>
        <v>79801</v>
      </c>
      <c r="D1011" t="s">
        <v>17</v>
      </c>
      <c r="E1011">
        <v>258.33999999999997</v>
      </c>
      <c r="F1011">
        <v>20140730</v>
      </c>
      <c r="G1011" t="s">
        <v>14</v>
      </c>
      <c r="I1011" t="s">
        <v>15</v>
      </c>
    </row>
    <row r="1012" spans="1:9" x14ac:dyDescent="0.25">
      <c r="A1012">
        <v>20140725</v>
      </c>
      <c r="B1012" t="str">
        <f>"011199"</f>
        <v>011199</v>
      </c>
      <c r="C1012" t="str">
        <f t="shared" si="86"/>
        <v>79801</v>
      </c>
      <c r="D1012" t="s">
        <v>17</v>
      </c>
      <c r="E1012">
        <v>157.31</v>
      </c>
      <c r="F1012">
        <v>20140730</v>
      </c>
      <c r="G1012" t="s">
        <v>14</v>
      </c>
      <c r="I1012" t="s">
        <v>15</v>
      </c>
    </row>
    <row r="1013" spans="1:9" x14ac:dyDescent="0.25">
      <c r="A1013">
        <v>20140725</v>
      </c>
      <c r="B1013" t="str">
        <f>"011200"</f>
        <v>011200</v>
      </c>
      <c r="C1013" t="str">
        <f t="shared" si="86"/>
        <v>79801</v>
      </c>
      <c r="D1013" t="s">
        <v>17</v>
      </c>
      <c r="E1013">
        <v>113.61</v>
      </c>
      <c r="F1013">
        <v>20140730</v>
      </c>
      <c r="G1013" t="s">
        <v>14</v>
      </c>
      <c r="I1013" t="s">
        <v>15</v>
      </c>
    </row>
    <row r="1014" spans="1:9" x14ac:dyDescent="0.25">
      <c r="A1014">
        <v>20140730</v>
      </c>
      <c r="B1014" t="str">
        <f>"011201"</f>
        <v>011201</v>
      </c>
      <c r="C1014" t="str">
        <f t="shared" si="86"/>
        <v>79801</v>
      </c>
      <c r="D1014" t="s">
        <v>17</v>
      </c>
      <c r="E1014">
        <v>194.64</v>
      </c>
      <c r="F1014">
        <v>20140730</v>
      </c>
      <c r="G1014" t="s">
        <v>14</v>
      </c>
      <c r="I1014" t="s">
        <v>15</v>
      </c>
    </row>
    <row r="1015" spans="1:9" x14ac:dyDescent="0.25">
      <c r="A1015">
        <v>20140730</v>
      </c>
      <c r="B1015" t="str">
        <f>"011202"</f>
        <v>011202</v>
      </c>
      <c r="C1015" t="str">
        <f t="shared" si="86"/>
        <v>79801</v>
      </c>
      <c r="D1015" t="s">
        <v>17</v>
      </c>
      <c r="E1015">
        <v>100</v>
      </c>
      <c r="F1015">
        <v>20140730</v>
      </c>
      <c r="G1015" t="s">
        <v>14</v>
      </c>
      <c r="I1015" t="s">
        <v>15</v>
      </c>
    </row>
    <row r="1016" spans="1:9" x14ac:dyDescent="0.25">
      <c r="A1016">
        <v>20140730</v>
      </c>
      <c r="B1016" t="str">
        <f>"011203"</f>
        <v>011203</v>
      </c>
      <c r="C1016" t="str">
        <f t="shared" si="86"/>
        <v>79801</v>
      </c>
      <c r="D1016" t="s">
        <v>17</v>
      </c>
      <c r="E1016">
        <v>270.04000000000002</v>
      </c>
      <c r="F1016">
        <v>20140730</v>
      </c>
      <c r="G1016" t="s">
        <v>14</v>
      </c>
      <c r="I1016" t="s">
        <v>15</v>
      </c>
    </row>
    <row r="1017" spans="1:9" x14ac:dyDescent="0.25">
      <c r="A1017">
        <v>20140801</v>
      </c>
      <c r="B1017" t="str">
        <f>"011204"</f>
        <v>011204</v>
      </c>
      <c r="C1017" t="str">
        <f t="shared" si="86"/>
        <v>79801</v>
      </c>
      <c r="D1017" t="s">
        <v>17</v>
      </c>
      <c r="E1017">
        <v>491.6</v>
      </c>
      <c r="F1017">
        <v>20140806</v>
      </c>
      <c r="G1017" t="s">
        <v>14</v>
      </c>
      <c r="I1017" t="s">
        <v>15</v>
      </c>
    </row>
    <row r="1018" spans="1:9" x14ac:dyDescent="0.25">
      <c r="A1018">
        <v>20140801</v>
      </c>
      <c r="B1018" t="str">
        <f>"011205"</f>
        <v>011205</v>
      </c>
      <c r="C1018" t="str">
        <f t="shared" si="86"/>
        <v>79801</v>
      </c>
      <c r="D1018" t="s">
        <v>17</v>
      </c>
      <c r="E1018">
        <v>153.99</v>
      </c>
      <c r="F1018">
        <v>20140806</v>
      </c>
      <c r="G1018" t="s">
        <v>14</v>
      </c>
      <c r="I1018" t="s">
        <v>15</v>
      </c>
    </row>
    <row r="1019" spans="1:9" x14ac:dyDescent="0.25">
      <c r="A1019">
        <v>20140801</v>
      </c>
      <c r="B1019" t="str">
        <f>"011206"</f>
        <v>011206</v>
      </c>
      <c r="C1019" t="str">
        <f t="shared" si="86"/>
        <v>79801</v>
      </c>
      <c r="D1019" t="s">
        <v>17</v>
      </c>
      <c r="E1019">
        <v>358.29</v>
      </c>
      <c r="F1019">
        <v>20140806</v>
      </c>
      <c r="G1019" t="s">
        <v>14</v>
      </c>
      <c r="I1019" t="s">
        <v>15</v>
      </c>
    </row>
    <row r="1020" spans="1:9" x14ac:dyDescent="0.25">
      <c r="A1020">
        <v>20140806</v>
      </c>
      <c r="B1020" t="str">
        <f>"011207"</f>
        <v>011207</v>
      </c>
      <c r="C1020" t="str">
        <f t="shared" si="86"/>
        <v>79801</v>
      </c>
      <c r="D1020" t="s">
        <v>17</v>
      </c>
      <c r="E1020">
        <v>194.64</v>
      </c>
      <c r="F1020">
        <v>20140806</v>
      </c>
      <c r="G1020" t="s">
        <v>14</v>
      </c>
      <c r="I1020" t="s">
        <v>15</v>
      </c>
    </row>
    <row r="1021" spans="1:9" x14ac:dyDescent="0.25">
      <c r="A1021">
        <v>20140806</v>
      </c>
      <c r="B1021" t="str">
        <f>"011208"</f>
        <v>011208</v>
      </c>
      <c r="C1021" t="str">
        <f t="shared" si="86"/>
        <v>79801</v>
      </c>
      <c r="D1021" t="s">
        <v>17</v>
      </c>
      <c r="E1021">
        <v>330.32</v>
      </c>
      <c r="F1021">
        <v>20140806</v>
      </c>
      <c r="G1021" t="s">
        <v>14</v>
      </c>
      <c r="I1021" t="s">
        <v>15</v>
      </c>
    </row>
    <row r="1022" spans="1:9" x14ac:dyDescent="0.25">
      <c r="A1022">
        <v>20140806</v>
      </c>
      <c r="B1022" t="str">
        <f>"011209"</f>
        <v>011209</v>
      </c>
      <c r="C1022" t="str">
        <f t="shared" si="86"/>
        <v>79801</v>
      </c>
      <c r="D1022" t="s">
        <v>17</v>
      </c>
      <c r="E1022">
        <v>158.34</v>
      </c>
      <c r="F1022">
        <v>20140806</v>
      </c>
      <c r="G1022" t="s">
        <v>14</v>
      </c>
      <c r="I1022" t="s">
        <v>15</v>
      </c>
    </row>
    <row r="1023" spans="1:9" x14ac:dyDescent="0.25">
      <c r="A1023">
        <v>20140806</v>
      </c>
      <c r="B1023" t="str">
        <f>"011210"</f>
        <v>011210</v>
      </c>
      <c r="C1023" t="str">
        <f t="shared" ref="C1023:C1051" si="87">"79801"</f>
        <v>79801</v>
      </c>
      <c r="D1023" t="s">
        <v>17</v>
      </c>
      <c r="E1023">
        <v>258.33999999999997</v>
      </c>
      <c r="F1023">
        <v>20140806</v>
      </c>
      <c r="G1023" t="s">
        <v>14</v>
      </c>
      <c r="I1023" t="s">
        <v>15</v>
      </c>
    </row>
    <row r="1024" spans="1:9" x14ac:dyDescent="0.25">
      <c r="A1024">
        <v>20140806</v>
      </c>
      <c r="B1024" t="str">
        <f>"011211"</f>
        <v>011211</v>
      </c>
      <c r="C1024" t="str">
        <f t="shared" si="87"/>
        <v>79801</v>
      </c>
      <c r="D1024" t="s">
        <v>17</v>
      </c>
      <c r="E1024">
        <v>514.95000000000005</v>
      </c>
      <c r="F1024">
        <v>20140806</v>
      </c>
      <c r="G1024" t="s">
        <v>14</v>
      </c>
      <c r="I1024" t="s">
        <v>15</v>
      </c>
    </row>
    <row r="1025" spans="1:9" x14ac:dyDescent="0.25">
      <c r="A1025">
        <v>20140808</v>
      </c>
      <c r="B1025" t="str">
        <f>"011212"</f>
        <v>011212</v>
      </c>
      <c r="C1025" t="str">
        <f t="shared" si="87"/>
        <v>79801</v>
      </c>
      <c r="D1025" t="s">
        <v>17</v>
      </c>
      <c r="E1025">
        <v>305.39999999999998</v>
      </c>
      <c r="F1025">
        <v>20140806</v>
      </c>
      <c r="G1025" t="s">
        <v>14</v>
      </c>
      <c r="I1025" t="s">
        <v>15</v>
      </c>
    </row>
    <row r="1026" spans="1:9" x14ac:dyDescent="0.25">
      <c r="A1026">
        <v>20140808</v>
      </c>
      <c r="B1026" t="str">
        <f>"011213"</f>
        <v>011213</v>
      </c>
      <c r="C1026" t="str">
        <f t="shared" si="87"/>
        <v>79801</v>
      </c>
      <c r="D1026" t="s">
        <v>17</v>
      </c>
      <c r="E1026">
        <v>100</v>
      </c>
      <c r="F1026">
        <v>20140806</v>
      </c>
      <c r="G1026" t="s">
        <v>14</v>
      </c>
      <c r="I1026" t="s">
        <v>15</v>
      </c>
    </row>
    <row r="1027" spans="1:9" x14ac:dyDescent="0.25">
      <c r="A1027">
        <v>20140808</v>
      </c>
      <c r="B1027" t="str">
        <f>"011214"</f>
        <v>011214</v>
      </c>
      <c r="C1027" t="str">
        <f t="shared" si="87"/>
        <v>79801</v>
      </c>
      <c r="D1027" t="s">
        <v>17</v>
      </c>
      <c r="E1027">
        <v>355.8</v>
      </c>
      <c r="F1027">
        <v>20140806</v>
      </c>
      <c r="G1027" t="s">
        <v>14</v>
      </c>
      <c r="I1027" t="s">
        <v>15</v>
      </c>
    </row>
    <row r="1028" spans="1:9" x14ac:dyDescent="0.25">
      <c r="A1028">
        <v>20140808</v>
      </c>
      <c r="B1028" t="str">
        <f>"011215"</f>
        <v>011215</v>
      </c>
      <c r="C1028" t="str">
        <f t="shared" si="87"/>
        <v>79801</v>
      </c>
      <c r="D1028" t="s">
        <v>17</v>
      </c>
      <c r="E1028">
        <v>44.66</v>
      </c>
      <c r="F1028">
        <v>20140806</v>
      </c>
      <c r="G1028" t="s">
        <v>14</v>
      </c>
      <c r="I1028" t="s">
        <v>15</v>
      </c>
    </row>
    <row r="1029" spans="1:9" x14ac:dyDescent="0.25">
      <c r="A1029">
        <v>20140808</v>
      </c>
      <c r="B1029" t="str">
        <f>"011216"</f>
        <v>011216</v>
      </c>
      <c r="C1029" t="str">
        <f t="shared" si="87"/>
        <v>79801</v>
      </c>
      <c r="D1029" t="s">
        <v>17</v>
      </c>
      <c r="E1029">
        <v>314.44</v>
      </c>
      <c r="F1029">
        <v>20140806</v>
      </c>
      <c r="G1029" t="s">
        <v>14</v>
      </c>
      <c r="I1029" t="s">
        <v>15</v>
      </c>
    </row>
    <row r="1030" spans="1:9" x14ac:dyDescent="0.25">
      <c r="A1030">
        <v>20140813</v>
      </c>
      <c r="B1030" t="str">
        <f>"011217"</f>
        <v>011217</v>
      </c>
      <c r="C1030" t="str">
        <f t="shared" si="87"/>
        <v>79801</v>
      </c>
      <c r="D1030" t="s">
        <v>17</v>
      </c>
      <c r="E1030">
        <v>194.64</v>
      </c>
      <c r="F1030">
        <v>20140811</v>
      </c>
      <c r="G1030" t="s">
        <v>14</v>
      </c>
      <c r="I1030" t="s">
        <v>15</v>
      </c>
    </row>
    <row r="1031" spans="1:9" x14ac:dyDescent="0.25">
      <c r="A1031">
        <v>20140813</v>
      </c>
      <c r="B1031" t="str">
        <f>"011218"</f>
        <v>011218</v>
      </c>
      <c r="C1031" t="str">
        <f t="shared" si="87"/>
        <v>79801</v>
      </c>
      <c r="D1031" t="s">
        <v>17</v>
      </c>
      <c r="E1031">
        <v>219.51</v>
      </c>
      <c r="F1031">
        <v>20140811</v>
      </c>
      <c r="G1031" t="s">
        <v>14</v>
      </c>
      <c r="I1031" t="s">
        <v>15</v>
      </c>
    </row>
    <row r="1032" spans="1:9" x14ac:dyDescent="0.25">
      <c r="A1032">
        <v>20140813</v>
      </c>
      <c r="B1032" t="str">
        <f>"011219"</f>
        <v>011219</v>
      </c>
      <c r="C1032" t="str">
        <f t="shared" si="87"/>
        <v>79801</v>
      </c>
      <c r="D1032" t="s">
        <v>17</v>
      </c>
      <c r="E1032">
        <v>100</v>
      </c>
      <c r="F1032">
        <v>20140811</v>
      </c>
      <c r="G1032" t="s">
        <v>14</v>
      </c>
      <c r="I1032" t="s">
        <v>15</v>
      </c>
    </row>
    <row r="1033" spans="1:9" x14ac:dyDescent="0.25">
      <c r="A1033">
        <v>20140813</v>
      </c>
      <c r="B1033" t="str">
        <f>"011220"</f>
        <v>011220</v>
      </c>
      <c r="C1033" t="str">
        <f t="shared" si="87"/>
        <v>79801</v>
      </c>
      <c r="D1033" t="s">
        <v>17</v>
      </c>
      <c r="E1033">
        <v>575.02</v>
      </c>
      <c r="F1033">
        <v>20140811</v>
      </c>
      <c r="G1033" t="s">
        <v>14</v>
      </c>
      <c r="I1033" t="s">
        <v>15</v>
      </c>
    </row>
    <row r="1034" spans="1:9" x14ac:dyDescent="0.25">
      <c r="A1034">
        <v>20140813</v>
      </c>
      <c r="B1034" t="str">
        <f>"011221"</f>
        <v>011221</v>
      </c>
      <c r="C1034" t="str">
        <f t="shared" si="87"/>
        <v>79801</v>
      </c>
      <c r="D1034" t="s">
        <v>17</v>
      </c>
      <c r="E1034">
        <v>40</v>
      </c>
      <c r="F1034">
        <v>20140811</v>
      </c>
      <c r="G1034" t="s">
        <v>14</v>
      </c>
      <c r="I1034" t="s">
        <v>15</v>
      </c>
    </row>
    <row r="1035" spans="1:9" x14ac:dyDescent="0.25">
      <c r="A1035">
        <v>20140813</v>
      </c>
      <c r="B1035" t="str">
        <f>"011222"</f>
        <v>011222</v>
      </c>
      <c r="C1035" t="str">
        <f t="shared" si="87"/>
        <v>79801</v>
      </c>
      <c r="D1035" t="s">
        <v>17</v>
      </c>
      <c r="E1035">
        <v>330.32</v>
      </c>
      <c r="F1035">
        <v>20140811</v>
      </c>
      <c r="G1035" t="s">
        <v>14</v>
      </c>
      <c r="I1035" t="s">
        <v>15</v>
      </c>
    </row>
    <row r="1036" spans="1:9" x14ac:dyDescent="0.25">
      <c r="A1036">
        <v>20140813</v>
      </c>
      <c r="B1036" t="str">
        <f>"011223"</f>
        <v>011223</v>
      </c>
      <c r="C1036" t="str">
        <f t="shared" si="87"/>
        <v>79801</v>
      </c>
      <c r="D1036" t="s">
        <v>17</v>
      </c>
      <c r="E1036">
        <v>108.33</v>
      </c>
      <c r="F1036">
        <v>20140811</v>
      </c>
      <c r="G1036" t="s">
        <v>14</v>
      </c>
      <c r="I1036" t="s">
        <v>15</v>
      </c>
    </row>
    <row r="1037" spans="1:9" x14ac:dyDescent="0.25">
      <c r="A1037">
        <v>20140813</v>
      </c>
      <c r="B1037" t="str">
        <f>"011224"</f>
        <v>011224</v>
      </c>
      <c r="C1037" t="str">
        <f t="shared" si="87"/>
        <v>79801</v>
      </c>
      <c r="D1037" t="s">
        <v>17</v>
      </c>
      <c r="E1037">
        <v>64.319999999999993</v>
      </c>
      <c r="F1037">
        <v>20140811</v>
      </c>
      <c r="G1037" t="s">
        <v>14</v>
      </c>
      <c r="I1037" t="s">
        <v>15</v>
      </c>
    </row>
    <row r="1038" spans="1:9" x14ac:dyDescent="0.25">
      <c r="A1038">
        <v>20140813</v>
      </c>
      <c r="B1038" t="str">
        <f>"011225"</f>
        <v>011225</v>
      </c>
      <c r="C1038" t="str">
        <f t="shared" si="87"/>
        <v>79801</v>
      </c>
      <c r="D1038" t="s">
        <v>17</v>
      </c>
      <c r="E1038">
        <v>350</v>
      </c>
      <c r="F1038">
        <v>20140811</v>
      </c>
      <c r="G1038" t="s">
        <v>14</v>
      </c>
      <c r="I1038" t="s">
        <v>15</v>
      </c>
    </row>
    <row r="1039" spans="1:9" x14ac:dyDescent="0.25">
      <c r="A1039">
        <v>20140815</v>
      </c>
      <c r="B1039" t="str">
        <f>"011226"</f>
        <v>011226</v>
      </c>
      <c r="C1039" t="str">
        <f t="shared" si="87"/>
        <v>79801</v>
      </c>
      <c r="D1039" t="s">
        <v>17</v>
      </c>
      <c r="E1039" s="1">
        <v>1009.43</v>
      </c>
      <c r="F1039">
        <v>20140815</v>
      </c>
      <c r="G1039" t="s">
        <v>14</v>
      </c>
      <c r="I1039" t="s">
        <v>15</v>
      </c>
    </row>
    <row r="1040" spans="1:9" x14ac:dyDescent="0.25">
      <c r="A1040">
        <v>20140815</v>
      </c>
      <c r="B1040" t="str">
        <f>"011227"</f>
        <v>011227</v>
      </c>
      <c r="C1040" t="str">
        <f t="shared" si="87"/>
        <v>79801</v>
      </c>
      <c r="D1040" t="s">
        <v>17</v>
      </c>
      <c r="E1040">
        <v>163.41</v>
      </c>
      <c r="F1040">
        <v>20140815</v>
      </c>
      <c r="G1040" t="s">
        <v>14</v>
      </c>
      <c r="I1040" t="s">
        <v>15</v>
      </c>
    </row>
    <row r="1041" spans="1:9" x14ac:dyDescent="0.25">
      <c r="A1041">
        <v>20140820</v>
      </c>
      <c r="B1041" t="str">
        <f>"011228"</f>
        <v>011228</v>
      </c>
      <c r="C1041" t="str">
        <f t="shared" si="87"/>
        <v>79801</v>
      </c>
      <c r="D1041" t="s">
        <v>17</v>
      </c>
      <c r="E1041">
        <v>15</v>
      </c>
      <c r="F1041">
        <v>20140815</v>
      </c>
      <c r="G1041" t="s">
        <v>14</v>
      </c>
      <c r="I1041" t="s">
        <v>15</v>
      </c>
    </row>
    <row r="1042" spans="1:9" x14ac:dyDescent="0.25">
      <c r="A1042">
        <v>20140820</v>
      </c>
      <c r="B1042" t="str">
        <f>"011229"</f>
        <v>011229</v>
      </c>
      <c r="C1042" t="str">
        <f t="shared" si="87"/>
        <v>79801</v>
      </c>
      <c r="D1042" t="s">
        <v>17</v>
      </c>
      <c r="E1042">
        <v>79.319999999999993</v>
      </c>
      <c r="F1042">
        <v>20140815</v>
      </c>
      <c r="G1042" t="s">
        <v>14</v>
      </c>
      <c r="I1042" t="s">
        <v>15</v>
      </c>
    </row>
    <row r="1043" spans="1:9" x14ac:dyDescent="0.25">
      <c r="A1043">
        <v>20140822</v>
      </c>
      <c r="B1043" t="str">
        <f>"011230"</f>
        <v>011230</v>
      </c>
      <c r="C1043" t="str">
        <f t="shared" si="87"/>
        <v>79801</v>
      </c>
      <c r="D1043" t="s">
        <v>17</v>
      </c>
      <c r="E1043">
        <v>17.22</v>
      </c>
      <c r="F1043">
        <v>20140821</v>
      </c>
      <c r="G1043" t="s">
        <v>14</v>
      </c>
      <c r="I1043" t="s">
        <v>15</v>
      </c>
    </row>
    <row r="1044" spans="1:9" x14ac:dyDescent="0.25">
      <c r="A1044">
        <v>20140822</v>
      </c>
      <c r="B1044" t="str">
        <f>"011231"</f>
        <v>011231</v>
      </c>
      <c r="C1044" t="str">
        <f t="shared" si="87"/>
        <v>79801</v>
      </c>
      <c r="D1044" t="s">
        <v>17</v>
      </c>
      <c r="E1044">
        <v>155.44</v>
      </c>
      <c r="F1044">
        <v>20140821</v>
      </c>
      <c r="G1044" t="s">
        <v>14</v>
      </c>
      <c r="I1044" t="s">
        <v>15</v>
      </c>
    </row>
    <row r="1045" spans="1:9" x14ac:dyDescent="0.25">
      <c r="A1045">
        <v>20140822</v>
      </c>
      <c r="B1045" t="str">
        <f>"011232"</f>
        <v>011232</v>
      </c>
      <c r="C1045" t="str">
        <f t="shared" si="87"/>
        <v>79801</v>
      </c>
      <c r="D1045" t="s">
        <v>17</v>
      </c>
      <c r="E1045">
        <v>373.36</v>
      </c>
      <c r="F1045">
        <v>20140821</v>
      </c>
      <c r="G1045" t="s">
        <v>14</v>
      </c>
      <c r="I1045" t="s">
        <v>15</v>
      </c>
    </row>
    <row r="1046" spans="1:9" x14ac:dyDescent="0.25">
      <c r="A1046">
        <v>20140822</v>
      </c>
      <c r="B1046" t="str">
        <f>"011233"</f>
        <v>011233</v>
      </c>
      <c r="C1046" t="str">
        <f t="shared" si="87"/>
        <v>79801</v>
      </c>
      <c r="D1046" t="s">
        <v>17</v>
      </c>
      <c r="E1046">
        <v>364.95</v>
      </c>
      <c r="F1046">
        <v>20140821</v>
      </c>
      <c r="G1046" t="s">
        <v>14</v>
      </c>
      <c r="I1046" t="s">
        <v>15</v>
      </c>
    </row>
    <row r="1047" spans="1:9" x14ac:dyDescent="0.25">
      <c r="A1047">
        <v>20140827</v>
      </c>
      <c r="B1047" t="str">
        <f>"011234"</f>
        <v>011234</v>
      </c>
      <c r="C1047" t="str">
        <f t="shared" si="87"/>
        <v>79801</v>
      </c>
      <c r="D1047" t="s">
        <v>17</v>
      </c>
      <c r="E1047">
        <v>280.61</v>
      </c>
      <c r="F1047">
        <v>20140822</v>
      </c>
      <c r="G1047" t="s">
        <v>14</v>
      </c>
      <c r="I1047" t="s">
        <v>15</v>
      </c>
    </row>
    <row r="1048" spans="1:9" x14ac:dyDescent="0.25">
      <c r="A1048">
        <v>20140827</v>
      </c>
      <c r="B1048" t="str">
        <f>"011235"</f>
        <v>011235</v>
      </c>
      <c r="C1048" t="str">
        <f t="shared" si="87"/>
        <v>79801</v>
      </c>
      <c r="D1048" t="s">
        <v>17</v>
      </c>
      <c r="E1048" s="1">
        <v>10655.47</v>
      </c>
      <c r="F1048">
        <v>20140822</v>
      </c>
      <c r="G1048" t="s">
        <v>14</v>
      </c>
      <c r="I1048" t="s">
        <v>15</v>
      </c>
    </row>
    <row r="1049" spans="1:9" x14ac:dyDescent="0.25">
      <c r="A1049">
        <v>20140827</v>
      </c>
      <c r="B1049" t="str">
        <f>"011236"</f>
        <v>011236</v>
      </c>
      <c r="C1049" t="str">
        <f t="shared" si="87"/>
        <v>79801</v>
      </c>
      <c r="D1049" t="s">
        <v>17</v>
      </c>
      <c r="E1049">
        <v>404.27</v>
      </c>
      <c r="F1049">
        <v>20140822</v>
      </c>
      <c r="G1049" t="s">
        <v>14</v>
      </c>
      <c r="I1049" t="s">
        <v>15</v>
      </c>
    </row>
    <row r="1050" spans="1:9" x14ac:dyDescent="0.25">
      <c r="A1050">
        <v>20140829</v>
      </c>
      <c r="B1050" t="str">
        <f>"011237"</f>
        <v>011237</v>
      </c>
      <c r="C1050" t="str">
        <f t="shared" si="87"/>
        <v>79801</v>
      </c>
      <c r="D1050" t="s">
        <v>17</v>
      </c>
      <c r="E1050">
        <v>368.07</v>
      </c>
      <c r="F1050">
        <v>20140826</v>
      </c>
      <c r="G1050" t="s">
        <v>14</v>
      </c>
      <c r="I1050" t="s">
        <v>15</v>
      </c>
    </row>
    <row r="1051" spans="1:9" x14ac:dyDescent="0.25">
      <c r="A1051">
        <v>20140829</v>
      </c>
      <c r="B1051" t="str">
        <f>"011238"</f>
        <v>011238</v>
      </c>
      <c r="C1051" t="str">
        <f t="shared" si="87"/>
        <v>79801</v>
      </c>
      <c r="D1051" t="s">
        <v>17</v>
      </c>
      <c r="E1051">
        <v>100</v>
      </c>
      <c r="F1051">
        <v>20140826</v>
      </c>
      <c r="G1051" t="s">
        <v>14</v>
      </c>
      <c r="I1051" t="s">
        <v>15</v>
      </c>
    </row>
    <row r="1052" spans="1:9" x14ac:dyDescent="0.25">
      <c r="A1052">
        <v>20140127</v>
      </c>
      <c r="B1052" t="str">
        <f t="shared" ref="B1052:B1068" si="88">"012014"</f>
        <v>012014</v>
      </c>
      <c r="C1052" t="str">
        <f t="shared" ref="C1052:C1083" si="89">"80959"</f>
        <v>80959</v>
      </c>
      <c r="D1052" t="s">
        <v>250</v>
      </c>
      <c r="E1052" s="1">
        <v>241206.29</v>
      </c>
      <c r="F1052">
        <v>20140127</v>
      </c>
      <c r="G1052" t="s">
        <v>251</v>
      </c>
      <c r="H1052" t="s">
        <v>334</v>
      </c>
      <c r="I1052" t="s">
        <v>29</v>
      </c>
    </row>
    <row r="1053" spans="1:9" x14ac:dyDescent="0.25">
      <c r="A1053">
        <v>20140127</v>
      </c>
      <c r="B1053" t="str">
        <f t="shared" si="88"/>
        <v>012014</v>
      </c>
      <c r="C1053" t="str">
        <f t="shared" si="89"/>
        <v>80959</v>
      </c>
      <c r="D1053" t="s">
        <v>250</v>
      </c>
      <c r="E1053" s="1">
        <v>37427.07</v>
      </c>
      <c r="F1053">
        <v>20140127</v>
      </c>
      <c r="G1053" t="s">
        <v>252</v>
      </c>
      <c r="H1053" t="s">
        <v>334</v>
      </c>
      <c r="I1053" t="s">
        <v>29</v>
      </c>
    </row>
    <row r="1054" spans="1:9" x14ac:dyDescent="0.25">
      <c r="A1054">
        <v>20140127</v>
      </c>
      <c r="B1054" t="str">
        <f t="shared" si="88"/>
        <v>012014</v>
      </c>
      <c r="C1054" t="str">
        <f t="shared" si="89"/>
        <v>80959</v>
      </c>
      <c r="D1054" t="s">
        <v>250</v>
      </c>
      <c r="E1054" s="1">
        <v>37427.1</v>
      </c>
      <c r="F1054">
        <v>20140127</v>
      </c>
      <c r="G1054" t="s">
        <v>253</v>
      </c>
      <c r="H1054" t="s">
        <v>334</v>
      </c>
      <c r="I1054" t="s">
        <v>29</v>
      </c>
    </row>
    <row r="1055" spans="1:9" x14ac:dyDescent="0.25">
      <c r="A1055">
        <v>20140127</v>
      </c>
      <c r="B1055" t="str">
        <f t="shared" si="88"/>
        <v>012014</v>
      </c>
      <c r="C1055" t="str">
        <f t="shared" si="89"/>
        <v>80959</v>
      </c>
      <c r="D1055" t="s">
        <v>250</v>
      </c>
      <c r="E1055" s="1">
        <v>149959</v>
      </c>
      <c r="F1055">
        <v>20140127</v>
      </c>
      <c r="G1055" t="s">
        <v>92</v>
      </c>
      <c r="H1055" t="s">
        <v>334</v>
      </c>
      <c r="I1055" t="s">
        <v>29</v>
      </c>
    </row>
    <row r="1056" spans="1:9" x14ac:dyDescent="0.25">
      <c r="A1056">
        <v>20140127</v>
      </c>
      <c r="B1056" t="str">
        <f t="shared" si="88"/>
        <v>012014</v>
      </c>
      <c r="C1056" t="str">
        <f t="shared" si="89"/>
        <v>80959</v>
      </c>
      <c r="D1056" t="s">
        <v>250</v>
      </c>
      <c r="E1056" s="1">
        <v>1245.24</v>
      </c>
      <c r="F1056">
        <v>20140127</v>
      </c>
      <c r="G1056" t="s">
        <v>254</v>
      </c>
      <c r="H1056" t="s">
        <v>334</v>
      </c>
      <c r="I1056" t="s">
        <v>29</v>
      </c>
    </row>
    <row r="1057" spans="1:9" x14ac:dyDescent="0.25">
      <c r="A1057">
        <v>20140127</v>
      </c>
      <c r="B1057" t="str">
        <f t="shared" si="88"/>
        <v>012014</v>
      </c>
      <c r="C1057" t="str">
        <f t="shared" si="89"/>
        <v>80959</v>
      </c>
      <c r="D1057" t="s">
        <v>250</v>
      </c>
      <c r="E1057" s="1">
        <v>1082.42</v>
      </c>
      <c r="F1057">
        <v>20140127</v>
      </c>
      <c r="G1057" t="s">
        <v>255</v>
      </c>
      <c r="H1057" t="s">
        <v>334</v>
      </c>
      <c r="I1057" t="s">
        <v>29</v>
      </c>
    </row>
    <row r="1058" spans="1:9" x14ac:dyDescent="0.25">
      <c r="A1058">
        <v>20140127</v>
      </c>
      <c r="B1058" t="str">
        <f t="shared" si="88"/>
        <v>012014</v>
      </c>
      <c r="C1058" t="str">
        <f t="shared" si="89"/>
        <v>80959</v>
      </c>
      <c r="D1058" t="s">
        <v>250</v>
      </c>
      <c r="E1058" s="1">
        <v>136945.5</v>
      </c>
      <c r="F1058">
        <v>20140127</v>
      </c>
      <c r="G1058" t="s">
        <v>256</v>
      </c>
      <c r="H1058" t="s">
        <v>334</v>
      </c>
      <c r="I1058" t="s">
        <v>29</v>
      </c>
    </row>
    <row r="1059" spans="1:9" x14ac:dyDescent="0.25">
      <c r="A1059">
        <v>20140127</v>
      </c>
      <c r="B1059" t="str">
        <f t="shared" si="88"/>
        <v>012014</v>
      </c>
      <c r="C1059" t="str">
        <f t="shared" si="89"/>
        <v>80959</v>
      </c>
      <c r="D1059" t="s">
        <v>250</v>
      </c>
      <c r="E1059" s="1">
        <v>10243</v>
      </c>
      <c r="F1059">
        <v>20140127</v>
      </c>
      <c r="G1059" t="s">
        <v>257</v>
      </c>
      <c r="H1059" t="s">
        <v>334</v>
      </c>
      <c r="I1059" t="s">
        <v>29</v>
      </c>
    </row>
    <row r="1060" spans="1:9" x14ac:dyDescent="0.25">
      <c r="A1060">
        <v>20140127</v>
      </c>
      <c r="B1060" t="str">
        <f t="shared" si="88"/>
        <v>012014</v>
      </c>
      <c r="C1060" t="str">
        <f t="shared" si="89"/>
        <v>80959</v>
      </c>
      <c r="D1060" t="s">
        <v>250</v>
      </c>
      <c r="E1060" s="1">
        <v>185687.07</v>
      </c>
      <c r="F1060">
        <v>20140127</v>
      </c>
      <c r="G1060" t="s">
        <v>258</v>
      </c>
      <c r="H1060" t="s">
        <v>334</v>
      </c>
      <c r="I1060" t="s">
        <v>29</v>
      </c>
    </row>
    <row r="1061" spans="1:9" x14ac:dyDescent="0.25">
      <c r="A1061">
        <v>20140127</v>
      </c>
      <c r="B1061" t="str">
        <f t="shared" si="88"/>
        <v>012014</v>
      </c>
      <c r="C1061" t="str">
        <f t="shared" si="89"/>
        <v>80959</v>
      </c>
      <c r="D1061" t="s">
        <v>250</v>
      </c>
      <c r="E1061" s="1">
        <v>17276.79</v>
      </c>
      <c r="F1061">
        <v>20140127</v>
      </c>
      <c r="G1061" t="s">
        <v>259</v>
      </c>
      <c r="H1061" t="s">
        <v>334</v>
      </c>
      <c r="I1061" t="s">
        <v>29</v>
      </c>
    </row>
    <row r="1062" spans="1:9" x14ac:dyDescent="0.25">
      <c r="A1062">
        <v>20140127</v>
      </c>
      <c r="B1062" t="str">
        <f t="shared" si="88"/>
        <v>012014</v>
      </c>
      <c r="C1062" t="str">
        <f t="shared" si="89"/>
        <v>80959</v>
      </c>
      <c r="D1062" t="s">
        <v>250</v>
      </c>
      <c r="E1062" s="1">
        <v>31154.91</v>
      </c>
      <c r="F1062">
        <v>20140127</v>
      </c>
      <c r="G1062" t="s">
        <v>260</v>
      </c>
      <c r="H1062" t="s">
        <v>334</v>
      </c>
      <c r="I1062" t="s">
        <v>29</v>
      </c>
    </row>
    <row r="1063" spans="1:9" x14ac:dyDescent="0.25">
      <c r="A1063">
        <v>20140127</v>
      </c>
      <c r="B1063" t="str">
        <f t="shared" si="88"/>
        <v>012014</v>
      </c>
      <c r="C1063" t="str">
        <f t="shared" si="89"/>
        <v>80959</v>
      </c>
      <c r="D1063" t="s">
        <v>250</v>
      </c>
      <c r="E1063" s="1">
        <v>2549.5100000000002</v>
      </c>
      <c r="F1063">
        <v>20140127</v>
      </c>
      <c r="G1063" t="s">
        <v>261</v>
      </c>
      <c r="H1063" t="s">
        <v>334</v>
      </c>
      <c r="I1063" t="s">
        <v>29</v>
      </c>
    </row>
    <row r="1064" spans="1:9" x14ac:dyDescent="0.25">
      <c r="A1064">
        <v>20140127</v>
      </c>
      <c r="B1064" t="str">
        <f t="shared" si="88"/>
        <v>012014</v>
      </c>
      <c r="C1064" t="str">
        <f t="shared" si="89"/>
        <v>80959</v>
      </c>
      <c r="D1064" t="s">
        <v>250</v>
      </c>
      <c r="E1064" s="1">
        <v>14486.28</v>
      </c>
      <c r="F1064">
        <v>20140127</v>
      </c>
      <c r="G1064" t="s">
        <v>262</v>
      </c>
      <c r="H1064" t="s">
        <v>334</v>
      </c>
      <c r="I1064" t="s">
        <v>29</v>
      </c>
    </row>
    <row r="1065" spans="1:9" x14ac:dyDescent="0.25">
      <c r="A1065">
        <v>20140127</v>
      </c>
      <c r="B1065" t="str">
        <f t="shared" si="88"/>
        <v>012014</v>
      </c>
      <c r="C1065" t="str">
        <f t="shared" si="89"/>
        <v>80959</v>
      </c>
      <c r="D1065" t="s">
        <v>250</v>
      </c>
      <c r="E1065" s="1">
        <v>1976.64</v>
      </c>
      <c r="F1065">
        <v>20140127</v>
      </c>
      <c r="G1065" t="s">
        <v>263</v>
      </c>
      <c r="H1065" t="s">
        <v>334</v>
      </c>
      <c r="I1065" t="s">
        <v>29</v>
      </c>
    </row>
    <row r="1066" spans="1:9" x14ac:dyDescent="0.25">
      <c r="A1066">
        <v>20140127</v>
      </c>
      <c r="B1066" t="str">
        <f t="shared" si="88"/>
        <v>012014</v>
      </c>
      <c r="C1066" t="str">
        <f t="shared" si="89"/>
        <v>80959</v>
      </c>
      <c r="D1066" t="s">
        <v>250</v>
      </c>
      <c r="E1066" s="1">
        <v>2522.65</v>
      </c>
      <c r="F1066">
        <v>20140127</v>
      </c>
      <c r="G1066" t="s">
        <v>264</v>
      </c>
      <c r="H1066" t="s">
        <v>334</v>
      </c>
      <c r="I1066" t="s">
        <v>29</v>
      </c>
    </row>
    <row r="1067" spans="1:9" x14ac:dyDescent="0.25">
      <c r="A1067">
        <v>20140127</v>
      </c>
      <c r="B1067" t="str">
        <f t="shared" si="88"/>
        <v>012014</v>
      </c>
      <c r="C1067" t="str">
        <f t="shared" si="89"/>
        <v>80959</v>
      </c>
      <c r="D1067" t="s">
        <v>250</v>
      </c>
      <c r="E1067" s="1">
        <v>1716</v>
      </c>
      <c r="F1067">
        <v>20140127</v>
      </c>
      <c r="G1067" t="s">
        <v>265</v>
      </c>
      <c r="H1067" t="s">
        <v>334</v>
      </c>
      <c r="I1067" t="s">
        <v>29</v>
      </c>
    </row>
    <row r="1068" spans="1:9" x14ac:dyDescent="0.25">
      <c r="A1068">
        <v>20140127</v>
      </c>
      <c r="B1068" t="str">
        <f t="shared" si="88"/>
        <v>012014</v>
      </c>
      <c r="C1068" t="str">
        <f t="shared" si="89"/>
        <v>80959</v>
      </c>
      <c r="D1068" t="s">
        <v>250</v>
      </c>
      <c r="E1068" s="1">
        <v>6611.46</v>
      </c>
      <c r="F1068">
        <v>20140127</v>
      </c>
      <c r="G1068" t="s">
        <v>266</v>
      </c>
      <c r="H1068" t="s">
        <v>334</v>
      </c>
      <c r="I1068" t="s">
        <v>29</v>
      </c>
    </row>
    <row r="1069" spans="1:9" x14ac:dyDescent="0.25">
      <c r="A1069">
        <v>20140305</v>
      </c>
      <c r="B1069" t="str">
        <f t="shared" ref="B1069:B1085" si="90">"032014"</f>
        <v>032014</v>
      </c>
      <c r="C1069" t="str">
        <f t="shared" si="89"/>
        <v>80959</v>
      </c>
      <c r="D1069" t="s">
        <v>250</v>
      </c>
      <c r="E1069" s="1">
        <v>245533.26</v>
      </c>
      <c r="F1069">
        <v>20140305</v>
      </c>
      <c r="G1069" t="s">
        <v>251</v>
      </c>
      <c r="H1069" t="s">
        <v>334</v>
      </c>
      <c r="I1069" t="s">
        <v>29</v>
      </c>
    </row>
    <row r="1070" spans="1:9" x14ac:dyDescent="0.25">
      <c r="A1070">
        <v>20140305</v>
      </c>
      <c r="B1070" t="str">
        <f t="shared" si="90"/>
        <v>032014</v>
      </c>
      <c r="C1070" t="str">
        <f t="shared" si="89"/>
        <v>80959</v>
      </c>
      <c r="D1070" t="s">
        <v>250</v>
      </c>
      <c r="E1070" s="1">
        <v>39556.39</v>
      </c>
      <c r="F1070">
        <v>20140305</v>
      </c>
      <c r="G1070" t="s">
        <v>252</v>
      </c>
      <c r="H1070" t="s">
        <v>334</v>
      </c>
      <c r="I1070" t="s">
        <v>29</v>
      </c>
    </row>
    <row r="1071" spans="1:9" x14ac:dyDescent="0.25">
      <c r="A1071">
        <v>20140305</v>
      </c>
      <c r="B1071" t="str">
        <f t="shared" si="90"/>
        <v>032014</v>
      </c>
      <c r="C1071" t="str">
        <f t="shared" si="89"/>
        <v>80959</v>
      </c>
      <c r="D1071" t="s">
        <v>250</v>
      </c>
      <c r="E1071" s="1">
        <v>39556.21</v>
      </c>
      <c r="F1071">
        <v>20140305</v>
      </c>
      <c r="G1071" t="s">
        <v>253</v>
      </c>
      <c r="H1071" t="s">
        <v>334</v>
      </c>
      <c r="I1071" t="s">
        <v>29</v>
      </c>
    </row>
    <row r="1072" spans="1:9" x14ac:dyDescent="0.25">
      <c r="A1072">
        <v>20140305</v>
      </c>
      <c r="B1072" t="str">
        <f t="shared" si="90"/>
        <v>032014</v>
      </c>
      <c r="C1072" t="str">
        <f t="shared" si="89"/>
        <v>80959</v>
      </c>
      <c r="D1072" t="s">
        <v>250</v>
      </c>
      <c r="E1072" s="1">
        <v>150524</v>
      </c>
      <c r="F1072">
        <v>20140305</v>
      </c>
      <c r="G1072" t="s">
        <v>92</v>
      </c>
      <c r="H1072" t="s">
        <v>334</v>
      </c>
      <c r="I1072" t="s">
        <v>29</v>
      </c>
    </row>
    <row r="1073" spans="1:9" x14ac:dyDescent="0.25">
      <c r="A1073">
        <v>20140305</v>
      </c>
      <c r="B1073" t="str">
        <f t="shared" si="90"/>
        <v>032014</v>
      </c>
      <c r="C1073" t="str">
        <f t="shared" si="89"/>
        <v>80959</v>
      </c>
      <c r="D1073" t="s">
        <v>250</v>
      </c>
      <c r="E1073" s="1">
        <v>1245.24</v>
      </c>
      <c r="F1073">
        <v>20140305</v>
      </c>
      <c r="G1073" t="s">
        <v>254</v>
      </c>
      <c r="H1073" t="s">
        <v>334</v>
      </c>
      <c r="I1073" t="s">
        <v>29</v>
      </c>
    </row>
    <row r="1074" spans="1:9" x14ac:dyDescent="0.25">
      <c r="A1074">
        <v>20140305</v>
      </c>
      <c r="B1074" t="str">
        <f t="shared" si="90"/>
        <v>032014</v>
      </c>
      <c r="C1074" t="str">
        <f t="shared" si="89"/>
        <v>80959</v>
      </c>
      <c r="D1074" t="s">
        <v>250</v>
      </c>
      <c r="E1074" s="1">
        <v>1082.42</v>
      </c>
      <c r="F1074">
        <v>20140305</v>
      </c>
      <c r="G1074" t="s">
        <v>255</v>
      </c>
      <c r="H1074" t="s">
        <v>334</v>
      </c>
      <c r="I1074" t="s">
        <v>29</v>
      </c>
    </row>
    <row r="1075" spans="1:9" x14ac:dyDescent="0.25">
      <c r="A1075">
        <v>20140305</v>
      </c>
      <c r="B1075" t="str">
        <f t="shared" si="90"/>
        <v>032014</v>
      </c>
      <c r="C1075" t="str">
        <f t="shared" si="89"/>
        <v>80959</v>
      </c>
      <c r="D1075" t="s">
        <v>250</v>
      </c>
      <c r="E1075" s="1">
        <v>133024.5</v>
      </c>
      <c r="F1075">
        <v>20140305</v>
      </c>
      <c r="G1075" t="s">
        <v>256</v>
      </c>
      <c r="H1075" t="s">
        <v>334</v>
      </c>
      <c r="I1075" t="s">
        <v>29</v>
      </c>
    </row>
    <row r="1076" spans="1:9" x14ac:dyDescent="0.25">
      <c r="A1076">
        <v>20140305</v>
      </c>
      <c r="B1076" t="str">
        <f t="shared" si="90"/>
        <v>032014</v>
      </c>
      <c r="C1076" t="str">
        <f t="shared" si="89"/>
        <v>80959</v>
      </c>
      <c r="D1076" t="s">
        <v>250</v>
      </c>
      <c r="E1076" s="1">
        <v>8651</v>
      </c>
      <c r="F1076">
        <v>20140305</v>
      </c>
      <c r="G1076" t="s">
        <v>257</v>
      </c>
      <c r="H1076" t="s">
        <v>334</v>
      </c>
      <c r="I1076" t="s">
        <v>29</v>
      </c>
    </row>
    <row r="1077" spans="1:9" x14ac:dyDescent="0.25">
      <c r="A1077">
        <v>20140305</v>
      </c>
      <c r="B1077" t="str">
        <f t="shared" si="90"/>
        <v>032014</v>
      </c>
      <c r="C1077" t="str">
        <f t="shared" si="89"/>
        <v>80959</v>
      </c>
      <c r="D1077" t="s">
        <v>250</v>
      </c>
      <c r="E1077" s="1">
        <v>186258.02</v>
      </c>
      <c r="F1077">
        <v>20140305</v>
      </c>
      <c r="G1077" t="s">
        <v>258</v>
      </c>
      <c r="H1077" t="s">
        <v>334</v>
      </c>
      <c r="I1077" t="s">
        <v>29</v>
      </c>
    </row>
    <row r="1078" spans="1:9" x14ac:dyDescent="0.25">
      <c r="A1078">
        <v>20140305</v>
      </c>
      <c r="B1078" t="str">
        <f t="shared" si="90"/>
        <v>032014</v>
      </c>
      <c r="C1078" t="str">
        <f t="shared" si="89"/>
        <v>80959</v>
      </c>
      <c r="D1078" t="s">
        <v>250</v>
      </c>
      <c r="E1078" s="1">
        <v>17692.8</v>
      </c>
      <c r="F1078">
        <v>20140305</v>
      </c>
      <c r="G1078" t="s">
        <v>259</v>
      </c>
      <c r="H1078" t="s">
        <v>334</v>
      </c>
      <c r="I1078" t="s">
        <v>29</v>
      </c>
    </row>
    <row r="1079" spans="1:9" x14ac:dyDescent="0.25">
      <c r="A1079">
        <v>20140305</v>
      </c>
      <c r="B1079" t="str">
        <f t="shared" si="90"/>
        <v>032014</v>
      </c>
      <c r="C1079" t="str">
        <f t="shared" si="89"/>
        <v>80959</v>
      </c>
      <c r="D1079" t="s">
        <v>250</v>
      </c>
      <c r="E1079" s="1">
        <v>30567.07</v>
      </c>
      <c r="F1079">
        <v>20140305</v>
      </c>
      <c r="G1079" t="s">
        <v>260</v>
      </c>
      <c r="H1079" t="s">
        <v>334</v>
      </c>
      <c r="I1079" t="s">
        <v>29</v>
      </c>
    </row>
    <row r="1080" spans="1:9" x14ac:dyDescent="0.25">
      <c r="A1080">
        <v>20140305</v>
      </c>
      <c r="B1080" t="str">
        <f t="shared" si="90"/>
        <v>032014</v>
      </c>
      <c r="C1080" t="str">
        <f t="shared" si="89"/>
        <v>80959</v>
      </c>
      <c r="D1080" t="s">
        <v>250</v>
      </c>
      <c r="E1080" s="1">
        <v>2643.25</v>
      </c>
      <c r="F1080">
        <v>20140305</v>
      </c>
      <c r="G1080" t="s">
        <v>261</v>
      </c>
      <c r="H1080" t="s">
        <v>334</v>
      </c>
      <c r="I1080" t="s">
        <v>29</v>
      </c>
    </row>
    <row r="1081" spans="1:9" x14ac:dyDescent="0.25">
      <c r="A1081">
        <v>20140305</v>
      </c>
      <c r="B1081" t="str">
        <f t="shared" si="90"/>
        <v>032014</v>
      </c>
      <c r="C1081" t="str">
        <f t="shared" si="89"/>
        <v>80959</v>
      </c>
      <c r="D1081" t="s">
        <v>250</v>
      </c>
      <c r="E1081" s="1">
        <v>14530.73</v>
      </c>
      <c r="F1081">
        <v>20140305</v>
      </c>
      <c r="G1081" t="s">
        <v>262</v>
      </c>
      <c r="H1081" t="s">
        <v>334</v>
      </c>
      <c r="I1081" t="s">
        <v>29</v>
      </c>
    </row>
    <row r="1082" spans="1:9" x14ac:dyDescent="0.25">
      <c r="A1082">
        <v>20140305</v>
      </c>
      <c r="B1082" t="str">
        <f t="shared" si="90"/>
        <v>032014</v>
      </c>
      <c r="C1082" t="str">
        <f t="shared" si="89"/>
        <v>80959</v>
      </c>
      <c r="D1082" t="s">
        <v>250</v>
      </c>
      <c r="E1082" s="1">
        <v>2865.66</v>
      </c>
      <c r="F1082">
        <v>20140305</v>
      </c>
      <c r="G1082" t="s">
        <v>263</v>
      </c>
      <c r="H1082" t="s">
        <v>334</v>
      </c>
      <c r="I1082" t="s">
        <v>29</v>
      </c>
    </row>
    <row r="1083" spans="1:9" x14ac:dyDescent="0.25">
      <c r="A1083">
        <v>20140305</v>
      </c>
      <c r="B1083" t="str">
        <f t="shared" si="90"/>
        <v>032014</v>
      </c>
      <c r="C1083" t="str">
        <f t="shared" si="89"/>
        <v>80959</v>
      </c>
      <c r="D1083" t="s">
        <v>250</v>
      </c>
      <c r="E1083" s="1">
        <v>2912.38</v>
      </c>
      <c r="F1083">
        <v>20140305</v>
      </c>
      <c r="G1083" t="s">
        <v>264</v>
      </c>
      <c r="H1083" t="s">
        <v>334</v>
      </c>
      <c r="I1083" t="s">
        <v>29</v>
      </c>
    </row>
    <row r="1084" spans="1:9" x14ac:dyDescent="0.25">
      <c r="A1084">
        <v>20140305</v>
      </c>
      <c r="B1084" t="str">
        <f t="shared" si="90"/>
        <v>032014</v>
      </c>
      <c r="C1084" t="str">
        <f t="shared" ref="C1084:C1115" si="91">"80959"</f>
        <v>80959</v>
      </c>
      <c r="D1084" t="s">
        <v>250</v>
      </c>
      <c r="E1084" s="1">
        <v>1716</v>
      </c>
      <c r="F1084">
        <v>20140305</v>
      </c>
      <c r="G1084" t="s">
        <v>265</v>
      </c>
      <c r="H1084" t="s">
        <v>334</v>
      </c>
      <c r="I1084" t="s">
        <v>29</v>
      </c>
    </row>
    <row r="1085" spans="1:9" x14ac:dyDescent="0.25">
      <c r="A1085">
        <v>20140305</v>
      </c>
      <c r="B1085" t="str">
        <f t="shared" si="90"/>
        <v>032014</v>
      </c>
      <c r="C1085" t="str">
        <f t="shared" si="91"/>
        <v>80959</v>
      </c>
      <c r="D1085" t="s">
        <v>250</v>
      </c>
      <c r="E1085" s="1">
        <v>6970.06</v>
      </c>
      <c r="F1085">
        <v>20140305</v>
      </c>
      <c r="G1085" t="s">
        <v>266</v>
      </c>
      <c r="H1085" t="s">
        <v>334</v>
      </c>
      <c r="I1085" t="s">
        <v>29</v>
      </c>
    </row>
    <row r="1086" spans="1:9" x14ac:dyDescent="0.25">
      <c r="A1086">
        <v>20140331</v>
      </c>
      <c r="B1086" t="str">
        <f t="shared" ref="B1086:B1102" si="92">"033114"</f>
        <v>033114</v>
      </c>
      <c r="C1086" t="str">
        <f t="shared" si="91"/>
        <v>80959</v>
      </c>
      <c r="D1086" t="s">
        <v>250</v>
      </c>
      <c r="E1086" s="1">
        <v>236409.98</v>
      </c>
      <c r="F1086">
        <v>20140331</v>
      </c>
      <c r="G1086" t="s">
        <v>251</v>
      </c>
      <c r="H1086" t="s">
        <v>334</v>
      </c>
      <c r="I1086" t="s">
        <v>29</v>
      </c>
    </row>
    <row r="1087" spans="1:9" x14ac:dyDescent="0.25">
      <c r="A1087">
        <v>20140331</v>
      </c>
      <c r="B1087" t="str">
        <f t="shared" si="92"/>
        <v>033114</v>
      </c>
      <c r="C1087" t="str">
        <f t="shared" si="91"/>
        <v>80959</v>
      </c>
      <c r="D1087" t="s">
        <v>250</v>
      </c>
      <c r="E1087" s="1">
        <v>37761.57</v>
      </c>
      <c r="F1087">
        <v>20140331</v>
      </c>
      <c r="G1087" t="s">
        <v>252</v>
      </c>
      <c r="H1087" t="s">
        <v>334</v>
      </c>
      <c r="I1087" t="s">
        <v>29</v>
      </c>
    </row>
    <row r="1088" spans="1:9" x14ac:dyDescent="0.25">
      <c r="A1088">
        <v>20140331</v>
      </c>
      <c r="B1088" t="str">
        <f t="shared" si="92"/>
        <v>033114</v>
      </c>
      <c r="C1088" t="str">
        <f t="shared" si="91"/>
        <v>80959</v>
      </c>
      <c r="D1088" t="s">
        <v>250</v>
      </c>
      <c r="E1088" s="1">
        <v>37761.370000000003</v>
      </c>
      <c r="F1088">
        <v>20140331</v>
      </c>
      <c r="G1088" t="s">
        <v>253</v>
      </c>
      <c r="H1088" t="s">
        <v>334</v>
      </c>
      <c r="I1088" t="s">
        <v>29</v>
      </c>
    </row>
    <row r="1089" spans="1:9" x14ac:dyDescent="0.25">
      <c r="A1089">
        <v>20140331</v>
      </c>
      <c r="B1089" t="str">
        <f t="shared" si="92"/>
        <v>033114</v>
      </c>
      <c r="C1089" t="str">
        <f t="shared" si="91"/>
        <v>80959</v>
      </c>
      <c r="D1089" t="s">
        <v>250</v>
      </c>
      <c r="E1089" s="1">
        <v>148208</v>
      </c>
      <c r="F1089">
        <v>20140331</v>
      </c>
      <c r="G1089" t="s">
        <v>92</v>
      </c>
      <c r="H1089" t="s">
        <v>334</v>
      </c>
      <c r="I1089" t="s">
        <v>29</v>
      </c>
    </row>
    <row r="1090" spans="1:9" x14ac:dyDescent="0.25">
      <c r="A1090">
        <v>20140331</v>
      </c>
      <c r="B1090" t="str">
        <f t="shared" si="92"/>
        <v>033114</v>
      </c>
      <c r="C1090" t="str">
        <f t="shared" si="91"/>
        <v>80959</v>
      </c>
      <c r="D1090" t="s">
        <v>250</v>
      </c>
      <c r="E1090" s="1">
        <v>1245.24</v>
      </c>
      <c r="F1090">
        <v>20140331</v>
      </c>
      <c r="G1090" t="s">
        <v>254</v>
      </c>
      <c r="H1090" t="s">
        <v>334</v>
      </c>
      <c r="I1090" t="s">
        <v>29</v>
      </c>
    </row>
    <row r="1091" spans="1:9" x14ac:dyDescent="0.25">
      <c r="A1091">
        <v>20140331</v>
      </c>
      <c r="B1091" t="str">
        <f t="shared" si="92"/>
        <v>033114</v>
      </c>
      <c r="C1091" t="str">
        <f t="shared" si="91"/>
        <v>80959</v>
      </c>
      <c r="D1091" t="s">
        <v>250</v>
      </c>
      <c r="E1091" s="1">
        <v>1082.42</v>
      </c>
      <c r="F1091">
        <v>20140331</v>
      </c>
      <c r="G1091" t="s">
        <v>255</v>
      </c>
      <c r="H1091" t="s">
        <v>334</v>
      </c>
      <c r="I1091" t="s">
        <v>29</v>
      </c>
    </row>
    <row r="1092" spans="1:9" x14ac:dyDescent="0.25">
      <c r="A1092">
        <v>20140331</v>
      </c>
      <c r="B1092" t="str">
        <f t="shared" si="92"/>
        <v>033114</v>
      </c>
      <c r="C1092" t="str">
        <f t="shared" si="91"/>
        <v>80959</v>
      </c>
      <c r="D1092" t="s">
        <v>250</v>
      </c>
      <c r="E1092" s="1">
        <v>134322.5</v>
      </c>
      <c r="F1092">
        <v>20140331</v>
      </c>
      <c r="G1092" t="s">
        <v>256</v>
      </c>
      <c r="H1092" t="s">
        <v>334</v>
      </c>
      <c r="I1092" t="s">
        <v>29</v>
      </c>
    </row>
    <row r="1093" spans="1:9" x14ac:dyDescent="0.25">
      <c r="A1093">
        <v>20140331</v>
      </c>
      <c r="B1093" t="str">
        <f t="shared" si="92"/>
        <v>033114</v>
      </c>
      <c r="C1093" t="str">
        <f t="shared" si="91"/>
        <v>80959</v>
      </c>
      <c r="D1093" t="s">
        <v>250</v>
      </c>
      <c r="E1093" s="1">
        <v>8651</v>
      </c>
      <c r="F1093">
        <v>20140331</v>
      </c>
      <c r="G1093" t="s">
        <v>257</v>
      </c>
      <c r="H1093" t="s">
        <v>334</v>
      </c>
      <c r="I1093" t="s">
        <v>29</v>
      </c>
    </row>
    <row r="1094" spans="1:9" x14ac:dyDescent="0.25">
      <c r="A1094">
        <v>20140331</v>
      </c>
      <c r="B1094" t="str">
        <f t="shared" si="92"/>
        <v>033114</v>
      </c>
      <c r="C1094" t="str">
        <f t="shared" si="91"/>
        <v>80959</v>
      </c>
      <c r="D1094" t="s">
        <v>250</v>
      </c>
      <c r="E1094" s="1">
        <v>182534.8</v>
      </c>
      <c r="F1094">
        <v>20140331</v>
      </c>
      <c r="G1094" t="s">
        <v>258</v>
      </c>
      <c r="H1094" t="s">
        <v>334</v>
      </c>
      <c r="I1094" t="s">
        <v>29</v>
      </c>
    </row>
    <row r="1095" spans="1:9" x14ac:dyDescent="0.25">
      <c r="A1095">
        <v>20140331</v>
      </c>
      <c r="B1095" t="str">
        <f t="shared" si="92"/>
        <v>033114</v>
      </c>
      <c r="C1095" t="str">
        <f t="shared" si="91"/>
        <v>80959</v>
      </c>
      <c r="D1095" t="s">
        <v>250</v>
      </c>
      <c r="E1095" s="1">
        <v>16651.189999999999</v>
      </c>
      <c r="F1095">
        <v>20140331</v>
      </c>
      <c r="G1095" t="s">
        <v>259</v>
      </c>
      <c r="H1095" t="s">
        <v>334</v>
      </c>
      <c r="I1095" t="s">
        <v>29</v>
      </c>
    </row>
    <row r="1096" spans="1:9" x14ac:dyDescent="0.25">
      <c r="A1096">
        <v>20140331</v>
      </c>
      <c r="B1096" t="str">
        <f t="shared" si="92"/>
        <v>033114</v>
      </c>
      <c r="C1096" t="str">
        <f t="shared" si="91"/>
        <v>80959</v>
      </c>
      <c r="D1096" t="s">
        <v>250</v>
      </c>
      <c r="E1096" s="1">
        <v>29861.599999999999</v>
      </c>
      <c r="F1096">
        <v>20140331</v>
      </c>
      <c r="G1096" t="s">
        <v>260</v>
      </c>
      <c r="H1096" t="s">
        <v>334</v>
      </c>
      <c r="I1096" t="s">
        <v>29</v>
      </c>
    </row>
    <row r="1097" spans="1:9" x14ac:dyDescent="0.25">
      <c r="A1097">
        <v>20140331</v>
      </c>
      <c r="B1097" t="str">
        <f t="shared" si="92"/>
        <v>033114</v>
      </c>
      <c r="C1097" t="str">
        <f t="shared" si="91"/>
        <v>80959</v>
      </c>
      <c r="D1097" t="s">
        <v>250</v>
      </c>
      <c r="E1097" s="1">
        <v>2494.3200000000002</v>
      </c>
      <c r="F1097">
        <v>20140331</v>
      </c>
      <c r="G1097" t="s">
        <v>261</v>
      </c>
      <c r="H1097" t="s">
        <v>334</v>
      </c>
      <c r="I1097" t="s">
        <v>29</v>
      </c>
    </row>
    <row r="1098" spans="1:9" x14ac:dyDescent="0.25">
      <c r="A1098">
        <v>20140331</v>
      </c>
      <c r="B1098" t="str">
        <f t="shared" si="92"/>
        <v>033114</v>
      </c>
      <c r="C1098" t="str">
        <f t="shared" si="91"/>
        <v>80959</v>
      </c>
      <c r="D1098" t="s">
        <v>250</v>
      </c>
      <c r="E1098" s="1">
        <v>14240.28</v>
      </c>
      <c r="F1098">
        <v>20140331</v>
      </c>
      <c r="G1098" t="s">
        <v>262</v>
      </c>
      <c r="H1098" t="s">
        <v>334</v>
      </c>
      <c r="I1098" t="s">
        <v>29</v>
      </c>
    </row>
    <row r="1099" spans="1:9" x14ac:dyDescent="0.25">
      <c r="A1099">
        <v>20140331</v>
      </c>
      <c r="B1099" t="str">
        <f t="shared" si="92"/>
        <v>033114</v>
      </c>
      <c r="C1099" t="str">
        <f t="shared" si="91"/>
        <v>80959</v>
      </c>
      <c r="D1099" t="s">
        <v>250</v>
      </c>
      <c r="E1099" s="1">
        <v>2565.67</v>
      </c>
      <c r="F1099">
        <v>20140331</v>
      </c>
      <c r="G1099" t="s">
        <v>263</v>
      </c>
      <c r="H1099" t="s">
        <v>334</v>
      </c>
      <c r="I1099" t="s">
        <v>29</v>
      </c>
    </row>
    <row r="1100" spans="1:9" x14ac:dyDescent="0.25">
      <c r="A1100">
        <v>20140331</v>
      </c>
      <c r="B1100" t="str">
        <f t="shared" si="92"/>
        <v>033114</v>
      </c>
      <c r="C1100" t="str">
        <f t="shared" si="91"/>
        <v>80959</v>
      </c>
      <c r="D1100" t="s">
        <v>250</v>
      </c>
      <c r="E1100" s="1">
        <v>2470.4499999999998</v>
      </c>
      <c r="F1100">
        <v>20140331</v>
      </c>
      <c r="G1100" t="s">
        <v>264</v>
      </c>
      <c r="H1100" t="s">
        <v>334</v>
      </c>
      <c r="I1100" t="s">
        <v>29</v>
      </c>
    </row>
    <row r="1101" spans="1:9" x14ac:dyDescent="0.25">
      <c r="A1101">
        <v>20140331</v>
      </c>
      <c r="B1101" t="str">
        <f t="shared" si="92"/>
        <v>033114</v>
      </c>
      <c r="C1101" t="str">
        <f t="shared" si="91"/>
        <v>80959</v>
      </c>
      <c r="D1101" t="s">
        <v>250</v>
      </c>
      <c r="E1101" s="1">
        <v>1716</v>
      </c>
      <c r="F1101">
        <v>20140331</v>
      </c>
      <c r="G1101" t="s">
        <v>265</v>
      </c>
      <c r="H1101" t="s">
        <v>334</v>
      </c>
      <c r="I1101" t="s">
        <v>29</v>
      </c>
    </row>
    <row r="1102" spans="1:9" x14ac:dyDescent="0.25">
      <c r="A1102">
        <v>20140331</v>
      </c>
      <c r="B1102" t="str">
        <f t="shared" si="92"/>
        <v>033114</v>
      </c>
      <c r="C1102" t="str">
        <f t="shared" si="91"/>
        <v>80959</v>
      </c>
      <c r="D1102" t="s">
        <v>250</v>
      </c>
      <c r="E1102" s="1">
        <v>6657.96</v>
      </c>
      <c r="F1102">
        <v>20140331</v>
      </c>
      <c r="G1102" t="s">
        <v>266</v>
      </c>
      <c r="H1102" t="s">
        <v>334</v>
      </c>
      <c r="I1102" t="s">
        <v>29</v>
      </c>
    </row>
    <row r="1103" spans="1:9" x14ac:dyDescent="0.25">
      <c r="A1103">
        <v>20140428</v>
      </c>
      <c r="B1103" t="str">
        <f t="shared" ref="B1103:B1119" si="93">"042814"</f>
        <v>042814</v>
      </c>
      <c r="C1103" t="str">
        <f t="shared" si="91"/>
        <v>80959</v>
      </c>
      <c r="D1103" t="s">
        <v>250</v>
      </c>
      <c r="E1103" s="1">
        <v>241060.57</v>
      </c>
      <c r="F1103">
        <v>20140428</v>
      </c>
      <c r="G1103" t="s">
        <v>251</v>
      </c>
      <c r="H1103" t="s">
        <v>334</v>
      </c>
      <c r="I1103" t="s">
        <v>29</v>
      </c>
    </row>
    <row r="1104" spans="1:9" x14ac:dyDescent="0.25">
      <c r="A1104">
        <v>20140428</v>
      </c>
      <c r="B1104" t="str">
        <f t="shared" si="93"/>
        <v>042814</v>
      </c>
      <c r="C1104" t="str">
        <f t="shared" si="91"/>
        <v>80959</v>
      </c>
      <c r="D1104" t="s">
        <v>250</v>
      </c>
      <c r="E1104" s="1">
        <v>39229.769999999997</v>
      </c>
      <c r="F1104">
        <v>20140428</v>
      </c>
      <c r="G1104" t="s">
        <v>252</v>
      </c>
      <c r="H1104" t="s">
        <v>334</v>
      </c>
      <c r="I1104" t="s">
        <v>29</v>
      </c>
    </row>
    <row r="1105" spans="1:9" x14ac:dyDescent="0.25">
      <c r="A1105">
        <v>20140428</v>
      </c>
      <c r="B1105" t="str">
        <f t="shared" si="93"/>
        <v>042814</v>
      </c>
      <c r="C1105" t="str">
        <f t="shared" si="91"/>
        <v>80959</v>
      </c>
      <c r="D1105" t="s">
        <v>250</v>
      </c>
      <c r="E1105" s="1">
        <v>39229.51</v>
      </c>
      <c r="F1105">
        <v>20140428</v>
      </c>
      <c r="G1105" t="s">
        <v>253</v>
      </c>
      <c r="H1105" t="s">
        <v>334</v>
      </c>
      <c r="I1105" t="s">
        <v>29</v>
      </c>
    </row>
    <row r="1106" spans="1:9" x14ac:dyDescent="0.25">
      <c r="A1106">
        <v>20140428</v>
      </c>
      <c r="B1106" t="str">
        <f t="shared" si="93"/>
        <v>042814</v>
      </c>
      <c r="C1106" t="str">
        <f t="shared" si="91"/>
        <v>80959</v>
      </c>
      <c r="D1106" t="s">
        <v>250</v>
      </c>
      <c r="E1106" s="1">
        <v>149406</v>
      </c>
      <c r="F1106">
        <v>20140428</v>
      </c>
      <c r="G1106" t="s">
        <v>92</v>
      </c>
      <c r="H1106" t="s">
        <v>334</v>
      </c>
      <c r="I1106" t="s">
        <v>29</v>
      </c>
    </row>
    <row r="1107" spans="1:9" x14ac:dyDescent="0.25">
      <c r="A1107">
        <v>20140428</v>
      </c>
      <c r="B1107" t="str">
        <f t="shared" si="93"/>
        <v>042814</v>
      </c>
      <c r="C1107" t="str">
        <f t="shared" si="91"/>
        <v>80959</v>
      </c>
      <c r="D1107" t="s">
        <v>250</v>
      </c>
      <c r="E1107" s="1">
        <v>1245.24</v>
      </c>
      <c r="F1107">
        <v>20140428</v>
      </c>
      <c r="G1107" t="s">
        <v>254</v>
      </c>
      <c r="H1107" t="s">
        <v>334</v>
      </c>
      <c r="I1107" t="s">
        <v>29</v>
      </c>
    </row>
    <row r="1108" spans="1:9" x14ac:dyDescent="0.25">
      <c r="A1108">
        <v>20140428</v>
      </c>
      <c r="B1108" t="str">
        <f t="shared" si="93"/>
        <v>042814</v>
      </c>
      <c r="C1108" t="str">
        <f t="shared" si="91"/>
        <v>80959</v>
      </c>
      <c r="D1108" t="s">
        <v>250</v>
      </c>
      <c r="E1108" s="1">
        <v>1082.42</v>
      </c>
      <c r="F1108">
        <v>20140428</v>
      </c>
      <c r="G1108" t="s">
        <v>255</v>
      </c>
      <c r="H1108" t="s">
        <v>334</v>
      </c>
      <c r="I1108" t="s">
        <v>29</v>
      </c>
    </row>
    <row r="1109" spans="1:9" x14ac:dyDescent="0.25">
      <c r="A1109">
        <v>20140428</v>
      </c>
      <c r="B1109" t="str">
        <f t="shared" si="93"/>
        <v>042814</v>
      </c>
      <c r="C1109" t="str">
        <f t="shared" si="91"/>
        <v>80959</v>
      </c>
      <c r="D1109" t="s">
        <v>250</v>
      </c>
      <c r="E1109" s="1">
        <v>130740.5</v>
      </c>
      <c r="F1109">
        <v>20140428</v>
      </c>
      <c r="G1109" t="s">
        <v>256</v>
      </c>
      <c r="H1109" t="s">
        <v>334</v>
      </c>
      <c r="I1109" t="s">
        <v>29</v>
      </c>
    </row>
    <row r="1110" spans="1:9" x14ac:dyDescent="0.25">
      <c r="A1110">
        <v>20140428</v>
      </c>
      <c r="B1110" t="str">
        <f t="shared" si="93"/>
        <v>042814</v>
      </c>
      <c r="C1110" t="str">
        <f t="shared" si="91"/>
        <v>80959</v>
      </c>
      <c r="D1110" t="s">
        <v>250</v>
      </c>
      <c r="E1110" s="1">
        <v>8651</v>
      </c>
      <c r="F1110">
        <v>20140428</v>
      </c>
      <c r="G1110" t="s">
        <v>257</v>
      </c>
      <c r="H1110" t="s">
        <v>334</v>
      </c>
      <c r="I1110" t="s">
        <v>29</v>
      </c>
    </row>
    <row r="1111" spans="1:9" x14ac:dyDescent="0.25">
      <c r="A1111">
        <v>20140428</v>
      </c>
      <c r="B1111" t="str">
        <f t="shared" si="93"/>
        <v>042814</v>
      </c>
      <c r="C1111" t="str">
        <f t="shared" si="91"/>
        <v>80959</v>
      </c>
      <c r="D1111" t="s">
        <v>250</v>
      </c>
      <c r="E1111" s="1">
        <v>184221.1</v>
      </c>
      <c r="F1111">
        <v>20140428</v>
      </c>
      <c r="G1111" t="s">
        <v>258</v>
      </c>
      <c r="H1111" t="s">
        <v>334</v>
      </c>
      <c r="I1111" t="s">
        <v>29</v>
      </c>
    </row>
    <row r="1112" spans="1:9" x14ac:dyDescent="0.25">
      <c r="A1112">
        <v>20140428</v>
      </c>
      <c r="B1112" t="str">
        <f t="shared" si="93"/>
        <v>042814</v>
      </c>
      <c r="C1112" t="str">
        <f t="shared" si="91"/>
        <v>80959</v>
      </c>
      <c r="D1112" t="s">
        <v>250</v>
      </c>
      <c r="E1112" s="1">
        <v>17070.95</v>
      </c>
      <c r="F1112">
        <v>20140428</v>
      </c>
      <c r="G1112" t="s">
        <v>259</v>
      </c>
      <c r="H1112" t="s">
        <v>334</v>
      </c>
      <c r="I1112" t="s">
        <v>29</v>
      </c>
    </row>
    <row r="1113" spans="1:9" x14ac:dyDescent="0.25">
      <c r="A1113">
        <v>20140428</v>
      </c>
      <c r="B1113" t="str">
        <f t="shared" si="93"/>
        <v>042814</v>
      </c>
      <c r="C1113" t="str">
        <f t="shared" si="91"/>
        <v>80959</v>
      </c>
      <c r="D1113" t="s">
        <v>250</v>
      </c>
      <c r="E1113" s="1">
        <v>30108.03</v>
      </c>
      <c r="F1113">
        <v>20140428</v>
      </c>
      <c r="G1113" t="s">
        <v>260</v>
      </c>
      <c r="H1113" t="s">
        <v>334</v>
      </c>
      <c r="I1113" t="s">
        <v>29</v>
      </c>
    </row>
    <row r="1114" spans="1:9" x14ac:dyDescent="0.25">
      <c r="A1114">
        <v>20140428</v>
      </c>
      <c r="B1114" t="str">
        <f t="shared" si="93"/>
        <v>042814</v>
      </c>
      <c r="C1114" t="str">
        <f t="shared" si="91"/>
        <v>80959</v>
      </c>
      <c r="D1114" t="s">
        <v>250</v>
      </c>
      <c r="E1114" s="1">
        <v>2557.6</v>
      </c>
      <c r="F1114">
        <v>20140428</v>
      </c>
      <c r="G1114" t="s">
        <v>261</v>
      </c>
      <c r="H1114" t="s">
        <v>334</v>
      </c>
      <c r="I1114" t="s">
        <v>29</v>
      </c>
    </row>
    <row r="1115" spans="1:9" x14ac:dyDescent="0.25">
      <c r="A1115">
        <v>20140428</v>
      </c>
      <c r="B1115" t="str">
        <f t="shared" si="93"/>
        <v>042814</v>
      </c>
      <c r="C1115" t="str">
        <f t="shared" si="91"/>
        <v>80959</v>
      </c>
      <c r="D1115" t="s">
        <v>250</v>
      </c>
      <c r="E1115" s="1">
        <v>14371.84</v>
      </c>
      <c r="F1115">
        <v>20140428</v>
      </c>
      <c r="G1115" t="s">
        <v>262</v>
      </c>
      <c r="H1115" t="s">
        <v>334</v>
      </c>
      <c r="I1115" t="s">
        <v>29</v>
      </c>
    </row>
    <row r="1116" spans="1:9" x14ac:dyDescent="0.25">
      <c r="A1116">
        <v>20140428</v>
      </c>
      <c r="B1116" t="str">
        <f t="shared" si="93"/>
        <v>042814</v>
      </c>
      <c r="C1116" t="str">
        <f t="shared" ref="C1116:C1147" si="94">"80959"</f>
        <v>80959</v>
      </c>
      <c r="D1116" t="s">
        <v>250</v>
      </c>
      <c r="E1116" s="1">
        <v>1683.24</v>
      </c>
      <c r="F1116">
        <v>20140428</v>
      </c>
      <c r="G1116" t="s">
        <v>263</v>
      </c>
      <c r="H1116" t="s">
        <v>334</v>
      </c>
      <c r="I1116" t="s">
        <v>29</v>
      </c>
    </row>
    <row r="1117" spans="1:9" x14ac:dyDescent="0.25">
      <c r="A1117">
        <v>20140428</v>
      </c>
      <c r="B1117" t="str">
        <f t="shared" si="93"/>
        <v>042814</v>
      </c>
      <c r="C1117" t="str">
        <f t="shared" si="94"/>
        <v>80959</v>
      </c>
      <c r="D1117" t="s">
        <v>250</v>
      </c>
      <c r="E1117" s="1">
        <v>2507.77</v>
      </c>
      <c r="F1117">
        <v>20140428</v>
      </c>
      <c r="G1117" t="s">
        <v>264</v>
      </c>
      <c r="H1117" t="s">
        <v>334</v>
      </c>
      <c r="I1117" t="s">
        <v>29</v>
      </c>
    </row>
    <row r="1118" spans="1:9" x14ac:dyDescent="0.25">
      <c r="A1118">
        <v>20140428</v>
      </c>
      <c r="B1118" t="str">
        <f t="shared" si="93"/>
        <v>042814</v>
      </c>
      <c r="C1118" t="str">
        <f t="shared" si="94"/>
        <v>80959</v>
      </c>
      <c r="D1118" t="s">
        <v>250</v>
      </c>
      <c r="E1118" s="1">
        <v>1716</v>
      </c>
      <c r="F1118">
        <v>20140428</v>
      </c>
      <c r="G1118" t="s">
        <v>265</v>
      </c>
      <c r="H1118" t="s">
        <v>334</v>
      </c>
      <c r="I1118" t="s">
        <v>29</v>
      </c>
    </row>
    <row r="1119" spans="1:9" x14ac:dyDescent="0.25">
      <c r="A1119">
        <v>20140428</v>
      </c>
      <c r="B1119" t="str">
        <f t="shared" si="93"/>
        <v>042814</v>
      </c>
      <c r="C1119" t="str">
        <f t="shared" si="94"/>
        <v>80959</v>
      </c>
      <c r="D1119" t="s">
        <v>250</v>
      </c>
      <c r="E1119" s="1">
        <v>6524.38</v>
      </c>
      <c r="F1119">
        <v>20140428</v>
      </c>
      <c r="G1119" t="s">
        <v>266</v>
      </c>
      <c r="H1119" t="s">
        <v>334</v>
      </c>
      <c r="I1119" t="s">
        <v>29</v>
      </c>
    </row>
    <row r="1120" spans="1:9" x14ac:dyDescent="0.25">
      <c r="A1120">
        <v>20140609</v>
      </c>
      <c r="B1120" t="str">
        <f t="shared" ref="B1120:B1136" si="95">"062014"</f>
        <v>062014</v>
      </c>
      <c r="C1120" t="str">
        <f t="shared" si="94"/>
        <v>80959</v>
      </c>
      <c r="D1120" t="s">
        <v>250</v>
      </c>
      <c r="E1120" s="1">
        <v>251227.25</v>
      </c>
      <c r="F1120">
        <v>20140609</v>
      </c>
      <c r="G1120" t="s">
        <v>251</v>
      </c>
      <c r="H1120" t="s">
        <v>334</v>
      </c>
      <c r="I1120" t="s">
        <v>29</v>
      </c>
    </row>
    <row r="1121" spans="1:9" x14ac:dyDescent="0.25">
      <c r="A1121">
        <v>20140609</v>
      </c>
      <c r="B1121" t="str">
        <f t="shared" si="95"/>
        <v>062014</v>
      </c>
      <c r="C1121" t="str">
        <f t="shared" si="94"/>
        <v>80959</v>
      </c>
      <c r="D1121" t="s">
        <v>250</v>
      </c>
      <c r="E1121" s="1">
        <v>41382.620000000003</v>
      </c>
      <c r="F1121">
        <v>20140609</v>
      </c>
      <c r="G1121" t="s">
        <v>252</v>
      </c>
      <c r="H1121" t="s">
        <v>334</v>
      </c>
      <c r="I1121" t="s">
        <v>29</v>
      </c>
    </row>
    <row r="1122" spans="1:9" x14ac:dyDescent="0.25">
      <c r="A1122">
        <v>20140609</v>
      </c>
      <c r="B1122" t="str">
        <f t="shared" si="95"/>
        <v>062014</v>
      </c>
      <c r="C1122" t="str">
        <f t="shared" si="94"/>
        <v>80959</v>
      </c>
      <c r="D1122" t="s">
        <v>250</v>
      </c>
      <c r="E1122" s="1">
        <v>41382.33</v>
      </c>
      <c r="F1122">
        <v>20140609</v>
      </c>
      <c r="G1122" t="s">
        <v>253</v>
      </c>
      <c r="H1122" t="s">
        <v>334</v>
      </c>
      <c r="I1122" t="s">
        <v>29</v>
      </c>
    </row>
    <row r="1123" spans="1:9" x14ac:dyDescent="0.25">
      <c r="A1123">
        <v>20140609</v>
      </c>
      <c r="B1123" t="str">
        <f t="shared" si="95"/>
        <v>062014</v>
      </c>
      <c r="C1123" t="str">
        <f t="shared" si="94"/>
        <v>80959</v>
      </c>
      <c r="D1123" t="s">
        <v>250</v>
      </c>
      <c r="E1123" s="1">
        <v>149568</v>
      </c>
      <c r="F1123">
        <v>20140609</v>
      </c>
      <c r="G1123" t="s">
        <v>92</v>
      </c>
      <c r="H1123" t="s">
        <v>334</v>
      </c>
      <c r="I1123" t="s">
        <v>29</v>
      </c>
    </row>
    <row r="1124" spans="1:9" x14ac:dyDescent="0.25">
      <c r="A1124">
        <v>20140609</v>
      </c>
      <c r="B1124" t="str">
        <f t="shared" si="95"/>
        <v>062014</v>
      </c>
      <c r="C1124" t="str">
        <f t="shared" si="94"/>
        <v>80959</v>
      </c>
      <c r="D1124" t="s">
        <v>250</v>
      </c>
      <c r="E1124" s="1">
        <v>1245.24</v>
      </c>
      <c r="F1124">
        <v>20140609</v>
      </c>
      <c r="G1124" t="s">
        <v>254</v>
      </c>
      <c r="H1124" t="s">
        <v>334</v>
      </c>
      <c r="I1124" t="s">
        <v>29</v>
      </c>
    </row>
    <row r="1125" spans="1:9" x14ac:dyDescent="0.25">
      <c r="A1125">
        <v>20140609</v>
      </c>
      <c r="B1125" t="str">
        <f t="shared" si="95"/>
        <v>062014</v>
      </c>
      <c r="C1125" t="str">
        <f t="shared" si="94"/>
        <v>80959</v>
      </c>
      <c r="D1125" t="s">
        <v>250</v>
      </c>
      <c r="E1125" s="1">
        <v>1082.42</v>
      </c>
      <c r="F1125">
        <v>20140609</v>
      </c>
      <c r="G1125" t="s">
        <v>255</v>
      </c>
      <c r="H1125" t="s">
        <v>334</v>
      </c>
      <c r="I1125" t="s">
        <v>29</v>
      </c>
    </row>
    <row r="1126" spans="1:9" x14ac:dyDescent="0.25">
      <c r="A1126">
        <v>20140609</v>
      </c>
      <c r="B1126" t="str">
        <f t="shared" si="95"/>
        <v>062014</v>
      </c>
      <c r="C1126" t="str">
        <f t="shared" si="94"/>
        <v>80959</v>
      </c>
      <c r="D1126" t="s">
        <v>250</v>
      </c>
      <c r="E1126" s="1">
        <v>132375.5</v>
      </c>
      <c r="F1126">
        <v>20140609</v>
      </c>
      <c r="G1126" t="s">
        <v>256</v>
      </c>
      <c r="H1126" t="s">
        <v>334</v>
      </c>
      <c r="I1126" t="s">
        <v>29</v>
      </c>
    </row>
    <row r="1127" spans="1:9" x14ac:dyDescent="0.25">
      <c r="A1127">
        <v>20140609</v>
      </c>
      <c r="B1127" t="str">
        <f t="shared" si="95"/>
        <v>062014</v>
      </c>
      <c r="C1127" t="str">
        <f t="shared" si="94"/>
        <v>80959</v>
      </c>
      <c r="D1127" t="s">
        <v>250</v>
      </c>
      <c r="E1127" s="1">
        <v>8651</v>
      </c>
      <c r="F1127">
        <v>20140609</v>
      </c>
      <c r="G1127" t="s">
        <v>257</v>
      </c>
      <c r="H1127" t="s">
        <v>334</v>
      </c>
      <c r="I1127" t="s">
        <v>29</v>
      </c>
    </row>
    <row r="1128" spans="1:9" x14ac:dyDescent="0.25">
      <c r="A1128">
        <v>20140609</v>
      </c>
      <c r="B1128" t="str">
        <f t="shared" si="95"/>
        <v>062014</v>
      </c>
      <c r="C1128" t="str">
        <f t="shared" si="94"/>
        <v>80959</v>
      </c>
      <c r="D1128" t="s">
        <v>250</v>
      </c>
      <c r="E1128" s="1">
        <v>188296.59</v>
      </c>
      <c r="F1128">
        <v>20140609</v>
      </c>
      <c r="G1128" t="s">
        <v>258</v>
      </c>
      <c r="H1128" t="s">
        <v>334</v>
      </c>
      <c r="I1128" t="s">
        <v>29</v>
      </c>
    </row>
    <row r="1129" spans="1:9" x14ac:dyDescent="0.25">
      <c r="A1129">
        <v>20140609</v>
      </c>
      <c r="B1129" t="str">
        <f t="shared" si="95"/>
        <v>062014</v>
      </c>
      <c r="C1129" t="str">
        <f t="shared" si="94"/>
        <v>80959</v>
      </c>
      <c r="D1129" t="s">
        <v>250</v>
      </c>
      <c r="E1129" s="1">
        <v>17526.14</v>
      </c>
      <c r="F1129">
        <v>20140609</v>
      </c>
      <c r="G1129" t="s">
        <v>259</v>
      </c>
      <c r="H1129" t="s">
        <v>334</v>
      </c>
      <c r="I1129" t="s">
        <v>29</v>
      </c>
    </row>
    <row r="1130" spans="1:9" x14ac:dyDescent="0.25">
      <c r="A1130">
        <v>20140609</v>
      </c>
      <c r="B1130" t="str">
        <f t="shared" si="95"/>
        <v>062014</v>
      </c>
      <c r="C1130" t="str">
        <f t="shared" si="94"/>
        <v>80959</v>
      </c>
      <c r="D1130" t="s">
        <v>250</v>
      </c>
      <c r="E1130" s="1">
        <v>30949.63</v>
      </c>
      <c r="F1130">
        <v>20140609</v>
      </c>
      <c r="G1130" t="s">
        <v>260</v>
      </c>
      <c r="H1130" t="s">
        <v>334</v>
      </c>
      <c r="I1130" t="s">
        <v>29</v>
      </c>
    </row>
    <row r="1131" spans="1:9" x14ac:dyDescent="0.25">
      <c r="A1131">
        <v>20140609</v>
      </c>
      <c r="B1131" t="str">
        <f t="shared" si="95"/>
        <v>062014</v>
      </c>
      <c r="C1131" t="str">
        <f t="shared" si="94"/>
        <v>80959</v>
      </c>
      <c r="D1131" t="s">
        <v>250</v>
      </c>
      <c r="E1131" s="1">
        <v>2589.9699999999998</v>
      </c>
      <c r="F1131">
        <v>20140609</v>
      </c>
      <c r="G1131" t="s">
        <v>261</v>
      </c>
      <c r="H1131" t="s">
        <v>334</v>
      </c>
      <c r="I1131" t="s">
        <v>29</v>
      </c>
    </row>
    <row r="1132" spans="1:9" x14ac:dyDescent="0.25">
      <c r="A1132">
        <v>20140609</v>
      </c>
      <c r="B1132" t="str">
        <f t="shared" si="95"/>
        <v>062014</v>
      </c>
      <c r="C1132" t="str">
        <f t="shared" si="94"/>
        <v>80959</v>
      </c>
      <c r="D1132" t="s">
        <v>250</v>
      </c>
      <c r="E1132" s="1">
        <v>14689.74</v>
      </c>
      <c r="F1132">
        <v>20140609</v>
      </c>
      <c r="G1132" t="s">
        <v>262</v>
      </c>
      <c r="H1132" t="s">
        <v>334</v>
      </c>
      <c r="I1132" t="s">
        <v>29</v>
      </c>
    </row>
    <row r="1133" spans="1:9" x14ac:dyDescent="0.25">
      <c r="A1133">
        <v>20140609</v>
      </c>
      <c r="B1133" t="str">
        <f t="shared" si="95"/>
        <v>062014</v>
      </c>
      <c r="C1133" t="str">
        <f t="shared" si="94"/>
        <v>80959</v>
      </c>
      <c r="D1133" t="s">
        <v>250</v>
      </c>
      <c r="E1133" s="1">
        <v>1377.26</v>
      </c>
      <c r="F1133">
        <v>20140609</v>
      </c>
      <c r="G1133" t="s">
        <v>263</v>
      </c>
      <c r="H1133" t="s">
        <v>334</v>
      </c>
      <c r="I1133" t="s">
        <v>29</v>
      </c>
    </row>
    <row r="1134" spans="1:9" x14ac:dyDescent="0.25">
      <c r="A1134">
        <v>20140609</v>
      </c>
      <c r="B1134" t="str">
        <f t="shared" si="95"/>
        <v>062014</v>
      </c>
      <c r="C1134" t="str">
        <f t="shared" si="94"/>
        <v>80959</v>
      </c>
      <c r="D1134" t="s">
        <v>250</v>
      </c>
      <c r="E1134" s="1">
        <v>2563.7399999999998</v>
      </c>
      <c r="F1134">
        <v>20140609</v>
      </c>
      <c r="G1134" t="s">
        <v>264</v>
      </c>
      <c r="H1134" t="s">
        <v>334</v>
      </c>
      <c r="I1134" t="s">
        <v>29</v>
      </c>
    </row>
    <row r="1135" spans="1:9" x14ac:dyDescent="0.25">
      <c r="A1135">
        <v>20140609</v>
      </c>
      <c r="B1135" t="str">
        <f t="shared" si="95"/>
        <v>062014</v>
      </c>
      <c r="C1135" t="str">
        <f t="shared" si="94"/>
        <v>80959</v>
      </c>
      <c r="D1135" t="s">
        <v>250</v>
      </c>
      <c r="E1135" s="1">
        <v>1716</v>
      </c>
      <c r="F1135">
        <v>20140609</v>
      </c>
      <c r="G1135" t="s">
        <v>265</v>
      </c>
      <c r="H1135" t="s">
        <v>334</v>
      </c>
      <c r="I1135" t="s">
        <v>29</v>
      </c>
    </row>
    <row r="1136" spans="1:9" x14ac:dyDescent="0.25">
      <c r="A1136">
        <v>20140609</v>
      </c>
      <c r="B1136" t="str">
        <f t="shared" si="95"/>
        <v>062014</v>
      </c>
      <c r="C1136" t="str">
        <f t="shared" si="94"/>
        <v>80959</v>
      </c>
      <c r="D1136" t="s">
        <v>250</v>
      </c>
      <c r="E1136" s="1">
        <v>6399.45</v>
      </c>
      <c r="F1136">
        <v>20140609</v>
      </c>
      <c r="G1136" t="s">
        <v>266</v>
      </c>
      <c r="H1136" t="s">
        <v>334</v>
      </c>
      <c r="I1136" t="s">
        <v>29</v>
      </c>
    </row>
    <row r="1137" spans="1:9" x14ac:dyDescent="0.25">
      <c r="A1137">
        <v>20140625</v>
      </c>
      <c r="B1137" t="str">
        <f t="shared" ref="B1137:B1151" si="96">"062514"</f>
        <v>062514</v>
      </c>
      <c r="C1137" t="str">
        <f t="shared" si="94"/>
        <v>80959</v>
      </c>
      <c r="D1137" t="s">
        <v>250</v>
      </c>
      <c r="E1137" s="1">
        <v>242444.47</v>
      </c>
      <c r="F1137">
        <v>20140625</v>
      </c>
      <c r="G1137" t="s">
        <v>251</v>
      </c>
      <c r="H1137" t="s">
        <v>334</v>
      </c>
      <c r="I1137" t="s">
        <v>29</v>
      </c>
    </row>
    <row r="1138" spans="1:9" x14ac:dyDescent="0.25">
      <c r="A1138">
        <v>20140625</v>
      </c>
      <c r="B1138" t="str">
        <f t="shared" si="96"/>
        <v>062514</v>
      </c>
      <c r="C1138" t="str">
        <f t="shared" si="94"/>
        <v>80959</v>
      </c>
      <c r="D1138" t="s">
        <v>250</v>
      </c>
      <c r="E1138" s="1">
        <v>38702.92</v>
      </c>
      <c r="F1138">
        <v>20140625</v>
      </c>
      <c r="G1138" t="s">
        <v>252</v>
      </c>
      <c r="H1138" t="s">
        <v>334</v>
      </c>
      <c r="I1138" t="s">
        <v>29</v>
      </c>
    </row>
    <row r="1139" spans="1:9" x14ac:dyDescent="0.25">
      <c r="A1139">
        <v>20140625</v>
      </c>
      <c r="B1139" t="str">
        <f t="shared" si="96"/>
        <v>062514</v>
      </c>
      <c r="C1139" t="str">
        <f t="shared" si="94"/>
        <v>80959</v>
      </c>
      <c r="D1139" t="s">
        <v>250</v>
      </c>
      <c r="E1139" s="1">
        <v>38702.620000000003</v>
      </c>
      <c r="F1139">
        <v>20140625</v>
      </c>
      <c r="G1139" t="s">
        <v>253</v>
      </c>
      <c r="H1139" t="s">
        <v>334</v>
      </c>
      <c r="I1139" t="s">
        <v>29</v>
      </c>
    </row>
    <row r="1140" spans="1:9" x14ac:dyDescent="0.25">
      <c r="A1140">
        <v>20140625</v>
      </c>
      <c r="B1140" t="str">
        <f t="shared" si="96"/>
        <v>062514</v>
      </c>
      <c r="C1140" t="str">
        <f t="shared" si="94"/>
        <v>80959</v>
      </c>
      <c r="D1140" t="s">
        <v>250</v>
      </c>
      <c r="E1140" s="1">
        <v>149893</v>
      </c>
      <c r="F1140">
        <v>20140625</v>
      </c>
      <c r="G1140" t="s">
        <v>92</v>
      </c>
      <c r="H1140" t="s">
        <v>334</v>
      </c>
      <c r="I1140" t="s">
        <v>29</v>
      </c>
    </row>
    <row r="1141" spans="1:9" x14ac:dyDescent="0.25">
      <c r="A1141">
        <v>20140625</v>
      </c>
      <c r="B1141" t="str">
        <f t="shared" si="96"/>
        <v>062514</v>
      </c>
      <c r="C1141" t="str">
        <f t="shared" si="94"/>
        <v>80959</v>
      </c>
      <c r="D1141" t="s">
        <v>250</v>
      </c>
      <c r="E1141" s="1">
        <v>1245.24</v>
      </c>
      <c r="F1141">
        <v>20140625</v>
      </c>
      <c r="G1141" t="s">
        <v>254</v>
      </c>
      <c r="H1141" t="s">
        <v>334</v>
      </c>
      <c r="I1141" t="s">
        <v>29</v>
      </c>
    </row>
    <row r="1142" spans="1:9" x14ac:dyDescent="0.25">
      <c r="A1142">
        <v>20140625</v>
      </c>
      <c r="B1142" t="str">
        <f t="shared" si="96"/>
        <v>062514</v>
      </c>
      <c r="C1142" t="str">
        <f t="shared" si="94"/>
        <v>80959</v>
      </c>
      <c r="D1142" t="s">
        <v>250</v>
      </c>
      <c r="E1142" s="1">
        <v>1082.42</v>
      </c>
      <c r="F1142">
        <v>20140625</v>
      </c>
      <c r="G1142" t="s">
        <v>255</v>
      </c>
      <c r="H1142" t="s">
        <v>334</v>
      </c>
      <c r="I1142" t="s">
        <v>29</v>
      </c>
    </row>
    <row r="1143" spans="1:9" x14ac:dyDescent="0.25">
      <c r="A1143">
        <v>20140625</v>
      </c>
      <c r="B1143" t="str">
        <f t="shared" si="96"/>
        <v>062514</v>
      </c>
      <c r="C1143" t="str">
        <f t="shared" si="94"/>
        <v>80959</v>
      </c>
      <c r="D1143" t="s">
        <v>250</v>
      </c>
      <c r="E1143" s="1">
        <v>130656</v>
      </c>
      <c r="F1143">
        <v>20140625</v>
      </c>
      <c r="G1143" t="s">
        <v>256</v>
      </c>
      <c r="H1143" t="s">
        <v>334</v>
      </c>
      <c r="I1143" t="s">
        <v>29</v>
      </c>
    </row>
    <row r="1144" spans="1:9" x14ac:dyDescent="0.25">
      <c r="A1144">
        <v>20140625</v>
      </c>
      <c r="B1144" t="str">
        <f t="shared" si="96"/>
        <v>062514</v>
      </c>
      <c r="C1144" t="str">
        <f t="shared" si="94"/>
        <v>80959</v>
      </c>
      <c r="D1144" t="s">
        <v>250</v>
      </c>
      <c r="E1144" s="1">
        <v>8651</v>
      </c>
      <c r="F1144">
        <v>20140625</v>
      </c>
      <c r="G1144" t="s">
        <v>257</v>
      </c>
      <c r="H1144" t="s">
        <v>334</v>
      </c>
      <c r="I1144" t="s">
        <v>29</v>
      </c>
    </row>
    <row r="1145" spans="1:9" x14ac:dyDescent="0.25">
      <c r="A1145">
        <v>20140625</v>
      </c>
      <c r="B1145" t="str">
        <f t="shared" si="96"/>
        <v>062514</v>
      </c>
      <c r="C1145" t="str">
        <f t="shared" si="94"/>
        <v>80959</v>
      </c>
      <c r="D1145" t="s">
        <v>250</v>
      </c>
      <c r="E1145" s="1">
        <v>187187.36</v>
      </c>
      <c r="F1145">
        <v>20140625</v>
      </c>
      <c r="G1145" t="s">
        <v>258</v>
      </c>
      <c r="H1145" t="s">
        <v>334</v>
      </c>
      <c r="I1145" t="s">
        <v>29</v>
      </c>
    </row>
    <row r="1146" spans="1:9" x14ac:dyDescent="0.25">
      <c r="A1146">
        <v>20140625</v>
      </c>
      <c r="B1146" t="str">
        <f t="shared" si="96"/>
        <v>062514</v>
      </c>
      <c r="C1146" t="str">
        <f t="shared" si="94"/>
        <v>80959</v>
      </c>
      <c r="D1146" t="s">
        <v>250</v>
      </c>
      <c r="E1146" s="1">
        <v>17598.79</v>
      </c>
      <c r="F1146">
        <v>20140625</v>
      </c>
      <c r="G1146" t="s">
        <v>259</v>
      </c>
      <c r="H1146" t="s">
        <v>334</v>
      </c>
      <c r="I1146" t="s">
        <v>29</v>
      </c>
    </row>
    <row r="1147" spans="1:9" x14ac:dyDescent="0.25">
      <c r="A1147">
        <v>20140625</v>
      </c>
      <c r="B1147" t="str">
        <f t="shared" si="96"/>
        <v>062514</v>
      </c>
      <c r="C1147" t="str">
        <f t="shared" si="94"/>
        <v>80959</v>
      </c>
      <c r="D1147" t="s">
        <v>250</v>
      </c>
      <c r="E1147" s="1">
        <v>30411.72</v>
      </c>
      <c r="F1147">
        <v>20140625</v>
      </c>
      <c r="G1147" t="s">
        <v>260</v>
      </c>
      <c r="H1147" t="s">
        <v>334</v>
      </c>
      <c r="I1147" t="s">
        <v>29</v>
      </c>
    </row>
    <row r="1148" spans="1:9" x14ac:dyDescent="0.25">
      <c r="A1148">
        <v>20140625</v>
      </c>
      <c r="B1148" t="str">
        <f t="shared" si="96"/>
        <v>062514</v>
      </c>
      <c r="C1148" t="str">
        <f t="shared" ref="C1148:C1179" si="97">"80959"</f>
        <v>80959</v>
      </c>
      <c r="D1148" t="s">
        <v>250</v>
      </c>
      <c r="E1148" s="1">
        <v>2597.4899999999998</v>
      </c>
      <c r="F1148">
        <v>20140625</v>
      </c>
      <c r="G1148" t="s">
        <v>261</v>
      </c>
      <c r="H1148" t="s">
        <v>334</v>
      </c>
      <c r="I1148" t="s">
        <v>29</v>
      </c>
    </row>
    <row r="1149" spans="1:9" x14ac:dyDescent="0.25">
      <c r="A1149">
        <v>20140625</v>
      </c>
      <c r="B1149" t="str">
        <f t="shared" si="96"/>
        <v>062514</v>
      </c>
      <c r="C1149" t="str">
        <f t="shared" si="97"/>
        <v>80959</v>
      </c>
      <c r="D1149" t="s">
        <v>250</v>
      </c>
      <c r="E1149" s="1">
        <v>14603.32</v>
      </c>
      <c r="F1149">
        <v>20140625</v>
      </c>
      <c r="G1149" t="s">
        <v>262</v>
      </c>
      <c r="H1149" t="s">
        <v>334</v>
      </c>
      <c r="I1149" t="s">
        <v>29</v>
      </c>
    </row>
    <row r="1150" spans="1:9" x14ac:dyDescent="0.25">
      <c r="A1150">
        <v>20140625</v>
      </c>
      <c r="B1150" t="str">
        <f t="shared" si="96"/>
        <v>062514</v>
      </c>
      <c r="C1150" t="str">
        <f t="shared" si="97"/>
        <v>80959</v>
      </c>
      <c r="D1150" t="s">
        <v>250</v>
      </c>
      <c r="E1150" s="1">
        <v>1108.8399999999999</v>
      </c>
      <c r="F1150">
        <v>20140625</v>
      </c>
      <c r="G1150" t="s">
        <v>263</v>
      </c>
      <c r="H1150" t="s">
        <v>334</v>
      </c>
      <c r="I1150" t="s">
        <v>29</v>
      </c>
    </row>
    <row r="1151" spans="1:9" x14ac:dyDescent="0.25">
      <c r="A1151">
        <v>20140625</v>
      </c>
      <c r="B1151" t="str">
        <f t="shared" si="96"/>
        <v>062514</v>
      </c>
      <c r="C1151" t="str">
        <f t="shared" si="97"/>
        <v>80959</v>
      </c>
      <c r="D1151" t="s">
        <v>250</v>
      </c>
      <c r="E1151" s="1">
        <v>4617.25</v>
      </c>
      <c r="F1151">
        <v>20140625</v>
      </c>
      <c r="G1151" t="s">
        <v>266</v>
      </c>
      <c r="H1151" t="s">
        <v>334</v>
      </c>
      <c r="I1151" t="s">
        <v>29</v>
      </c>
    </row>
    <row r="1152" spans="1:9" x14ac:dyDescent="0.25">
      <c r="A1152">
        <v>20140728</v>
      </c>
      <c r="B1152" t="str">
        <f t="shared" ref="B1152:B1166" si="98">"072014"</f>
        <v>072014</v>
      </c>
      <c r="C1152" t="str">
        <f t="shared" si="97"/>
        <v>80959</v>
      </c>
      <c r="D1152" t="s">
        <v>250</v>
      </c>
      <c r="E1152" s="1">
        <v>248159.11</v>
      </c>
      <c r="F1152">
        <v>20140728</v>
      </c>
      <c r="G1152" t="s">
        <v>251</v>
      </c>
      <c r="H1152" t="s">
        <v>334</v>
      </c>
      <c r="I1152" t="s">
        <v>29</v>
      </c>
    </row>
    <row r="1153" spans="1:9" x14ac:dyDescent="0.25">
      <c r="A1153">
        <v>20140728</v>
      </c>
      <c r="B1153" t="str">
        <f t="shared" si="98"/>
        <v>072014</v>
      </c>
      <c r="C1153" t="str">
        <f t="shared" si="97"/>
        <v>80959</v>
      </c>
      <c r="D1153" t="s">
        <v>250</v>
      </c>
      <c r="E1153" s="1">
        <v>36146.21</v>
      </c>
      <c r="F1153">
        <v>20140728</v>
      </c>
      <c r="G1153" t="s">
        <v>252</v>
      </c>
      <c r="H1153" t="s">
        <v>334</v>
      </c>
      <c r="I1153" t="s">
        <v>29</v>
      </c>
    </row>
    <row r="1154" spans="1:9" x14ac:dyDescent="0.25">
      <c r="A1154">
        <v>20140728</v>
      </c>
      <c r="B1154" t="str">
        <f t="shared" si="98"/>
        <v>072014</v>
      </c>
      <c r="C1154" t="str">
        <f t="shared" si="97"/>
        <v>80959</v>
      </c>
      <c r="D1154" t="s">
        <v>250</v>
      </c>
      <c r="E1154" s="1">
        <v>36146.21</v>
      </c>
      <c r="F1154">
        <v>20140728</v>
      </c>
      <c r="G1154" t="s">
        <v>253</v>
      </c>
      <c r="H1154" t="s">
        <v>334</v>
      </c>
      <c r="I1154" t="s">
        <v>29</v>
      </c>
    </row>
    <row r="1155" spans="1:9" x14ac:dyDescent="0.25">
      <c r="A1155">
        <v>20140728</v>
      </c>
      <c r="B1155" t="str">
        <f t="shared" si="98"/>
        <v>072014</v>
      </c>
      <c r="C1155" t="str">
        <f t="shared" si="97"/>
        <v>80959</v>
      </c>
      <c r="D1155" t="s">
        <v>250</v>
      </c>
      <c r="E1155" s="1">
        <v>147474</v>
      </c>
      <c r="F1155">
        <v>20140728</v>
      </c>
      <c r="G1155" t="s">
        <v>92</v>
      </c>
      <c r="H1155" t="s">
        <v>334</v>
      </c>
      <c r="I1155" t="s">
        <v>29</v>
      </c>
    </row>
    <row r="1156" spans="1:9" x14ac:dyDescent="0.25">
      <c r="A1156">
        <v>20140728</v>
      </c>
      <c r="B1156" t="str">
        <f t="shared" si="98"/>
        <v>072014</v>
      </c>
      <c r="C1156" t="str">
        <f t="shared" si="97"/>
        <v>80959</v>
      </c>
      <c r="D1156" t="s">
        <v>250</v>
      </c>
      <c r="E1156" s="1">
        <v>1245.24</v>
      </c>
      <c r="F1156">
        <v>20140728</v>
      </c>
      <c r="G1156" t="s">
        <v>254</v>
      </c>
      <c r="H1156" t="s">
        <v>334</v>
      </c>
      <c r="I1156" t="s">
        <v>29</v>
      </c>
    </row>
    <row r="1157" spans="1:9" x14ac:dyDescent="0.25">
      <c r="A1157">
        <v>20140728</v>
      </c>
      <c r="B1157" t="str">
        <f t="shared" si="98"/>
        <v>072014</v>
      </c>
      <c r="C1157" t="str">
        <f t="shared" si="97"/>
        <v>80959</v>
      </c>
      <c r="D1157" t="s">
        <v>250</v>
      </c>
      <c r="E1157" s="1">
        <v>1082.42</v>
      </c>
      <c r="F1157">
        <v>20140728</v>
      </c>
      <c r="G1157" t="s">
        <v>255</v>
      </c>
      <c r="H1157" t="s">
        <v>334</v>
      </c>
      <c r="I1157" t="s">
        <v>29</v>
      </c>
    </row>
    <row r="1158" spans="1:9" x14ac:dyDescent="0.25">
      <c r="A1158">
        <v>20140728</v>
      </c>
      <c r="B1158" t="str">
        <f t="shared" si="98"/>
        <v>072014</v>
      </c>
      <c r="C1158" t="str">
        <f t="shared" si="97"/>
        <v>80959</v>
      </c>
      <c r="D1158" t="s">
        <v>250</v>
      </c>
      <c r="E1158" s="1">
        <v>129693</v>
      </c>
      <c r="F1158">
        <v>20140728</v>
      </c>
      <c r="G1158" t="s">
        <v>256</v>
      </c>
      <c r="H1158" t="s">
        <v>334</v>
      </c>
      <c r="I1158" t="s">
        <v>29</v>
      </c>
    </row>
    <row r="1159" spans="1:9" x14ac:dyDescent="0.25">
      <c r="A1159">
        <v>20140728</v>
      </c>
      <c r="B1159" t="str">
        <f t="shared" si="98"/>
        <v>072014</v>
      </c>
      <c r="C1159" t="str">
        <f t="shared" si="97"/>
        <v>80959</v>
      </c>
      <c r="D1159" t="s">
        <v>250</v>
      </c>
      <c r="E1159" s="1">
        <v>8651</v>
      </c>
      <c r="F1159">
        <v>20140728</v>
      </c>
      <c r="G1159" t="s">
        <v>257</v>
      </c>
      <c r="H1159" t="s">
        <v>334</v>
      </c>
      <c r="I1159" t="s">
        <v>29</v>
      </c>
    </row>
    <row r="1160" spans="1:9" x14ac:dyDescent="0.25">
      <c r="A1160">
        <v>20140728</v>
      </c>
      <c r="B1160" t="str">
        <f t="shared" si="98"/>
        <v>072014</v>
      </c>
      <c r="C1160" t="str">
        <f t="shared" si="97"/>
        <v>80959</v>
      </c>
      <c r="D1160" t="s">
        <v>250</v>
      </c>
      <c r="E1160" s="1">
        <v>186914.96</v>
      </c>
      <c r="F1160">
        <v>20140728</v>
      </c>
      <c r="G1160" t="s">
        <v>258</v>
      </c>
      <c r="H1160" t="s">
        <v>334</v>
      </c>
      <c r="I1160" t="s">
        <v>29</v>
      </c>
    </row>
    <row r="1161" spans="1:9" x14ac:dyDescent="0.25">
      <c r="A1161">
        <v>20140728</v>
      </c>
      <c r="B1161" t="str">
        <f t="shared" si="98"/>
        <v>072014</v>
      </c>
      <c r="C1161" t="str">
        <f t="shared" si="97"/>
        <v>80959</v>
      </c>
      <c r="D1161" t="s">
        <v>250</v>
      </c>
      <c r="E1161" s="1">
        <v>23591.19</v>
      </c>
      <c r="F1161">
        <v>20140728</v>
      </c>
      <c r="G1161" t="s">
        <v>259</v>
      </c>
      <c r="H1161" t="s">
        <v>334</v>
      </c>
      <c r="I1161" t="s">
        <v>29</v>
      </c>
    </row>
    <row r="1162" spans="1:9" x14ac:dyDescent="0.25">
      <c r="A1162">
        <v>20140728</v>
      </c>
      <c r="B1162" t="str">
        <f t="shared" si="98"/>
        <v>072014</v>
      </c>
      <c r="C1162" t="str">
        <f t="shared" si="97"/>
        <v>80959</v>
      </c>
      <c r="D1162" t="s">
        <v>250</v>
      </c>
      <c r="E1162" s="1">
        <v>30585.32</v>
      </c>
      <c r="F1162">
        <v>20140728</v>
      </c>
      <c r="G1162" t="s">
        <v>260</v>
      </c>
      <c r="H1162" t="s">
        <v>334</v>
      </c>
      <c r="I1162" t="s">
        <v>29</v>
      </c>
    </row>
    <row r="1163" spans="1:9" x14ac:dyDescent="0.25">
      <c r="A1163">
        <v>20140728</v>
      </c>
      <c r="B1163" t="str">
        <f t="shared" si="98"/>
        <v>072014</v>
      </c>
      <c r="C1163" t="str">
        <f t="shared" si="97"/>
        <v>80959</v>
      </c>
      <c r="D1163" t="s">
        <v>250</v>
      </c>
      <c r="E1163" s="1">
        <v>3469.37</v>
      </c>
      <c r="F1163">
        <v>20140728</v>
      </c>
      <c r="G1163" t="s">
        <v>261</v>
      </c>
      <c r="H1163" t="s">
        <v>334</v>
      </c>
      <c r="I1163" t="s">
        <v>29</v>
      </c>
    </row>
    <row r="1164" spans="1:9" x14ac:dyDescent="0.25">
      <c r="A1164">
        <v>20140728</v>
      </c>
      <c r="B1164" t="str">
        <f t="shared" si="98"/>
        <v>072014</v>
      </c>
      <c r="C1164" t="str">
        <f t="shared" si="97"/>
        <v>80959</v>
      </c>
      <c r="D1164" t="s">
        <v>250</v>
      </c>
      <c r="E1164" s="1">
        <v>14582.06</v>
      </c>
      <c r="F1164">
        <v>20140728</v>
      </c>
      <c r="G1164" t="s">
        <v>262</v>
      </c>
      <c r="H1164" t="s">
        <v>334</v>
      </c>
      <c r="I1164" t="s">
        <v>29</v>
      </c>
    </row>
    <row r="1165" spans="1:9" x14ac:dyDescent="0.25">
      <c r="A1165">
        <v>20140728</v>
      </c>
      <c r="B1165" t="str">
        <f t="shared" si="98"/>
        <v>072014</v>
      </c>
      <c r="C1165" t="str">
        <f t="shared" si="97"/>
        <v>80959</v>
      </c>
      <c r="D1165" t="s">
        <v>250</v>
      </c>
      <c r="E1165" s="1">
        <v>1629.01</v>
      </c>
      <c r="F1165">
        <v>20140728</v>
      </c>
      <c r="G1165" t="s">
        <v>263</v>
      </c>
      <c r="H1165" t="s">
        <v>334</v>
      </c>
      <c r="I1165" t="s">
        <v>29</v>
      </c>
    </row>
    <row r="1166" spans="1:9" x14ac:dyDescent="0.25">
      <c r="A1166">
        <v>20140728</v>
      </c>
      <c r="B1166" t="str">
        <f t="shared" si="98"/>
        <v>072014</v>
      </c>
      <c r="C1166" t="str">
        <f t="shared" si="97"/>
        <v>80959</v>
      </c>
      <c r="D1166" t="s">
        <v>250</v>
      </c>
      <c r="E1166" s="1">
        <v>4588.01</v>
      </c>
      <c r="F1166">
        <v>20140728</v>
      </c>
      <c r="G1166" t="s">
        <v>266</v>
      </c>
      <c r="H1166" t="s">
        <v>334</v>
      </c>
      <c r="I1166" t="s">
        <v>29</v>
      </c>
    </row>
    <row r="1167" spans="1:9" x14ac:dyDescent="0.25">
      <c r="A1167">
        <v>20131003</v>
      </c>
      <c r="B1167" t="str">
        <f t="shared" ref="B1167:B1201" si="99">"102013"</f>
        <v>102013</v>
      </c>
      <c r="C1167" t="str">
        <f t="shared" si="97"/>
        <v>80959</v>
      </c>
      <c r="D1167" t="s">
        <v>250</v>
      </c>
      <c r="E1167" s="1">
        <v>243517.98</v>
      </c>
      <c r="F1167">
        <v>20131003</v>
      </c>
      <c r="G1167" t="s">
        <v>251</v>
      </c>
      <c r="H1167" t="s">
        <v>334</v>
      </c>
      <c r="I1167" t="s">
        <v>29</v>
      </c>
    </row>
    <row r="1168" spans="1:9" x14ac:dyDescent="0.25">
      <c r="A1168">
        <v>20131003</v>
      </c>
      <c r="B1168" t="str">
        <f t="shared" si="99"/>
        <v>102013</v>
      </c>
      <c r="C1168" t="str">
        <f t="shared" si="97"/>
        <v>80959</v>
      </c>
      <c r="D1168" t="s">
        <v>250</v>
      </c>
      <c r="E1168" s="1">
        <v>36410.07</v>
      </c>
      <c r="F1168">
        <v>20131003</v>
      </c>
      <c r="G1168" t="s">
        <v>252</v>
      </c>
      <c r="H1168" t="s">
        <v>334</v>
      </c>
      <c r="I1168" t="s">
        <v>29</v>
      </c>
    </row>
    <row r="1169" spans="1:9" x14ac:dyDescent="0.25">
      <c r="A1169">
        <v>20131003</v>
      </c>
      <c r="B1169" t="str">
        <f t="shared" si="99"/>
        <v>102013</v>
      </c>
      <c r="C1169" t="str">
        <f t="shared" si="97"/>
        <v>80959</v>
      </c>
      <c r="D1169" t="s">
        <v>250</v>
      </c>
      <c r="E1169" s="1">
        <v>36410.160000000003</v>
      </c>
      <c r="F1169">
        <v>20131003</v>
      </c>
      <c r="G1169" t="s">
        <v>253</v>
      </c>
      <c r="H1169" t="s">
        <v>334</v>
      </c>
      <c r="I1169" t="s">
        <v>29</v>
      </c>
    </row>
    <row r="1170" spans="1:9" x14ac:dyDescent="0.25">
      <c r="A1170">
        <v>20131003</v>
      </c>
      <c r="B1170" t="str">
        <f t="shared" si="99"/>
        <v>102013</v>
      </c>
      <c r="C1170" t="str">
        <f t="shared" si="97"/>
        <v>80959</v>
      </c>
      <c r="D1170" t="s">
        <v>250</v>
      </c>
      <c r="E1170" s="1">
        <v>142643</v>
      </c>
      <c r="F1170">
        <v>20131003</v>
      </c>
      <c r="G1170" t="s">
        <v>92</v>
      </c>
      <c r="H1170" t="s">
        <v>334</v>
      </c>
      <c r="I1170" t="s">
        <v>29</v>
      </c>
    </row>
    <row r="1171" spans="1:9" x14ac:dyDescent="0.25">
      <c r="A1171">
        <v>20131003</v>
      </c>
      <c r="B1171" t="str">
        <f t="shared" si="99"/>
        <v>102013</v>
      </c>
      <c r="C1171" t="str">
        <f t="shared" si="97"/>
        <v>80959</v>
      </c>
      <c r="D1171" t="s">
        <v>250</v>
      </c>
      <c r="E1171" s="1">
        <v>1245.24</v>
      </c>
      <c r="F1171">
        <v>20131003</v>
      </c>
      <c r="G1171" t="s">
        <v>254</v>
      </c>
      <c r="H1171" t="s">
        <v>334</v>
      </c>
      <c r="I1171" t="s">
        <v>29</v>
      </c>
    </row>
    <row r="1172" spans="1:9" x14ac:dyDescent="0.25">
      <c r="A1172">
        <v>20131003</v>
      </c>
      <c r="B1172" t="str">
        <f t="shared" si="99"/>
        <v>102013</v>
      </c>
      <c r="C1172" t="str">
        <f t="shared" si="97"/>
        <v>80959</v>
      </c>
      <c r="D1172" t="s">
        <v>250</v>
      </c>
      <c r="E1172" s="1">
        <v>1082.42</v>
      </c>
      <c r="F1172">
        <v>20131003</v>
      </c>
      <c r="G1172" t="s">
        <v>255</v>
      </c>
      <c r="H1172" t="s">
        <v>334</v>
      </c>
      <c r="I1172" t="s">
        <v>29</v>
      </c>
    </row>
    <row r="1173" spans="1:9" x14ac:dyDescent="0.25">
      <c r="A1173">
        <v>20131003</v>
      </c>
      <c r="B1173" t="str">
        <f t="shared" si="99"/>
        <v>102013</v>
      </c>
      <c r="C1173" t="str">
        <f t="shared" si="97"/>
        <v>80959</v>
      </c>
      <c r="D1173" t="s">
        <v>250</v>
      </c>
      <c r="E1173" s="1">
        <v>134697</v>
      </c>
      <c r="F1173">
        <v>20131003</v>
      </c>
      <c r="G1173" t="s">
        <v>256</v>
      </c>
      <c r="H1173" t="s">
        <v>334</v>
      </c>
      <c r="I1173" t="s">
        <v>29</v>
      </c>
    </row>
    <row r="1174" spans="1:9" x14ac:dyDescent="0.25">
      <c r="A1174">
        <v>20131003</v>
      </c>
      <c r="B1174" t="str">
        <f t="shared" si="99"/>
        <v>102013</v>
      </c>
      <c r="C1174" t="str">
        <f t="shared" si="97"/>
        <v>80959</v>
      </c>
      <c r="D1174" t="s">
        <v>250</v>
      </c>
      <c r="E1174" s="1">
        <v>10243</v>
      </c>
      <c r="F1174">
        <v>20131003</v>
      </c>
      <c r="G1174" t="s">
        <v>257</v>
      </c>
      <c r="H1174" t="s">
        <v>334</v>
      </c>
      <c r="I1174" t="s">
        <v>29</v>
      </c>
    </row>
    <row r="1175" spans="1:9" x14ac:dyDescent="0.25">
      <c r="A1175">
        <v>20131003</v>
      </c>
      <c r="B1175" t="str">
        <f t="shared" si="99"/>
        <v>102013</v>
      </c>
      <c r="C1175" t="str">
        <f t="shared" si="97"/>
        <v>80959</v>
      </c>
      <c r="D1175" t="s">
        <v>250</v>
      </c>
      <c r="E1175" s="1">
        <v>185274.02</v>
      </c>
      <c r="F1175">
        <v>20131003</v>
      </c>
      <c r="G1175" t="s">
        <v>258</v>
      </c>
      <c r="H1175" t="s">
        <v>334</v>
      </c>
      <c r="I1175" t="s">
        <v>29</v>
      </c>
    </row>
    <row r="1176" spans="1:9" x14ac:dyDescent="0.25">
      <c r="A1176">
        <v>20131003</v>
      </c>
      <c r="B1176" t="str">
        <f t="shared" si="99"/>
        <v>102013</v>
      </c>
      <c r="C1176" t="str">
        <f t="shared" si="97"/>
        <v>80959</v>
      </c>
      <c r="D1176" t="s">
        <v>250</v>
      </c>
      <c r="E1176" s="1">
        <v>16911.53</v>
      </c>
      <c r="F1176">
        <v>20131003</v>
      </c>
      <c r="G1176" t="s">
        <v>259</v>
      </c>
      <c r="H1176" t="s">
        <v>334</v>
      </c>
      <c r="I1176" t="s">
        <v>29</v>
      </c>
    </row>
    <row r="1177" spans="1:9" x14ac:dyDescent="0.25">
      <c r="A1177">
        <v>20131003</v>
      </c>
      <c r="B1177" t="str">
        <f t="shared" si="99"/>
        <v>102013</v>
      </c>
      <c r="C1177" t="str">
        <f t="shared" si="97"/>
        <v>80959</v>
      </c>
      <c r="D1177" t="s">
        <v>250</v>
      </c>
      <c r="E1177" s="1">
        <v>27913.31</v>
      </c>
      <c r="F1177">
        <v>20131003</v>
      </c>
      <c r="G1177" t="s">
        <v>260</v>
      </c>
      <c r="H1177" t="s">
        <v>334</v>
      </c>
      <c r="I1177" t="s">
        <v>29</v>
      </c>
    </row>
    <row r="1178" spans="1:9" x14ac:dyDescent="0.25">
      <c r="A1178">
        <v>20131003</v>
      </c>
      <c r="B1178" t="str">
        <f t="shared" si="99"/>
        <v>102013</v>
      </c>
      <c r="C1178" t="str">
        <f t="shared" si="97"/>
        <v>80959</v>
      </c>
      <c r="D1178" t="s">
        <v>250</v>
      </c>
      <c r="E1178" s="1">
        <v>2583.42</v>
      </c>
      <c r="F1178">
        <v>20131003</v>
      </c>
      <c r="G1178" t="s">
        <v>261</v>
      </c>
      <c r="H1178" t="s">
        <v>334</v>
      </c>
      <c r="I1178" t="s">
        <v>29</v>
      </c>
    </row>
    <row r="1179" spans="1:9" x14ac:dyDescent="0.25">
      <c r="A1179">
        <v>20131003</v>
      </c>
      <c r="B1179" t="str">
        <f t="shared" si="99"/>
        <v>102013</v>
      </c>
      <c r="C1179" t="str">
        <f t="shared" si="97"/>
        <v>80959</v>
      </c>
      <c r="D1179" t="s">
        <v>250</v>
      </c>
      <c r="E1179" s="1">
        <v>14454.04</v>
      </c>
      <c r="F1179">
        <v>20131003</v>
      </c>
      <c r="G1179" t="s">
        <v>262</v>
      </c>
      <c r="H1179" t="s">
        <v>334</v>
      </c>
      <c r="I1179" t="s">
        <v>29</v>
      </c>
    </row>
    <row r="1180" spans="1:9" x14ac:dyDescent="0.25">
      <c r="A1180">
        <v>20131003</v>
      </c>
      <c r="B1180" t="str">
        <f t="shared" si="99"/>
        <v>102013</v>
      </c>
      <c r="C1180" t="str">
        <f t="shared" ref="C1180:C1201" si="100">"80959"</f>
        <v>80959</v>
      </c>
      <c r="D1180" t="s">
        <v>250</v>
      </c>
      <c r="E1180" s="1">
        <v>10802.27</v>
      </c>
      <c r="F1180">
        <v>20131003</v>
      </c>
      <c r="G1180" t="s">
        <v>263</v>
      </c>
      <c r="H1180" t="s">
        <v>334</v>
      </c>
      <c r="I1180" t="s">
        <v>29</v>
      </c>
    </row>
    <row r="1181" spans="1:9" x14ac:dyDescent="0.25">
      <c r="A1181">
        <v>20131003</v>
      </c>
      <c r="B1181" t="str">
        <f t="shared" si="99"/>
        <v>102013</v>
      </c>
      <c r="C1181" t="str">
        <f t="shared" si="100"/>
        <v>80959</v>
      </c>
      <c r="D1181" t="s">
        <v>250</v>
      </c>
      <c r="E1181" s="1">
        <v>2869.36</v>
      </c>
      <c r="F1181">
        <v>20131003</v>
      </c>
      <c r="G1181" t="s">
        <v>264</v>
      </c>
      <c r="H1181" t="s">
        <v>334</v>
      </c>
      <c r="I1181" t="s">
        <v>29</v>
      </c>
    </row>
    <row r="1182" spans="1:9" x14ac:dyDescent="0.25">
      <c r="A1182">
        <v>20131003</v>
      </c>
      <c r="B1182" t="str">
        <f t="shared" si="99"/>
        <v>102013</v>
      </c>
      <c r="C1182" t="str">
        <f t="shared" si="100"/>
        <v>80959</v>
      </c>
      <c r="D1182" t="s">
        <v>250</v>
      </c>
      <c r="E1182" s="1">
        <v>1716</v>
      </c>
      <c r="F1182">
        <v>20131003</v>
      </c>
      <c r="G1182" t="s">
        <v>265</v>
      </c>
      <c r="H1182" t="s">
        <v>334</v>
      </c>
      <c r="I1182" t="s">
        <v>29</v>
      </c>
    </row>
    <row r="1183" spans="1:9" x14ac:dyDescent="0.25">
      <c r="A1183">
        <v>20131003</v>
      </c>
      <c r="B1183" t="str">
        <f t="shared" si="99"/>
        <v>102013</v>
      </c>
      <c r="C1183" t="str">
        <f t="shared" si="100"/>
        <v>80959</v>
      </c>
      <c r="D1183" t="s">
        <v>250</v>
      </c>
      <c r="E1183" s="1">
        <v>5831.54</v>
      </c>
      <c r="F1183">
        <v>20131003</v>
      </c>
      <c r="G1183" t="s">
        <v>266</v>
      </c>
      <c r="H1183" t="s">
        <v>334</v>
      </c>
      <c r="I1183" t="s">
        <v>29</v>
      </c>
    </row>
    <row r="1184" spans="1:9" x14ac:dyDescent="0.25">
      <c r="A1184">
        <v>20131029</v>
      </c>
      <c r="B1184" t="str">
        <f t="shared" si="99"/>
        <v>102013</v>
      </c>
      <c r="C1184" t="str">
        <f t="shared" si="100"/>
        <v>80959</v>
      </c>
      <c r="D1184" t="s">
        <v>250</v>
      </c>
      <c r="E1184" s="1">
        <v>245275.97</v>
      </c>
      <c r="F1184">
        <v>20131029</v>
      </c>
      <c r="G1184" t="s">
        <v>251</v>
      </c>
      <c r="H1184" t="s">
        <v>334</v>
      </c>
      <c r="I1184" t="s">
        <v>29</v>
      </c>
    </row>
    <row r="1185" spans="1:9" x14ac:dyDescent="0.25">
      <c r="A1185">
        <v>20131029</v>
      </c>
      <c r="B1185" t="str">
        <f t="shared" si="99"/>
        <v>102013</v>
      </c>
      <c r="C1185" t="str">
        <f t="shared" si="100"/>
        <v>80959</v>
      </c>
      <c r="D1185" t="s">
        <v>250</v>
      </c>
      <c r="E1185" s="1">
        <v>37513.879999999997</v>
      </c>
      <c r="F1185">
        <v>20131029</v>
      </c>
      <c r="G1185" t="s">
        <v>252</v>
      </c>
      <c r="H1185" t="s">
        <v>334</v>
      </c>
      <c r="I1185" t="s">
        <v>29</v>
      </c>
    </row>
    <row r="1186" spans="1:9" x14ac:dyDescent="0.25">
      <c r="A1186">
        <v>20131029</v>
      </c>
      <c r="B1186" t="str">
        <f t="shared" si="99"/>
        <v>102013</v>
      </c>
      <c r="C1186" t="str">
        <f t="shared" si="100"/>
        <v>80959</v>
      </c>
      <c r="D1186" t="s">
        <v>250</v>
      </c>
      <c r="E1186" s="1">
        <v>37513.9</v>
      </c>
      <c r="F1186">
        <v>20131029</v>
      </c>
      <c r="G1186" t="s">
        <v>253</v>
      </c>
      <c r="H1186" t="s">
        <v>334</v>
      </c>
      <c r="I1186" t="s">
        <v>29</v>
      </c>
    </row>
    <row r="1187" spans="1:9" x14ac:dyDescent="0.25">
      <c r="A1187">
        <v>20131029</v>
      </c>
      <c r="B1187" t="str">
        <f t="shared" si="99"/>
        <v>102013</v>
      </c>
      <c r="C1187" t="str">
        <f t="shared" si="100"/>
        <v>80959</v>
      </c>
      <c r="D1187" t="s">
        <v>250</v>
      </c>
      <c r="E1187" s="1">
        <v>151861</v>
      </c>
      <c r="F1187">
        <v>20131029</v>
      </c>
      <c r="G1187" t="s">
        <v>92</v>
      </c>
      <c r="H1187" t="s">
        <v>334</v>
      </c>
      <c r="I1187" t="s">
        <v>29</v>
      </c>
    </row>
    <row r="1188" spans="1:9" x14ac:dyDescent="0.25">
      <c r="A1188">
        <v>20131029</v>
      </c>
      <c r="B1188" t="str">
        <f t="shared" si="99"/>
        <v>102013</v>
      </c>
      <c r="C1188" t="str">
        <f t="shared" si="100"/>
        <v>80959</v>
      </c>
      <c r="D1188" t="s">
        <v>250</v>
      </c>
      <c r="E1188" s="1">
        <v>1245.24</v>
      </c>
      <c r="F1188">
        <v>20131029</v>
      </c>
      <c r="G1188" t="s">
        <v>254</v>
      </c>
      <c r="H1188" t="s">
        <v>334</v>
      </c>
      <c r="I1188" t="s">
        <v>29</v>
      </c>
    </row>
    <row r="1189" spans="1:9" x14ac:dyDescent="0.25">
      <c r="A1189">
        <v>20131029</v>
      </c>
      <c r="B1189" t="str">
        <f t="shared" si="99"/>
        <v>102013</v>
      </c>
      <c r="C1189" t="str">
        <f t="shared" si="100"/>
        <v>80959</v>
      </c>
      <c r="D1189" t="s">
        <v>250</v>
      </c>
      <c r="E1189" s="1">
        <v>1082.42</v>
      </c>
      <c r="F1189">
        <v>20131029</v>
      </c>
      <c r="G1189" t="s">
        <v>255</v>
      </c>
      <c r="H1189" t="s">
        <v>334</v>
      </c>
      <c r="I1189" t="s">
        <v>29</v>
      </c>
    </row>
    <row r="1190" spans="1:9" x14ac:dyDescent="0.25">
      <c r="A1190">
        <v>20131029</v>
      </c>
      <c r="B1190" t="str">
        <f t="shared" si="99"/>
        <v>102013</v>
      </c>
      <c r="C1190" t="str">
        <f t="shared" si="100"/>
        <v>80959</v>
      </c>
      <c r="D1190" t="s">
        <v>250</v>
      </c>
      <c r="E1190">
        <v>202</v>
      </c>
      <c r="F1190">
        <v>20131029</v>
      </c>
      <c r="G1190" t="s">
        <v>335</v>
      </c>
      <c r="H1190" t="s">
        <v>334</v>
      </c>
      <c r="I1190" t="s">
        <v>29</v>
      </c>
    </row>
    <row r="1191" spans="1:9" x14ac:dyDescent="0.25">
      <c r="A1191">
        <v>20131029</v>
      </c>
      <c r="B1191" t="str">
        <f t="shared" si="99"/>
        <v>102013</v>
      </c>
      <c r="C1191" t="str">
        <f t="shared" si="100"/>
        <v>80959</v>
      </c>
      <c r="D1191" t="s">
        <v>250</v>
      </c>
      <c r="E1191" s="1">
        <v>140300</v>
      </c>
      <c r="F1191">
        <v>20131029</v>
      </c>
      <c r="G1191" t="s">
        <v>256</v>
      </c>
      <c r="H1191" t="s">
        <v>334</v>
      </c>
      <c r="I1191" t="s">
        <v>29</v>
      </c>
    </row>
    <row r="1192" spans="1:9" x14ac:dyDescent="0.25">
      <c r="A1192">
        <v>20131029</v>
      </c>
      <c r="B1192" t="str">
        <f t="shared" si="99"/>
        <v>102013</v>
      </c>
      <c r="C1192" t="str">
        <f t="shared" si="100"/>
        <v>80959</v>
      </c>
      <c r="D1192" t="s">
        <v>250</v>
      </c>
      <c r="E1192" s="1">
        <v>10243</v>
      </c>
      <c r="F1192">
        <v>20131029</v>
      </c>
      <c r="G1192" t="s">
        <v>257</v>
      </c>
      <c r="H1192" t="s">
        <v>334</v>
      </c>
      <c r="I1192" t="s">
        <v>29</v>
      </c>
    </row>
    <row r="1193" spans="1:9" x14ac:dyDescent="0.25">
      <c r="A1193">
        <v>20131029</v>
      </c>
      <c r="B1193" t="str">
        <f t="shared" si="99"/>
        <v>102013</v>
      </c>
      <c r="C1193" t="str">
        <f t="shared" si="100"/>
        <v>80959</v>
      </c>
      <c r="D1193" t="s">
        <v>250</v>
      </c>
      <c r="E1193" s="1">
        <v>185975.12</v>
      </c>
      <c r="F1193">
        <v>20131029</v>
      </c>
      <c r="G1193" t="s">
        <v>258</v>
      </c>
      <c r="H1193" t="s">
        <v>334</v>
      </c>
      <c r="I1193" t="s">
        <v>29</v>
      </c>
    </row>
    <row r="1194" spans="1:9" x14ac:dyDescent="0.25">
      <c r="A1194">
        <v>20131029</v>
      </c>
      <c r="B1194" t="str">
        <f t="shared" si="99"/>
        <v>102013</v>
      </c>
      <c r="C1194" t="str">
        <f t="shared" si="100"/>
        <v>80959</v>
      </c>
      <c r="D1194" t="s">
        <v>250</v>
      </c>
      <c r="E1194" s="1">
        <v>16494.79</v>
      </c>
      <c r="F1194">
        <v>20131029</v>
      </c>
      <c r="G1194" t="s">
        <v>259</v>
      </c>
      <c r="H1194" t="s">
        <v>334</v>
      </c>
      <c r="I1194" t="s">
        <v>29</v>
      </c>
    </row>
    <row r="1195" spans="1:9" x14ac:dyDescent="0.25">
      <c r="A1195">
        <v>20131029</v>
      </c>
      <c r="B1195" t="str">
        <f t="shared" si="99"/>
        <v>102013</v>
      </c>
      <c r="C1195" t="str">
        <f t="shared" si="100"/>
        <v>80959</v>
      </c>
      <c r="D1195" t="s">
        <v>250</v>
      </c>
      <c r="E1195" s="1">
        <v>27857.89</v>
      </c>
      <c r="F1195">
        <v>20131029</v>
      </c>
      <c r="G1195" t="s">
        <v>260</v>
      </c>
      <c r="H1195" t="s">
        <v>334</v>
      </c>
      <c r="I1195" t="s">
        <v>29</v>
      </c>
    </row>
    <row r="1196" spans="1:9" x14ac:dyDescent="0.25">
      <c r="A1196">
        <v>20131029</v>
      </c>
      <c r="B1196" t="str">
        <f t="shared" si="99"/>
        <v>102013</v>
      </c>
      <c r="C1196" t="str">
        <f t="shared" si="100"/>
        <v>80959</v>
      </c>
      <c r="D1196" t="s">
        <v>250</v>
      </c>
      <c r="E1196" s="1">
        <v>2519.4699999999998</v>
      </c>
      <c r="F1196">
        <v>20131029</v>
      </c>
      <c r="G1196" t="s">
        <v>261</v>
      </c>
      <c r="H1196" t="s">
        <v>334</v>
      </c>
      <c r="I1196" t="s">
        <v>29</v>
      </c>
    </row>
    <row r="1197" spans="1:9" x14ac:dyDescent="0.25">
      <c r="A1197">
        <v>20131029</v>
      </c>
      <c r="B1197" t="str">
        <f t="shared" si="99"/>
        <v>102013</v>
      </c>
      <c r="C1197" t="str">
        <f t="shared" si="100"/>
        <v>80959</v>
      </c>
      <c r="D1197" t="s">
        <v>250</v>
      </c>
      <c r="E1197" s="1">
        <v>14508.72</v>
      </c>
      <c r="F1197">
        <v>20131029</v>
      </c>
      <c r="G1197" t="s">
        <v>262</v>
      </c>
      <c r="H1197" t="s">
        <v>334</v>
      </c>
      <c r="I1197" t="s">
        <v>29</v>
      </c>
    </row>
    <row r="1198" spans="1:9" x14ac:dyDescent="0.25">
      <c r="A1198">
        <v>20131029</v>
      </c>
      <c r="B1198" t="str">
        <f t="shared" si="99"/>
        <v>102013</v>
      </c>
      <c r="C1198" t="str">
        <f t="shared" si="100"/>
        <v>80959</v>
      </c>
      <c r="D1198" t="s">
        <v>250</v>
      </c>
      <c r="E1198" s="1">
        <v>11259.5</v>
      </c>
      <c r="F1198">
        <v>20131029</v>
      </c>
      <c r="G1198" t="s">
        <v>263</v>
      </c>
      <c r="H1198" t="s">
        <v>334</v>
      </c>
      <c r="I1198" t="s">
        <v>29</v>
      </c>
    </row>
    <row r="1199" spans="1:9" x14ac:dyDescent="0.25">
      <c r="A1199">
        <v>20131029</v>
      </c>
      <c r="B1199" t="str">
        <f t="shared" si="99"/>
        <v>102013</v>
      </c>
      <c r="C1199" t="str">
        <f t="shared" si="100"/>
        <v>80959</v>
      </c>
      <c r="D1199" t="s">
        <v>250</v>
      </c>
      <c r="E1199" s="1">
        <v>2923.7</v>
      </c>
      <c r="F1199">
        <v>20131029</v>
      </c>
      <c r="G1199" t="s">
        <v>264</v>
      </c>
      <c r="H1199" t="s">
        <v>334</v>
      </c>
      <c r="I1199" t="s">
        <v>29</v>
      </c>
    </row>
    <row r="1200" spans="1:9" x14ac:dyDescent="0.25">
      <c r="A1200">
        <v>20131029</v>
      </c>
      <c r="B1200" t="str">
        <f t="shared" si="99"/>
        <v>102013</v>
      </c>
      <c r="C1200" t="str">
        <f t="shared" si="100"/>
        <v>80959</v>
      </c>
      <c r="D1200" t="s">
        <v>250</v>
      </c>
      <c r="E1200" s="1">
        <v>1716</v>
      </c>
      <c r="F1200">
        <v>20131029</v>
      </c>
      <c r="G1200" t="s">
        <v>265</v>
      </c>
      <c r="H1200" t="s">
        <v>334</v>
      </c>
      <c r="I1200" t="s">
        <v>29</v>
      </c>
    </row>
    <row r="1201" spans="1:9" x14ac:dyDescent="0.25">
      <c r="A1201">
        <v>20131029</v>
      </c>
      <c r="B1201" t="str">
        <f t="shared" si="99"/>
        <v>102013</v>
      </c>
      <c r="C1201" t="str">
        <f t="shared" si="100"/>
        <v>80959</v>
      </c>
      <c r="D1201" t="s">
        <v>250</v>
      </c>
      <c r="E1201" s="1">
        <v>6431.46</v>
      </c>
      <c r="F1201">
        <v>20131029</v>
      </c>
      <c r="G1201" t="s">
        <v>266</v>
      </c>
      <c r="H1201" t="s">
        <v>334</v>
      </c>
      <c r="I1201" t="s">
        <v>29</v>
      </c>
    </row>
    <row r="1202" spans="1:9" x14ac:dyDescent="0.25">
      <c r="A1202">
        <v>20130905</v>
      </c>
      <c r="B1202" t="str">
        <f>"111440"</f>
        <v>111440</v>
      </c>
      <c r="C1202" t="str">
        <f>"00120"</f>
        <v>00120</v>
      </c>
      <c r="D1202" t="s">
        <v>336</v>
      </c>
      <c r="E1202">
        <v>248.2</v>
      </c>
      <c r="F1202">
        <v>20130904</v>
      </c>
      <c r="G1202" t="s">
        <v>337</v>
      </c>
      <c r="H1202" t="s">
        <v>338</v>
      </c>
      <c r="I1202" t="s">
        <v>21</v>
      </c>
    </row>
    <row r="1203" spans="1:9" x14ac:dyDescent="0.25">
      <c r="A1203">
        <v>20130905</v>
      </c>
      <c r="B1203" t="str">
        <f>"111440"</f>
        <v>111440</v>
      </c>
      <c r="C1203" t="str">
        <f>"00120"</f>
        <v>00120</v>
      </c>
      <c r="D1203" t="s">
        <v>336</v>
      </c>
      <c r="E1203">
        <v>103.5</v>
      </c>
      <c r="F1203">
        <v>20130904</v>
      </c>
      <c r="G1203" t="s">
        <v>337</v>
      </c>
      <c r="H1203" t="s">
        <v>338</v>
      </c>
      <c r="I1203" t="s">
        <v>21</v>
      </c>
    </row>
    <row r="1204" spans="1:9" x14ac:dyDescent="0.25">
      <c r="A1204">
        <v>20130905</v>
      </c>
      <c r="B1204" t="str">
        <f>"111440"</f>
        <v>111440</v>
      </c>
      <c r="C1204" t="str">
        <f>"00120"</f>
        <v>00120</v>
      </c>
      <c r="D1204" t="s">
        <v>336</v>
      </c>
      <c r="E1204">
        <v>128.24</v>
      </c>
      <c r="F1204">
        <v>20130904</v>
      </c>
      <c r="G1204" t="s">
        <v>337</v>
      </c>
      <c r="H1204" t="s">
        <v>338</v>
      </c>
      <c r="I1204" t="s">
        <v>21</v>
      </c>
    </row>
    <row r="1205" spans="1:9" x14ac:dyDescent="0.25">
      <c r="A1205">
        <v>20130905</v>
      </c>
      <c r="B1205" t="str">
        <f>"111441"</f>
        <v>111441</v>
      </c>
      <c r="C1205" t="str">
        <f>"87476"</f>
        <v>87476</v>
      </c>
      <c r="D1205" t="s">
        <v>339</v>
      </c>
      <c r="E1205" s="1">
        <v>6500</v>
      </c>
      <c r="F1205">
        <v>20130905</v>
      </c>
      <c r="G1205" t="s">
        <v>340</v>
      </c>
      <c r="H1205" t="s">
        <v>341</v>
      </c>
      <c r="I1205" t="s">
        <v>21</v>
      </c>
    </row>
    <row r="1206" spans="1:9" x14ac:dyDescent="0.25">
      <c r="A1206">
        <v>20130905</v>
      </c>
      <c r="B1206" t="str">
        <f>"111442"</f>
        <v>111442</v>
      </c>
      <c r="C1206" t="str">
        <f>"11851"</f>
        <v>11851</v>
      </c>
      <c r="D1206" t="s">
        <v>342</v>
      </c>
      <c r="E1206">
        <v>65</v>
      </c>
      <c r="F1206">
        <v>20130905</v>
      </c>
      <c r="G1206" t="s">
        <v>181</v>
      </c>
      <c r="H1206" t="s">
        <v>343</v>
      </c>
      <c r="I1206" t="s">
        <v>38</v>
      </c>
    </row>
    <row r="1207" spans="1:9" x14ac:dyDescent="0.25">
      <c r="A1207">
        <v>20130905</v>
      </c>
      <c r="B1207" t="str">
        <f>"111443"</f>
        <v>111443</v>
      </c>
      <c r="C1207" t="str">
        <f>"81923"</f>
        <v>81923</v>
      </c>
      <c r="D1207" t="s">
        <v>344</v>
      </c>
      <c r="E1207">
        <v>555.48</v>
      </c>
      <c r="F1207">
        <v>20130905</v>
      </c>
      <c r="G1207" t="s">
        <v>221</v>
      </c>
      <c r="H1207" t="s">
        <v>345</v>
      </c>
      <c r="I1207" t="s">
        <v>25</v>
      </c>
    </row>
    <row r="1208" spans="1:9" x14ac:dyDescent="0.25">
      <c r="A1208">
        <v>20130905</v>
      </c>
      <c r="B1208" t="str">
        <f>"111444"</f>
        <v>111444</v>
      </c>
      <c r="C1208" t="str">
        <f>"86448"</f>
        <v>86448</v>
      </c>
      <c r="D1208" t="s">
        <v>346</v>
      </c>
      <c r="E1208">
        <v>150</v>
      </c>
      <c r="F1208">
        <v>20130904</v>
      </c>
      <c r="G1208" t="s">
        <v>347</v>
      </c>
      <c r="H1208" t="s">
        <v>348</v>
      </c>
      <c r="I1208" t="s">
        <v>61</v>
      </c>
    </row>
    <row r="1209" spans="1:9" x14ac:dyDescent="0.25">
      <c r="A1209">
        <v>20130905</v>
      </c>
      <c r="B1209" t="str">
        <f>"111445"</f>
        <v>111445</v>
      </c>
      <c r="C1209" t="str">
        <f>"84398"</f>
        <v>84398</v>
      </c>
      <c r="D1209" t="s">
        <v>349</v>
      </c>
      <c r="E1209">
        <v>440</v>
      </c>
      <c r="F1209">
        <v>20130904</v>
      </c>
      <c r="G1209" t="s">
        <v>189</v>
      </c>
      <c r="H1209" t="s">
        <v>350</v>
      </c>
      <c r="I1209" t="s">
        <v>25</v>
      </c>
    </row>
    <row r="1210" spans="1:9" x14ac:dyDescent="0.25">
      <c r="A1210">
        <v>20130905</v>
      </c>
      <c r="B1210" t="str">
        <f>"111446"</f>
        <v>111446</v>
      </c>
      <c r="C1210" t="str">
        <f>"86378"</f>
        <v>86378</v>
      </c>
      <c r="D1210" t="s">
        <v>351</v>
      </c>
      <c r="E1210">
        <v>40.340000000000003</v>
      </c>
      <c r="F1210">
        <v>20130905</v>
      </c>
      <c r="G1210" t="s">
        <v>221</v>
      </c>
      <c r="H1210" t="s">
        <v>352</v>
      </c>
      <c r="I1210" t="s">
        <v>25</v>
      </c>
    </row>
    <row r="1211" spans="1:9" x14ac:dyDescent="0.25">
      <c r="A1211">
        <v>20130905</v>
      </c>
      <c r="B1211" t="str">
        <f>"111447"</f>
        <v>111447</v>
      </c>
      <c r="C1211" t="str">
        <f>"87474"</f>
        <v>87474</v>
      </c>
      <c r="D1211" t="s">
        <v>353</v>
      </c>
      <c r="E1211">
        <v>9.3000000000000007</v>
      </c>
      <c r="F1211">
        <v>20130905</v>
      </c>
      <c r="G1211" t="s">
        <v>271</v>
      </c>
      <c r="H1211" t="s">
        <v>354</v>
      </c>
      <c r="I1211" t="s">
        <v>25</v>
      </c>
    </row>
    <row r="1212" spans="1:9" x14ac:dyDescent="0.25">
      <c r="A1212">
        <v>20130905</v>
      </c>
      <c r="B1212" t="str">
        <f>"111448"</f>
        <v>111448</v>
      </c>
      <c r="C1212" t="str">
        <f>"87380"</f>
        <v>87380</v>
      </c>
      <c r="D1212" t="s">
        <v>355</v>
      </c>
      <c r="E1212">
        <v>215</v>
      </c>
      <c r="F1212">
        <v>20130904</v>
      </c>
      <c r="G1212" t="s">
        <v>356</v>
      </c>
      <c r="H1212" t="s">
        <v>357</v>
      </c>
      <c r="I1212" t="s">
        <v>61</v>
      </c>
    </row>
    <row r="1213" spans="1:9" x14ac:dyDescent="0.25">
      <c r="A1213">
        <v>20130905</v>
      </c>
      <c r="B1213" t="str">
        <f>"111448"</f>
        <v>111448</v>
      </c>
      <c r="C1213" t="str">
        <f>"87380"</f>
        <v>87380</v>
      </c>
      <c r="D1213" t="s">
        <v>355</v>
      </c>
      <c r="E1213">
        <v>-215</v>
      </c>
      <c r="F1213">
        <v>20131023</v>
      </c>
      <c r="G1213" t="s">
        <v>356</v>
      </c>
      <c r="H1213" t="s">
        <v>358</v>
      </c>
      <c r="I1213" t="s">
        <v>61</v>
      </c>
    </row>
    <row r="1214" spans="1:9" x14ac:dyDescent="0.25">
      <c r="A1214">
        <v>20130905</v>
      </c>
      <c r="B1214" t="str">
        <f>"111449"</f>
        <v>111449</v>
      </c>
      <c r="C1214" t="str">
        <f>"87380"</f>
        <v>87380</v>
      </c>
      <c r="D1214" t="s">
        <v>355</v>
      </c>
      <c r="E1214">
        <v>170</v>
      </c>
      <c r="F1214">
        <v>20130904</v>
      </c>
      <c r="G1214" t="s">
        <v>356</v>
      </c>
      <c r="H1214" t="s">
        <v>357</v>
      </c>
      <c r="I1214" t="s">
        <v>61</v>
      </c>
    </row>
    <row r="1215" spans="1:9" x14ac:dyDescent="0.25">
      <c r="A1215">
        <v>20130905</v>
      </c>
      <c r="B1215" t="str">
        <f>"111450"</f>
        <v>111450</v>
      </c>
      <c r="C1215" t="str">
        <f>"87475"</f>
        <v>87475</v>
      </c>
      <c r="D1215" t="s">
        <v>359</v>
      </c>
      <c r="E1215">
        <v>135</v>
      </c>
      <c r="F1215">
        <v>20130905</v>
      </c>
      <c r="G1215" t="s">
        <v>356</v>
      </c>
      <c r="H1215" t="s">
        <v>357</v>
      </c>
      <c r="I1215" t="s">
        <v>61</v>
      </c>
    </row>
    <row r="1216" spans="1:9" x14ac:dyDescent="0.25">
      <c r="A1216">
        <v>20130905</v>
      </c>
      <c r="B1216" t="str">
        <f>"111451"</f>
        <v>111451</v>
      </c>
      <c r="C1216" t="str">
        <f>"87477"</f>
        <v>87477</v>
      </c>
      <c r="D1216" t="s">
        <v>360</v>
      </c>
      <c r="E1216">
        <v>225</v>
      </c>
      <c r="F1216">
        <v>20130905</v>
      </c>
      <c r="G1216" t="s">
        <v>347</v>
      </c>
      <c r="H1216" t="s">
        <v>361</v>
      </c>
      <c r="I1216" t="s">
        <v>61</v>
      </c>
    </row>
    <row r="1217" spans="1:9" x14ac:dyDescent="0.25">
      <c r="A1217">
        <v>20130905</v>
      </c>
      <c r="B1217" t="str">
        <f>"111452"</f>
        <v>111452</v>
      </c>
      <c r="C1217" t="str">
        <f>"48530"</f>
        <v>48530</v>
      </c>
      <c r="D1217" t="s">
        <v>362</v>
      </c>
      <c r="E1217">
        <v>225</v>
      </c>
      <c r="F1217">
        <v>20130905</v>
      </c>
      <c r="G1217" t="s">
        <v>347</v>
      </c>
      <c r="H1217" t="s">
        <v>361</v>
      </c>
      <c r="I1217" t="s">
        <v>61</v>
      </c>
    </row>
    <row r="1218" spans="1:9" x14ac:dyDescent="0.25">
      <c r="A1218">
        <v>20130905</v>
      </c>
      <c r="B1218" t="str">
        <f>"111453"</f>
        <v>111453</v>
      </c>
      <c r="C1218" t="str">
        <f>"85770"</f>
        <v>85770</v>
      </c>
      <c r="D1218" t="s">
        <v>363</v>
      </c>
      <c r="E1218">
        <v>55.45</v>
      </c>
      <c r="F1218">
        <v>20130904</v>
      </c>
      <c r="G1218" t="s">
        <v>364</v>
      </c>
      <c r="H1218" t="s">
        <v>365</v>
      </c>
      <c r="I1218" t="s">
        <v>21</v>
      </c>
    </row>
    <row r="1219" spans="1:9" x14ac:dyDescent="0.25">
      <c r="A1219">
        <v>20130905</v>
      </c>
      <c r="B1219" t="str">
        <f>"111454"</f>
        <v>111454</v>
      </c>
      <c r="C1219" t="str">
        <f>"51000"</f>
        <v>51000</v>
      </c>
      <c r="D1219" t="s">
        <v>366</v>
      </c>
      <c r="E1219">
        <v>36.72</v>
      </c>
      <c r="F1219">
        <v>20130904</v>
      </c>
      <c r="G1219" t="s">
        <v>367</v>
      </c>
      <c r="H1219" t="s">
        <v>368</v>
      </c>
      <c r="I1219" t="s">
        <v>21</v>
      </c>
    </row>
    <row r="1220" spans="1:9" x14ac:dyDescent="0.25">
      <c r="A1220">
        <v>20130905</v>
      </c>
      <c r="B1220" t="str">
        <f>"111455"</f>
        <v>111455</v>
      </c>
      <c r="C1220" t="str">
        <f>"58458"</f>
        <v>58458</v>
      </c>
      <c r="D1220" t="s">
        <v>369</v>
      </c>
      <c r="E1220">
        <v>16</v>
      </c>
      <c r="F1220">
        <v>20130905</v>
      </c>
      <c r="G1220" t="s">
        <v>39</v>
      </c>
      <c r="H1220" t="s">
        <v>370</v>
      </c>
      <c r="I1220" t="s">
        <v>38</v>
      </c>
    </row>
    <row r="1221" spans="1:9" x14ac:dyDescent="0.25">
      <c r="A1221">
        <v>20130905</v>
      </c>
      <c r="B1221" t="str">
        <f>"111456"</f>
        <v>111456</v>
      </c>
      <c r="C1221" t="str">
        <f>"59695"</f>
        <v>59695</v>
      </c>
      <c r="D1221" t="s">
        <v>371</v>
      </c>
      <c r="E1221">
        <v>810</v>
      </c>
      <c r="F1221">
        <v>20130904</v>
      </c>
      <c r="G1221" t="s">
        <v>372</v>
      </c>
      <c r="H1221" t="s">
        <v>373</v>
      </c>
      <c r="I1221" t="s">
        <v>21</v>
      </c>
    </row>
    <row r="1222" spans="1:9" x14ac:dyDescent="0.25">
      <c r="A1222">
        <v>20130905</v>
      </c>
      <c r="B1222" t="str">
        <f>"111456"</f>
        <v>111456</v>
      </c>
      <c r="C1222" t="str">
        <f>"59695"</f>
        <v>59695</v>
      </c>
      <c r="D1222" t="s">
        <v>371</v>
      </c>
      <c r="E1222">
        <v>405</v>
      </c>
      <c r="F1222">
        <v>20130904</v>
      </c>
      <c r="G1222" t="s">
        <v>374</v>
      </c>
      <c r="H1222" t="s">
        <v>373</v>
      </c>
      <c r="I1222" t="s">
        <v>21</v>
      </c>
    </row>
    <row r="1223" spans="1:9" x14ac:dyDescent="0.25">
      <c r="A1223">
        <v>20130905</v>
      </c>
      <c r="B1223" t="str">
        <f>"111456"</f>
        <v>111456</v>
      </c>
      <c r="C1223" t="str">
        <f>"59695"</f>
        <v>59695</v>
      </c>
      <c r="D1223" t="s">
        <v>371</v>
      </c>
      <c r="E1223">
        <v>100</v>
      </c>
      <c r="F1223">
        <v>20130904</v>
      </c>
      <c r="G1223" t="s">
        <v>375</v>
      </c>
      <c r="H1223" t="s">
        <v>373</v>
      </c>
      <c r="I1223" t="s">
        <v>21</v>
      </c>
    </row>
    <row r="1224" spans="1:9" x14ac:dyDescent="0.25">
      <c r="A1224">
        <v>20130905</v>
      </c>
      <c r="B1224" t="str">
        <f>"111456"</f>
        <v>111456</v>
      </c>
      <c r="C1224" t="str">
        <f>"59695"</f>
        <v>59695</v>
      </c>
      <c r="D1224" t="s">
        <v>371</v>
      </c>
      <c r="E1224">
        <v>620</v>
      </c>
      <c r="F1224">
        <v>20130904</v>
      </c>
      <c r="G1224" t="s">
        <v>376</v>
      </c>
      <c r="H1224" t="s">
        <v>373</v>
      </c>
      <c r="I1224" t="s">
        <v>21</v>
      </c>
    </row>
    <row r="1225" spans="1:9" x14ac:dyDescent="0.25">
      <c r="A1225">
        <v>20130905</v>
      </c>
      <c r="B1225" t="str">
        <f>"111457"</f>
        <v>111457</v>
      </c>
      <c r="C1225" t="str">
        <f>"60980"</f>
        <v>60980</v>
      </c>
      <c r="D1225" t="s">
        <v>377</v>
      </c>
      <c r="E1225" s="1">
        <v>8400</v>
      </c>
      <c r="F1225">
        <v>20130905</v>
      </c>
      <c r="G1225" t="s">
        <v>378</v>
      </c>
      <c r="H1225" t="s">
        <v>379</v>
      </c>
      <c r="I1225" t="s">
        <v>21</v>
      </c>
    </row>
    <row r="1226" spans="1:9" x14ac:dyDescent="0.25">
      <c r="A1226">
        <v>20130905</v>
      </c>
      <c r="B1226" t="str">
        <f>"111458"</f>
        <v>111458</v>
      </c>
      <c r="C1226" t="str">
        <f>"86746"</f>
        <v>86746</v>
      </c>
      <c r="D1226" t="s">
        <v>380</v>
      </c>
      <c r="E1226" s="1">
        <v>1650</v>
      </c>
      <c r="F1226">
        <v>20130904</v>
      </c>
      <c r="G1226" t="s">
        <v>381</v>
      </c>
      <c r="H1226" t="s">
        <v>382</v>
      </c>
      <c r="I1226" t="s">
        <v>21</v>
      </c>
    </row>
    <row r="1227" spans="1:9" x14ac:dyDescent="0.25">
      <c r="A1227">
        <v>20130905</v>
      </c>
      <c r="B1227" t="str">
        <f>"111459"</f>
        <v>111459</v>
      </c>
      <c r="C1227" t="str">
        <f>"69331"</f>
        <v>69331</v>
      </c>
      <c r="D1227" t="s">
        <v>383</v>
      </c>
      <c r="E1227">
        <v>800</v>
      </c>
      <c r="F1227">
        <v>20130905</v>
      </c>
      <c r="G1227" t="s">
        <v>384</v>
      </c>
      <c r="H1227" t="s">
        <v>385</v>
      </c>
      <c r="I1227" t="s">
        <v>21</v>
      </c>
    </row>
    <row r="1228" spans="1:9" x14ac:dyDescent="0.25">
      <c r="A1228">
        <v>20130905</v>
      </c>
      <c r="B1228" t="str">
        <f>"111459"</f>
        <v>111459</v>
      </c>
      <c r="C1228" t="str">
        <f>"69331"</f>
        <v>69331</v>
      </c>
      <c r="D1228" t="s">
        <v>383</v>
      </c>
      <c r="E1228">
        <v>650</v>
      </c>
      <c r="F1228">
        <v>20130905</v>
      </c>
      <c r="G1228" t="s">
        <v>384</v>
      </c>
      <c r="H1228" t="s">
        <v>386</v>
      </c>
      <c r="I1228" t="s">
        <v>21</v>
      </c>
    </row>
    <row r="1229" spans="1:9" x14ac:dyDescent="0.25">
      <c r="A1229">
        <v>20130905</v>
      </c>
      <c r="B1229" t="str">
        <f>"111459"</f>
        <v>111459</v>
      </c>
      <c r="C1229" t="str">
        <f>"69331"</f>
        <v>69331</v>
      </c>
      <c r="D1229" t="s">
        <v>383</v>
      </c>
      <c r="E1229" s="1">
        <v>2115</v>
      </c>
      <c r="F1229">
        <v>20130904</v>
      </c>
      <c r="G1229" t="s">
        <v>387</v>
      </c>
      <c r="H1229" t="s">
        <v>388</v>
      </c>
      <c r="I1229" t="s">
        <v>21</v>
      </c>
    </row>
    <row r="1230" spans="1:9" x14ac:dyDescent="0.25">
      <c r="A1230">
        <v>20130905</v>
      </c>
      <c r="B1230" t="str">
        <f>"111460"</f>
        <v>111460</v>
      </c>
      <c r="C1230" t="str">
        <f>"71850"</f>
        <v>71850</v>
      </c>
      <c r="D1230" t="s">
        <v>389</v>
      </c>
      <c r="E1230">
        <v>140</v>
      </c>
      <c r="F1230">
        <v>20130904</v>
      </c>
      <c r="G1230" t="s">
        <v>367</v>
      </c>
      <c r="H1230" t="s">
        <v>390</v>
      </c>
      <c r="I1230" t="s">
        <v>21</v>
      </c>
    </row>
    <row r="1231" spans="1:9" x14ac:dyDescent="0.25">
      <c r="A1231">
        <v>20130905</v>
      </c>
      <c r="B1231" t="str">
        <f>"111461"</f>
        <v>111461</v>
      </c>
      <c r="C1231" t="str">
        <f>"75581"</f>
        <v>75581</v>
      </c>
      <c r="D1231" t="s">
        <v>391</v>
      </c>
      <c r="E1231">
        <v>907.2</v>
      </c>
      <c r="F1231">
        <v>20130904</v>
      </c>
      <c r="G1231" t="s">
        <v>392</v>
      </c>
      <c r="H1231" t="s">
        <v>393</v>
      </c>
      <c r="I1231" t="s">
        <v>21</v>
      </c>
    </row>
    <row r="1232" spans="1:9" x14ac:dyDescent="0.25">
      <c r="A1232">
        <v>20130905</v>
      </c>
      <c r="B1232" t="str">
        <f>"111462"</f>
        <v>111462</v>
      </c>
      <c r="C1232" t="str">
        <f>"86951"</f>
        <v>86951</v>
      </c>
      <c r="D1232" t="s">
        <v>394</v>
      </c>
      <c r="E1232">
        <v>236.91</v>
      </c>
      <c r="F1232">
        <v>20130904</v>
      </c>
      <c r="G1232" t="s">
        <v>337</v>
      </c>
      <c r="H1232" t="s">
        <v>395</v>
      </c>
      <c r="I1232" t="s">
        <v>21</v>
      </c>
    </row>
    <row r="1233" spans="1:9" x14ac:dyDescent="0.25">
      <c r="A1233">
        <v>20130905</v>
      </c>
      <c r="B1233" t="str">
        <f>"111463"</f>
        <v>111463</v>
      </c>
      <c r="C1233" t="str">
        <f>"85091"</f>
        <v>85091</v>
      </c>
      <c r="D1233" t="s">
        <v>396</v>
      </c>
      <c r="E1233" s="1">
        <v>20940</v>
      </c>
      <c r="F1233">
        <v>20130904</v>
      </c>
      <c r="G1233" t="s">
        <v>397</v>
      </c>
      <c r="H1233" t="s">
        <v>398</v>
      </c>
      <c r="I1233" t="s">
        <v>61</v>
      </c>
    </row>
    <row r="1234" spans="1:9" x14ac:dyDescent="0.25">
      <c r="A1234">
        <v>20130905</v>
      </c>
      <c r="B1234" t="str">
        <f>"111463"</f>
        <v>111463</v>
      </c>
      <c r="C1234" t="str">
        <f>"85091"</f>
        <v>85091</v>
      </c>
      <c r="D1234" t="s">
        <v>396</v>
      </c>
      <c r="E1234" s="1">
        <v>2200</v>
      </c>
      <c r="F1234">
        <v>20130905</v>
      </c>
      <c r="G1234" t="s">
        <v>399</v>
      </c>
      <c r="H1234" t="s">
        <v>398</v>
      </c>
      <c r="I1234" t="s">
        <v>21</v>
      </c>
    </row>
    <row r="1235" spans="1:9" x14ac:dyDescent="0.25">
      <c r="A1235">
        <v>20130905</v>
      </c>
      <c r="B1235" t="str">
        <f>"111463"</f>
        <v>111463</v>
      </c>
      <c r="C1235" t="str">
        <f>"85091"</f>
        <v>85091</v>
      </c>
      <c r="D1235" t="s">
        <v>396</v>
      </c>
      <c r="E1235" s="1">
        <v>2200</v>
      </c>
      <c r="F1235">
        <v>20130904</v>
      </c>
      <c r="G1235" t="s">
        <v>400</v>
      </c>
      <c r="H1235" t="s">
        <v>398</v>
      </c>
      <c r="I1235" t="s">
        <v>21</v>
      </c>
    </row>
    <row r="1236" spans="1:9" x14ac:dyDescent="0.25">
      <c r="A1236">
        <v>20130905</v>
      </c>
      <c r="B1236" t="str">
        <f>"111463"</f>
        <v>111463</v>
      </c>
      <c r="C1236" t="str">
        <f>"85091"</f>
        <v>85091</v>
      </c>
      <c r="D1236" t="s">
        <v>396</v>
      </c>
      <c r="E1236" s="1">
        <v>2200</v>
      </c>
      <c r="F1236">
        <v>20130905</v>
      </c>
      <c r="G1236" t="s">
        <v>401</v>
      </c>
      <c r="H1236" t="s">
        <v>398</v>
      </c>
      <c r="I1236" t="s">
        <v>21</v>
      </c>
    </row>
    <row r="1237" spans="1:9" x14ac:dyDescent="0.25">
      <c r="A1237">
        <v>20130905</v>
      </c>
      <c r="B1237" t="str">
        <f>"111464"</f>
        <v>111464</v>
      </c>
      <c r="C1237" t="str">
        <f t="shared" ref="C1237:C1244" si="101">"85780"</f>
        <v>85780</v>
      </c>
      <c r="D1237" t="s">
        <v>402</v>
      </c>
      <c r="E1237">
        <v>345</v>
      </c>
      <c r="F1237">
        <v>20130904</v>
      </c>
      <c r="G1237" t="s">
        <v>356</v>
      </c>
      <c r="H1237" t="s">
        <v>357</v>
      </c>
      <c r="I1237" t="s">
        <v>61</v>
      </c>
    </row>
    <row r="1238" spans="1:9" x14ac:dyDescent="0.25">
      <c r="A1238">
        <v>20130905</v>
      </c>
      <c r="B1238" t="str">
        <f>"111465"</f>
        <v>111465</v>
      </c>
      <c r="C1238" t="str">
        <f t="shared" si="101"/>
        <v>85780</v>
      </c>
      <c r="D1238" t="s">
        <v>402</v>
      </c>
      <c r="E1238">
        <v>230</v>
      </c>
      <c r="F1238">
        <v>20130904</v>
      </c>
      <c r="G1238" t="s">
        <v>356</v>
      </c>
      <c r="H1238" t="s">
        <v>357</v>
      </c>
      <c r="I1238" t="s">
        <v>61</v>
      </c>
    </row>
    <row r="1239" spans="1:9" x14ac:dyDescent="0.25">
      <c r="A1239">
        <v>20130905</v>
      </c>
      <c r="B1239" t="str">
        <f>"111465"</f>
        <v>111465</v>
      </c>
      <c r="C1239" t="str">
        <f t="shared" si="101"/>
        <v>85780</v>
      </c>
      <c r="D1239" t="s">
        <v>402</v>
      </c>
      <c r="E1239">
        <v>-230</v>
      </c>
      <c r="F1239">
        <v>20131023</v>
      </c>
      <c r="G1239" t="s">
        <v>356</v>
      </c>
      <c r="H1239" t="s">
        <v>358</v>
      </c>
      <c r="I1239" t="s">
        <v>61</v>
      </c>
    </row>
    <row r="1240" spans="1:9" x14ac:dyDescent="0.25">
      <c r="A1240">
        <v>20130905</v>
      </c>
      <c r="B1240" t="str">
        <f>"111466"</f>
        <v>111466</v>
      </c>
      <c r="C1240" t="str">
        <f t="shared" si="101"/>
        <v>85780</v>
      </c>
      <c r="D1240" t="s">
        <v>402</v>
      </c>
      <c r="E1240">
        <v>125</v>
      </c>
      <c r="F1240">
        <v>20130904</v>
      </c>
      <c r="G1240" t="s">
        <v>356</v>
      </c>
      <c r="H1240" t="s">
        <v>357</v>
      </c>
      <c r="I1240" t="s">
        <v>61</v>
      </c>
    </row>
    <row r="1241" spans="1:9" x14ac:dyDescent="0.25">
      <c r="A1241">
        <v>20130905</v>
      </c>
      <c r="B1241" t="str">
        <f>"111467"</f>
        <v>111467</v>
      </c>
      <c r="C1241" t="str">
        <f t="shared" si="101"/>
        <v>85780</v>
      </c>
      <c r="D1241" t="s">
        <v>402</v>
      </c>
      <c r="E1241">
        <v>115</v>
      </c>
      <c r="F1241">
        <v>20130904</v>
      </c>
      <c r="G1241" t="s">
        <v>356</v>
      </c>
      <c r="H1241" t="s">
        <v>357</v>
      </c>
      <c r="I1241" t="s">
        <v>61</v>
      </c>
    </row>
    <row r="1242" spans="1:9" x14ac:dyDescent="0.25">
      <c r="A1242">
        <v>20130905</v>
      </c>
      <c r="B1242" t="str">
        <f>"111468"</f>
        <v>111468</v>
      </c>
      <c r="C1242" t="str">
        <f t="shared" si="101"/>
        <v>85780</v>
      </c>
      <c r="D1242" t="s">
        <v>402</v>
      </c>
      <c r="E1242">
        <v>115</v>
      </c>
      <c r="F1242">
        <v>20130904</v>
      </c>
      <c r="G1242" t="s">
        <v>356</v>
      </c>
      <c r="H1242" t="s">
        <v>357</v>
      </c>
      <c r="I1242" t="s">
        <v>61</v>
      </c>
    </row>
    <row r="1243" spans="1:9" x14ac:dyDescent="0.25">
      <c r="A1243">
        <v>20130905</v>
      </c>
      <c r="B1243" t="str">
        <f>"111469"</f>
        <v>111469</v>
      </c>
      <c r="C1243" t="str">
        <f t="shared" si="101"/>
        <v>85780</v>
      </c>
      <c r="D1243" t="s">
        <v>402</v>
      </c>
      <c r="E1243">
        <v>115</v>
      </c>
      <c r="F1243">
        <v>20130904</v>
      </c>
      <c r="G1243" t="s">
        <v>356</v>
      </c>
      <c r="H1243" t="s">
        <v>357</v>
      </c>
      <c r="I1243" t="s">
        <v>61</v>
      </c>
    </row>
    <row r="1244" spans="1:9" x14ac:dyDescent="0.25">
      <c r="A1244">
        <v>20130905</v>
      </c>
      <c r="B1244" t="str">
        <f>"111469"</f>
        <v>111469</v>
      </c>
      <c r="C1244" t="str">
        <f t="shared" si="101"/>
        <v>85780</v>
      </c>
      <c r="D1244" t="s">
        <v>402</v>
      </c>
      <c r="E1244">
        <v>-115</v>
      </c>
      <c r="F1244">
        <v>20131023</v>
      </c>
      <c r="G1244" t="s">
        <v>356</v>
      </c>
      <c r="H1244" t="s">
        <v>358</v>
      </c>
      <c r="I1244" t="s">
        <v>61</v>
      </c>
    </row>
    <row r="1245" spans="1:9" x14ac:dyDescent="0.25">
      <c r="A1245">
        <v>20130906</v>
      </c>
      <c r="B1245" t="str">
        <f>"111470"</f>
        <v>111470</v>
      </c>
      <c r="C1245" t="str">
        <f>"82560"</f>
        <v>82560</v>
      </c>
      <c r="D1245" t="s">
        <v>403</v>
      </c>
      <c r="E1245">
        <v>51.36</v>
      </c>
      <c r="F1245">
        <v>20130905</v>
      </c>
      <c r="G1245" t="s">
        <v>404</v>
      </c>
      <c r="H1245" t="s">
        <v>405</v>
      </c>
      <c r="I1245" t="s">
        <v>12</v>
      </c>
    </row>
    <row r="1246" spans="1:9" x14ac:dyDescent="0.25">
      <c r="A1246">
        <v>20130906</v>
      </c>
      <c r="B1246" t="str">
        <f>"111471"</f>
        <v>111471</v>
      </c>
      <c r="C1246" t="str">
        <f>"12140"</f>
        <v>12140</v>
      </c>
      <c r="D1246" t="s">
        <v>406</v>
      </c>
      <c r="E1246" s="1">
        <v>2616.6</v>
      </c>
      <c r="F1246">
        <v>20130905</v>
      </c>
      <c r="G1246" t="s">
        <v>407</v>
      </c>
      <c r="H1246" t="s">
        <v>408</v>
      </c>
      <c r="I1246" t="s">
        <v>12</v>
      </c>
    </row>
    <row r="1247" spans="1:9" x14ac:dyDescent="0.25">
      <c r="A1247">
        <v>20130906</v>
      </c>
      <c r="B1247" t="str">
        <f>"111472"</f>
        <v>111472</v>
      </c>
      <c r="C1247" t="str">
        <f>"86576"</f>
        <v>86576</v>
      </c>
      <c r="D1247" t="s">
        <v>409</v>
      </c>
      <c r="E1247">
        <v>10.8</v>
      </c>
      <c r="F1247">
        <v>20130905</v>
      </c>
      <c r="G1247" t="s">
        <v>410</v>
      </c>
      <c r="H1247" t="s">
        <v>411</v>
      </c>
      <c r="I1247" t="s">
        <v>12</v>
      </c>
    </row>
    <row r="1248" spans="1:9" x14ac:dyDescent="0.25">
      <c r="A1248">
        <v>20130906</v>
      </c>
      <c r="B1248" t="str">
        <f>"111473"</f>
        <v>111473</v>
      </c>
      <c r="C1248" t="str">
        <f>"24530"</f>
        <v>24530</v>
      </c>
      <c r="D1248" t="s">
        <v>412</v>
      </c>
      <c r="E1248">
        <v>32.72</v>
      </c>
      <c r="F1248">
        <v>20130905</v>
      </c>
      <c r="G1248" t="s">
        <v>413</v>
      </c>
      <c r="H1248" t="s">
        <v>414</v>
      </c>
      <c r="I1248" t="s">
        <v>21</v>
      </c>
    </row>
    <row r="1249" spans="1:9" x14ac:dyDescent="0.25">
      <c r="A1249">
        <v>20130906</v>
      </c>
      <c r="B1249" t="str">
        <f>"111473"</f>
        <v>111473</v>
      </c>
      <c r="C1249" t="str">
        <f>"24530"</f>
        <v>24530</v>
      </c>
      <c r="D1249" t="s">
        <v>412</v>
      </c>
      <c r="E1249" s="1">
        <v>2781.33</v>
      </c>
      <c r="F1249">
        <v>20130905</v>
      </c>
      <c r="G1249" t="s">
        <v>415</v>
      </c>
      <c r="H1249" t="s">
        <v>414</v>
      </c>
      <c r="I1249" t="s">
        <v>21</v>
      </c>
    </row>
    <row r="1250" spans="1:9" x14ac:dyDescent="0.25">
      <c r="A1250">
        <v>20130906</v>
      </c>
      <c r="B1250" t="str">
        <f>"111473"</f>
        <v>111473</v>
      </c>
      <c r="C1250" t="str">
        <f>"24530"</f>
        <v>24530</v>
      </c>
      <c r="D1250" t="s">
        <v>412</v>
      </c>
      <c r="E1250">
        <v>-149.5</v>
      </c>
      <c r="F1250">
        <v>20130906</v>
      </c>
      <c r="G1250" t="s">
        <v>392</v>
      </c>
      <c r="H1250" t="s">
        <v>416</v>
      </c>
      <c r="I1250" t="s">
        <v>21</v>
      </c>
    </row>
    <row r="1251" spans="1:9" x14ac:dyDescent="0.25">
      <c r="A1251">
        <v>20130906</v>
      </c>
      <c r="B1251" t="str">
        <f>"111473"</f>
        <v>111473</v>
      </c>
      <c r="C1251" t="str">
        <f>"24530"</f>
        <v>24530</v>
      </c>
      <c r="D1251" t="s">
        <v>412</v>
      </c>
      <c r="E1251">
        <v>232</v>
      </c>
      <c r="F1251">
        <v>20130905</v>
      </c>
      <c r="G1251" t="s">
        <v>417</v>
      </c>
      <c r="H1251" t="s">
        <v>414</v>
      </c>
      <c r="I1251" t="s">
        <v>21</v>
      </c>
    </row>
    <row r="1252" spans="1:9" x14ac:dyDescent="0.25">
      <c r="A1252">
        <v>20130906</v>
      </c>
      <c r="B1252" t="str">
        <f>"111474"</f>
        <v>111474</v>
      </c>
      <c r="C1252" t="str">
        <f>"87031"</f>
        <v>87031</v>
      </c>
      <c r="D1252" t="s">
        <v>418</v>
      </c>
      <c r="E1252">
        <v>54.9</v>
      </c>
      <c r="F1252">
        <v>20130905</v>
      </c>
      <c r="G1252" t="s">
        <v>410</v>
      </c>
      <c r="H1252" t="s">
        <v>411</v>
      </c>
      <c r="I1252" t="s">
        <v>12</v>
      </c>
    </row>
    <row r="1253" spans="1:9" x14ac:dyDescent="0.25">
      <c r="A1253">
        <v>20130906</v>
      </c>
      <c r="B1253" t="str">
        <f>"111475"</f>
        <v>111475</v>
      </c>
      <c r="C1253" t="str">
        <f>"84038"</f>
        <v>84038</v>
      </c>
      <c r="D1253" t="s">
        <v>419</v>
      </c>
      <c r="E1253">
        <v>36.9</v>
      </c>
      <c r="F1253">
        <v>20130905</v>
      </c>
      <c r="G1253" t="s">
        <v>410</v>
      </c>
      <c r="H1253" t="s">
        <v>411</v>
      </c>
      <c r="I1253" t="s">
        <v>12</v>
      </c>
    </row>
    <row r="1254" spans="1:9" x14ac:dyDescent="0.25">
      <c r="A1254">
        <v>20130906</v>
      </c>
      <c r="B1254" t="str">
        <f>"111476"</f>
        <v>111476</v>
      </c>
      <c r="C1254" t="str">
        <f>"39315"</f>
        <v>39315</v>
      </c>
      <c r="D1254" t="s">
        <v>420</v>
      </c>
      <c r="E1254">
        <v>117</v>
      </c>
      <c r="F1254">
        <v>20130905</v>
      </c>
      <c r="G1254" t="s">
        <v>202</v>
      </c>
      <c r="H1254" t="s">
        <v>411</v>
      </c>
      <c r="I1254" t="s">
        <v>12</v>
      </c>
    </row>
    <row r="1255" spans="1:9" x14ac:dyDescent="0.25">
      <c r="A1255">
        <v>20130906</v>
      </c>
      <c r="B1255" t="str">
        <f>"111477"</f>
        <v>111477</v>
      </c>
      <c r="C1255" t="str">
        <f>"41253"</f>
        <v>41253</v>
      </c>
      <c r="D1255" t="s">
        <v>421</v>
      </c>
      <c r="E1255" s="1">
        <v>10960.64</v>
      </c>
      <c r="F1255">
        <v>20130905</v>
      </c>
      <c r="G1255" t="s">
        <v>407</v>
      </c>
      <c r="H1255" t="s">
        <v>422</v>
      </c>
      <c r="I1255" t="s">
        <v>12</v>
      </c>
    </row>
    <row r="1256" spans="1:9" x14ac:dyDescent="0.25">
      <c r="A1256">
        <v>20130906</v>
      </c>
      <c r="B1256" t="str">
        <f>"111478"</f>
        <v>111478</v>
      </c>
      <c r="C1256" t="str">
        <f>"83430"</f>
        <v>83430</v>
      </c>
      <c r="D1256" t="s">
        <v>423</v>
      </c>
      <c r="E1256">
        <v>95.85</v>
      </c>
      <c r="F1256">
        <v>20130905</v>
      </c>
      <c r="G1256" t="s">
        <v>410</v>
      </c>
      <c r="H1256" t="s">
        <v>411</v>
      </c>
      <c r="I1256" t="s">
        <v>12</v>
      </c>
    </row>
    <row r="1257" spans="1:9" x14ac:dyDescent="0.25">
      <c r="A1257">
        <v>20130906</v>
      </c>
      <c r="B1257" t="str">
        <f>"111479"</f>
        <v>111479</v>
      </c>
      <c r="C1257" t="str">
        <f>"44875"</f>
        <v>44875</v>
      </c>
      <c r="D1257" t="s">
        <v>424</v>
      </c>
      <c r="E1257">
        <v>85.95</v>
      </c>
      <c r="F1257">
        <v>20130905</v>
      </c>
      <c r="G1257" t="s">
        <v>410</v>
      </c>
      <c r="H1257" t="s">
        <v>411</v>
      </c>
      <c r="I1257" t="s">
        <v>12</v>
      </c>
    </row>
    <row r="1258" spans="1:9" x14ac:dyDescent="0.25">
      <c r="A1258">
        <v>20130906</v>
      </c>
      <c r="B1258" t="str">
        <f>"111480"</f>
        <v>111480</v>
      </c>
      <c r="C1258" t="str">
        <f>"87480"</f>
        <v>87480</v>
      </c>
      <c r="D1258" t="s">
        <v>425</v>
      </c>
      <c r="E1258">
        <v>52</v>
      </c>
      <c r="F1258">
        <v>20130905</v>
      </c>
      <c r="G1258" t="s">
        <v>426</v>
      </c>
      <c r="H1258" t="s">
        <v>427</v>
      </c>
      <c r="I1258" t="s">
        <v>21</v>
      </c>
    </row>
    <row r="1259" spans="1:9" x14ac:dyDescent="0.25">
      <c r="A1259">
        <v>20130906</v>
      </c>
      <c r="B1259" t="str">
        <f>"111481"</f>
        <v>111481</v>
      </c>
      <c r="C1259" t="str">
        <f>"87231"</f>
        <v>87231</v>
      </c>
      <c r="D1259" t="s">
        <v>428</v>
      </c>
      <c r="E1259">
        <v>234.45</v>
      </c>
      <c r="F1259">
        <v>20130905</v>
      </c>
      <c r="G1259" t="s">
        <v>410</v>
      </c>
      <c r="H1259" t="s">
        <v>411</v>
      </c>
      <c r="I1259" t="s">
        <v>12</v>
      </c>
    </row>
    <row r="1260" spans="1:9" x14ac:dyDescent="0.25">
      <c r="A1260">
        <v>20130906</v>
      </c>
      <c r="B1260" t="str">
        <f>"111482"</f>
        <v>111482</v>
      </c>
      <c r="C1260" t="str">
        <f>"86486"</f>
        <v>86486</v>
      </c>
      <c r="D1260" t="s">
        <v>429</v>
      </c>
      <c r="E1260">
        <v>162.9</v>
      </c>
      <c r="F1260">
        <v>20130905</v>
      </c>
      <c r="G1260" t="s">
        <v>410</v>
      </c>
      <c r="H1260" t="s">
        <v>411</v>
      </c>
      <c r="I1260" t="s">
        <v>12</v>
      </c>
    </row>
    <row r="1261" spans="1:9" x14ac:dyDescent="0.25">
      <c r="A1261">
        <v>20130906</v>
      </c>
      <c r="B1261" t="str">
        <f>"111483"</f>
        <v>111483</v>
      </c>
      <c r="C1261" t="str">
        <f>"86795"</f>
        <v>86795</v>
      </c>
      <c r="D1261" t="s">
        <v>430</v>
      </c>
      <c r="E1261">
        <v>24.75</v>
      </c>
      <c r="F1261">
        <v>20130905</v>
      </c>
      <c r="G1261" t="s">
        <v>410</v>
      </c>
      <c r="H1261" t="s">
        <v>411</v>
      </c>
      <c r="I1261" t="s">
        <v>12</v>
      </c>
    </row>
    <row r="1262" spans="1:9" x14ac:dyDescent="0.25">
      <c r="A1262">
        <v>20130906</v>
      </c>
      <c r="B1262" t="str">
        <f>"111484"</f>
        <v>111484</v>
      </c>
      <c r="C1262" t="str">
        <f>"84214"</f>
        <v>84214</v>
      </c>
      <c r="D1262" t="s">
        <v>431</v>
      </c>
      <c r="E1262">
        <v>8.1</v>
      </c>
      <c r="F1262">
        <v>20130905</v>
      </c>
      <c r="G1262" t="s">
        <v>410</v>
      </c>
      <c r="H1262" t="s">
        <v>411</v>
      </c>
      <c r="I1262" t="s">
        <v>12</v>
      </c>
    </row>
    <row r="1263" spans="1:9" x14ac:dyDescent="0.25">
      <c r="A1263">
        <v>20130906</v>
      </c>
      <c r="B1263" t="str">
        <f>"111485"</f>
        <v>111485</v>
      </c>
      <c r="C1263" t="str">
        <f>"81933"</f>
        <v>81933</v>
      </c>
      <c r="D1263" t="s">
        <v>432</v>
      </c>
      <c r="E1263">
        <v>85.5</v>
      </c>
      <c r="F1263">
        <v>20130905</v>
      </c>
      <c r="G1263" t="s">
        <v>410</v>
      </c>
      <c r="H1263" t="s">
        <v>411</v>
      </c>
      <c r="I1263" t="s">
        <v>12</v>
      </c>
    </row>
    <row r="1264" spans="1:9" x14ac:dyDescent="0.25">
      <c r="A1264">
        <v>20130906</v>
      </c>
      <c r="B1264" t="str">
        <f>"111486"</f>
        <v>111486</v>
      </c>
      <c r="C1264" t="str">
        <f>"87479"</f>
        <v>87479</v>
      </c>
      <c r="D1264" t="s">
        <v>433</v>
      </c>
      <c r="E1264">
        <v>49</v>
      </c>
      <c r="F1264">
        <v>20130905</v>
      </c>
      <c r="G1264" t="s">
        <v>426</v>
      </c>
      <c r="H1264" t="s">
        <v>427</v>
      </c>
      <c r="I1264" t="s">
        <v>21</v>
      </c>
    </row>
    <row r="1265" spans="1:9" x14ac:dyDescent="0.25">
      <c r="A1265">
        <v>20130906</v>
      </c>
      <c r="B1265" t="str">
        <f>"111487"</f>
        <v>111487</v>
      </c>
      <c r="C1265" t="str">
        <f>"87478"</f>
        <v>87478</v>
      </c>
      <c r="D1265" t="s">
        <v>434</v>
      </c>
      <c r="E1265">
        <v>30</v>
      </c>
      <c r="F1265">
        <v>20130905</v>
      </c>
      <c r="G1265" t="s">
        <v>327</v>
      </c>
      <c r="H1265" t="s">
        <v>435</v>
      </c>
      <c r="I1265" t="s">
        <v>25</v>
      </c>
    </row>
    <row r="1266" spans="1:9" x14ac:dyDescent="0.25">
      <c r="A1266">
        <v>20130906</v>
      </c>
      <c r="B1266" t="str">
        <f>"111488"</f>
        <v>111488</v>
      </c>
      <c r="C1266" t="str">
        <f>"19200"</f>
        <v>19200</v>
      </c>
      <c r="D1266" t="s">
        <v>436</v>
      </c>
      <c r="E1266">
        <v>22.95</v>
      </c>
      <c r="F1266">
        <v>20130905</v>
      </c>
      <c r="G1266" t="s">
        <v>410</v>
      </c>
      <c r="H1266" t="s">
        <v>411</v>
      </c>
      <c r="I1266" t="s">
        <v>12</v>
      </c>
    </row>
    <row r="1267" spans="1:9" x14ac:dyDescent="0.25">
      <c r="A1267">
        <v>20130912</v>
      </c>
      <c r="B1267" t="str">
        <f>"111489"</f>
        <v>111489</v>
      </c>
      <c r="C1267" t="str">
        <f>"87488"</f>
        <v>87488</v>
      </c>
      <c r="D1267" t="s">
        <v>437</v>
      </c>
      <c r="E1267">
        <v>125</v>
      </c>
      <c r="F1267">
        <v>20130912</v>
      </c>
      <c r="G1267" t="s">
        <v>438</v>
      </c>
      <c r="H1267" t="s">
        <v>439</v>
      </c>
      <c r="I1267" t="s">
        <v>66</v>
      </c>
    </row>
    <row r="1268" spans="1:9" x14ac:dyDescent="0.25">
      <c r="A1268">
        <v>20130912</v>
      </c>
      <c r="B1268" t="str">
        <f>"111489"</f>
        <v>111489</v>
      </c>
      <c r="C1268" t="str">
        <f>"87488"</f>
        <v>87488</v>
      </c>
      <c r="D1268" t="s">
        <v>437</v>
      </c>
      <c r="E1268">
        <v>125</v>
      </c>
      <c r="F1268">
        <v>20130912</v>
      </c>
      <c r="G1268" t="s">
        <v>440</v>
      </c>
      <c r="H1268" t="s">
        <v>439</v>
      </c>
      <c r="I1268" t="s">
        <v>66</v>
      </c>
    </row>
    <row r="1269" spans="1:9" x14ac:dyDescent="0.25">
      <c r="A1269">
        <v>20130912</v>
      </c>
      <c r="B1269" t="str">
        <f>"111489"</f>
        <v>111489</v>
      </c>
      <c r="C1269" t="str">
        <f>"87488"</f>
        <v>87488</v>
      </c>
      <c r="D1269" t="s">
        <v>437</v>
      </c>
      <c r="E1269">
        <v>125</v>
      </c>
      <c r="F1269">
        <v>20130912</v>
      </c>
      <c r="G1269" t="s">
        <v>441</v>
      </c>
      <c r="H1269" t="s">
        <v>439</v>
      </c>
      <c r="I1269" t="s">
        <v>66</v>
      </c>
    </row>
    <row r="1270" spans="1:9" x14ac:dyDescent="0.25">
      <c r="A1270">
        <v>20130912</v>
      </c>
      <c r="B1270" t="str">
        <f>"111489"</f>
        <v>111489</v>
      </c>
      <c r="C1270" t="str">
        <f>"87488"</f>
        <v>87488</v>
      </c>
      <c r="D1270" t="s">
        <v>437</v>
      </c>
      <c r="E1270">
        <v>125</v>
      </c>
      <c r="F1270">
        <v>20130912</v>
      </c>
      <c r="G1270" t="s">
        <v>442</v>
      </c>
      <c r="H1270" t="s">
        <v>439</v>
      </c>
      <c r="I1270" t="s">
        <v>66</v>
      </c>
    </row>
    <row r="1271" spans="1:9" x14ac:dyDescent="0.25">
      <c r="A1271">
        <v>20130912</v>
      </c>
      <c r="B1271" t="str">
        <f>"111490"</f>
        <v>111490</v>
      </c>
      <c r="C1271" t="str">
        <f>"00155"</f>
        <v>00155</v>
      </c>
      <c r="D1271" t="s">
        <v>443</v>
      </c>
      <c r="E1271">
        <v>875</v>
      </c>
      <c r="F1271">
        <v>20130906</v>
      </c>
      <c r="G1271" t="s">
        <v>381</v>
      </c>
      <c r="H1271" t="s">
        <v>444</v>
      </c>
      <c r="I1271" t="s">
        <v>21</v>
      </c>
    </row>
    <row r="1272" spans="1:9" x14ac:dyDescent="0.25">
      <c r="A1272">
        <v>20130912</v>
      </c>
      <c r="B1272" t="str">
        <f>"111491"</f>
        <v>111491</v>
      </c>
      <c r="C1272" t="str">
        <f>"00954"</f>
        <v>00954</v>
      </c>
      <c r="D1272" t="s">
        <v>445</v>
      </c>
      <c r="E1272">
        <v>480</v>
      </c>
      <c r="F1272">
        <v>20130906</v>
      </c>
      <c r="G1272" t="s">
        <v>417</v>
      </c>
      <c r="H1272" t="s">
        <v>446</v>
      </c>
      <c r="I1272" t="s">
        <v>21</v>
      </c>
    </row>
    <row r="1273" spans="1:9" x14ac:dyDescent="0.25">
      <c r="A1273">
        <v>20130912</v>
      </c>
      <c r="B1273" t="str">
        <f>"111492"</f>
        <v>111492</v>
      </c>
      <c r="C1273" t="str">
        <f>"01890"</f>
        <v>01890</v>
      </c>
      <c r="D1273" t="s">
        <v>447</v>
      </c>
      <c r="E1273">
        <v>40.6</v>
      </c>
      <c r="F1273">
        <v>20130911</v>
      </c>
      <c r="G1273" t="s">
        <v>448</v>
      </c>
      <c r="H1273" t="s">
        <v>414</v>
      </c>
      <c r="I1273" t="s">
        <v>21</v>
      </c>
    </row>
    <row r="1274" spans="1:9" x14ac:dyDescent="0.25">
      <c r="A1274">
        <v>20130912</v>
      </c>
      <c r="B1274" t="str">
        <f>"111492"</f>
        <v>111492</v>
      </c>
      <c r="C1274" t="str">
        <f>"01890"</f>
        <v>01890</v>
      </c>
      <c r="D1274" t="s">
        <v>447</v>
      </c>
      <c r="E1274">
        <v>143.77000000000001</v>
      </c>
      <c r="F1274">
        <v>20130911</v>
      </c>
      <c r="G1274" t="s">
        <v>448</v>
      </c>
      <c r="H1274" t="s">
        <v>414</v>
      </c>
      <c r="I1274" t="s">
        <v>21</v>
      </c>
    </row>
    <row r="1275" spans="1:9" x14ac:dyDescent="0.25">
      <c r="A1275">
        <v>20130912</v>
      </c>
      <c r="B1275" t="str">
        <f>"111492"</f>
        <v>111492</v>
      </c>
      <c r="C1275" t="str">
        <f>"01890"</f>
        <v>01890</v>
      </c>
      <c r="D1275" t="s">
        <v>447</v>
      </c>
      <c r="E1275">
        <v>23.64</v>
      </c>
      <c r="F1275">
        <v>20130911</v>
      </c>
      <c r="G1275" t="s">
        <v>392</v>
      </c>
      <c r="H1275" t="s">
        <v>414</v>
      </c>
      <c r="I1275" t="s">
        <v>21</v>
      </c>
    </row>
    <row r="1276" spans="1:9" x14ac:dyDescent="0.25">
      <c r="A1276">
        <v>20130912</v>
      </c>
      <c r="B1276" t="str">
        <f>"111493"</f>
        <v>111493</v>
      </c>
      <c r="C1276" t="str">
        <f>"86889"</f>
        <v>86889</v>
      </c>
      <c r="D1276" t="s">
        <v>449</v>
      </c>
      <c r="E1276">
        <v>998.2</v>
      </c>
      <c r="F1276">
        <v>20130909</v>
      </c>
      <c r="G1276" t="s">
        <v>450</v>
      </c>
      <c r="H1276" t="s">
        <v>451</v>
      </c>
      <c r="I1276" t="s">
        <v>21</v>
      </c>
    </row>
    <row r="1277" spans="1:9" x14ac:dyDescent="0.25">
      <c r="A1277">
        <v>20130912</v>
      </c>
      <c r="B1277" t="str">
        <f t="shared" ref="B1277:B1290" si="102">"111494"</f>
        <v>111494</v>
      </c>
      <c r="C1277" t="str">
        <f t="shared" ref="C1277:C1290" si="103">"52460"</f>
        <v>52460</v>
      </c>
      <c r="D1277" t="s">
        <v>452</v>
      </c>
      <c r="E1277">
        <v>412.42</v>
      </c>
      <c r="F1277">
        <v>20130911</v>
      </c>
      <c r="G1277" t="s">
        <v>453</v>
      </c>
      <c r="H1277" t="s">
        <v>454</v>
      </c>
      <c r="I1277" t="s">
        <v>21</v>
      </c>
    </row>
    <row r="1278" spans="1:9" x14ac:dyDescent="0.25">
      <c r="A1278">
        <v>20130912</v>
      </c>
      <c r="B1278" t="str">
        <f t="shared" si="102"/>
        <v>111494</v>
      </c>
      <c r="C1278" t="str">
        <f t="shared" si="103"/>
        <v>52460</v>
      </c>
      <c r="D1278" t="s">
        <v>452</v>
      </c>
      <c r="E1278" s="1">
        <v>2295.6</v>
      </c>
      <c r="F1278">
        <v>20130911</v>
      </c>
      <c r="G1278" t="s">
        <v>455</v>
      </c>
      <c r="H1278" t="s">
        <v>454</v>
      </c>
      <c r="I1278" t="s">
        <v>21</v>
      </c>
    </row>
    <row r="1279" spans="1:9" x14ac:dyDescent="0.25">
      <c r="A1279">
        <v>20130912</v>
      </c>
      <c r="B1279" t="str">
        <f t="shared" si="102"/>
        <v>111494</v>
      </c>
      <c r="C1279" t="str">
        <f t="shared" si="103"/>
        <v>52460</v>
      </c>
      <c r="D1279" t="s">
        <v>452</v>
      </c>
      <c r="E1279" s="1">
        <v>1133.54</v>
      </c>
      <c r="F1279">
        <v>20130911</v>
      </c>
      <c r="G1279" t="s">
        <v>456</v>
      </c>
      <c r="H1279" t="s">
        <v>454</v>
      </c>
      <c r="I1279" t="s">
        <v>21</v>
      </c>
    </row>
    <row r="1280" spans="1:9" x14ac:dyDescent="0.25">
      <c r="A1280">
        <v>20130912</v>
      </c>
      <c r="B1280" t="str">
        <f t="shared" si="102"/>
        <v>111494</v>
      </c>
      <c r="C1280" t="str">
        <f t="shared" si="103"/>
        <v>52460</v>
      </c>
      <c r="D1280" t="s">
        <v>452</v>
      </c>
      <c r="E1280" s="1">
        <v>1032.3800000000001</v>
      </c>
      <c r="F1280">
        <v>20130911</v>
      </c>
      <c r="G1280" t="s">
        <v>457</v>
      </c>
      <c r="H1280" t="s">
        <v>454</v>
      </c>
      <c r="I1280" t="s">
        <v>21</v>
      </c>
    </row>
    <row r="1281" spans="1:9" x14ac:dyDescent="0.25">
      <c r="A1281">
        <v>20130912</v>
      </c>
      <c r="B1281" t="str">
        <f t="shared" si="102"/>
        <v>111494</v>
      </c>
      <c r="C1281" t="str">
        <f t="shared" si="103"/>
        <v>52460</v>
      </c>
      <c r="D1281" t="s">
        <v>452</v>
      </c>
      <c r="E1281">
        <v>905.29</v>
      </c>
      <c r="F1281">
        <v>20130911</v>
      </c>
      <c r="G1281" t="s">
        <v>458</v>
      </c>
      <c r="H1281" t="s">
        <v>454</v>
      </c>
      <c r="I1281" t="s">
        <v>21</v>
      </c>
    </row>
    <row r="1282" spans="1:9" x14ac:dyDescent="0.25">
      <c r="A1282">
        <v>20130912</v>
      </c>
      <c r="B1282" t="str">
        <f t="shared" si="102"/>
        <v>111494</v>
      </c>
      <c r="C1282" t="str">
        <f t="shared" si="103"/>
        <v>52460</v>
      </c>
      <c r="D1282" t="s">
        <v>452</v>
      </c>
      <c r="E1282" s="1">
        <v>1032.3800000000001</v>
      </c>
      <c r="F1282">
        <v>20130911</v>
      </c>
      <c r="G1282" t="s">
        <v>459</v>
      </c>
      <c r="H1282" t="s">
        <v>454</v>
      </c>
      <c r="I1282" t="s">
        <v>21</v>
      </c>
    </row>
    <row r="1283" spans="1:9" x14ac:dyDescent="0.25">
      <c r="A1283">
        <v>20130912</v>
      </c>
      <c r="B1283" t="str">
        <f t="shared" si="102"/>
        <v>111494</v>
      </c>
      <c r="C1283" t="str">
        <f t="shared" si="103"/>
        <v>52460</v>
      </c>
      <c r="D1283" t="s">
        <v>452</v>
      </c>
      <c r="E1283">
        <v>962.36</v>
      </c>
      <c r="F1283">
        <v>20130911</v>
      </c>
      <c r="G1283" t="s">
        <v>460</v>
      </c>
      <c r="H1283" t="s">
        <v>454</v>
      </c>
      <c r="I1283" t="s">
        <v>21</v>
      </c>
    </row>
    <row r="1284" spans="1:9" x14ac:dyDescent="0.25">
      <c r="A1284">
        <v>20130912</v>
      </c>
      <c r="B1284" t="str">
        <f t="shared" si="102"/>
        <v>111494</v>
      </c>
      <c r="C1284" t="str">
        <f t="shared" si="103"/>
        <v>52460</v>
      </c>
      <c r="D1284" t="s">
        <v>452</v>
      </c>
      <c r="E1284">
        <v>594.04</v>
      </c>
      <c r="F1284">
        <v>20130911</v>
      </c>
      <c r="G1284" t="s">
        <v>461</v>
      </c>
      <c r="H1284" t="s">
        <v>454</v>
      </c>
      <c r="I1284" t="s">
        <v>21</v>
      </c>
    </row>
    <row r="1285" spans="1:9" x14ac:dyDescent="0.25">
      <c r="A1285">
        <v>20130912</v>
      </c>
      <c r="B1285" t="str">
        <f t="shared" si="102"/>
        <v>111494</v>
      </c>
      <c r="C1285" t="str">
        <f t="shared" si="103"/>
        <v>52460</v>
      </c>
      <c r="D1285" t="s">
        <v>452</v>
      </c>
      <c r="E1285" s="1">
        <v>1032.3800000000001</v>
      </c>
      <c r="F1285">
        <v>20130911</v>
      </c>
      <c r="G1285" t="s">
        <v>462</v>
      </c>
      <c r="H1285" t="s">
        <v>454</v>
      </c>
      <c r="I1285" t="s">
        <v>21</v>
      </c>
    </row>
    <row r="1286" spans="1:9" x14ac:dyDescent="0.25">
      <c r="A1286">
        <v>20130912</v>
      </c>
      <c r="B1286" t="str">
        <f t="shared" si="102"/>
        <v>111494</v>
      </c>
      <c r="C1286" t="str">
        <f t="shared" si="103"/>
        <v>52460</v>
      </c>
      <c r="D1286" t="s">
        <v>452</v>
      </c>
      <c r="E1286">
        <v>272.37</v>
      </c>
      <c r="F1286">
        <v>20130911</v>
      </c>
      <c r="G1286" t="s">
        <v>463</v>
      </c>
      <c r="H1286" t="s">
        <v>454</v>
      </c>
      <c r="I1286" t="s">
        <v>21</v>
      </c>
    </row>
    <row r="1287" spans="1:9" x14ac:dyDescent="0.25">
      <c r="A1287">
        <v>20130912</v>
      </c>
      <c r="B1287" t="str">
        <f t="shared" si="102"/>
        <v>111494</v>
      </c>
      <c r="C1287" t="str">
        <f t="shared" si="103"/>
        <v>52460</v>
      </c>
      <c r="D1287" t="s">
        <v>452</v>
      </c>
      <c r="E1287">
        <v>412.42</v>
      </c>
      <c r="F1287">
        <v>20130911</v>
      </c>
      <c r="G1287" t="s">
        <v>464</v>
      </c>
      <c r="H1287" t="s">
        <v>454</v>
      </c>
      <c r="I1287" t="s">
        <v>21</v>
      </c>
    </row>
    <row r="1288" spans="1:9" x14ac:dyDescent="0.25">
      <c r="A1288">
        <v>20130912</v>
      </c>
      <c r="B1288" t="str">
        <f t="shared" si="102"/>
        <v>111494</v>
      </c>
      <c r="C1288" t="str">
        <f t="shared" si="103"/>
        <v>52460</v>
      </c>
      <c r="D1288" t="s">
        <v>452</v>
      </c>
      <c r="E1288">
        <v>459.12</v>
      </c>
      <c r="F1288">
        <v>20130911</v>
      </c>
      <c r="G1288" t="s">
        <v>465</v>
      </c>
      <c r="H1288" t="s">
        <v>454</v>
      </c>
      <c r="I1288" t="s">
        <v>21</v>
      </c>
    </row>
    <row r="1289" spans="1:9" x14ac:dyDescent="0.25">
      <c r="A1289">
        <v>20130912</v>
      </c>
      <c r="B1289" t="str">
        <f t="shared" si="102"/>
        <v>111494</v>
      </c>
      <c r="C1289" t="str">
        <f t="shared" si="103"/>
        <v>52460</v>
      </c>
      <c r="D1289" t="s">
        <v>452</v>
      </c>
      <c r="E1289">
        <v>701.7</v>
      </c>
      <c r="F1289">
        <v>20130911</v>
      </c>
      <c r="G1289" t="s">
        <v>466</v>
      </c>
      <c r="H1289" t="s">
        <v>454</v>
      </c>
      <c r="I1289" t="s">
        <v>21</v>
      </c>
    </row>
    <row r="1290" spans="1:9" x14ac:dyDescent="0.25">
      <c r="A1290">
        <v>20130912</v>
      </c>
      <c r="B1290" t="str">
        <f t="shared" si="102"/>
        <v>111494</v>
      </c>
      <c r="C1290" t="str">
        <f t="shared" si="103"/>
        <v>52460</v>
      </c>
      <c r="D1290" t="s">
        <v>452</v>
      </c>
      <c r="E1290">
        <v>272.37</v>
      </c>
      <c r="F1290">
        <v>20130911</v>
      </c>
      <c r="G1290" t="s">
        <v>467</v>
      </c>
      <c r="H1290" t="s">
        <v>454</v>
      </c>
      <c r="I1290" t="s">
        <v>21</v>
      </c>
    </row>
    <row r="1291" spans="1:9" x14ac:dyDescent="0.25">
      <c r="A1291">
        <v>20130912</v>
      </c>
      <c r="B1291" t="str">
        <f>"111495"</f>
        <v>111495</v>
      </c>
      <c r="C1291" t="str">
        <f>"87466"</f>
        <v>87466</v>
      </c>
      <c r="D1291" t="s">
        <v>468</v>
      </c>
      <c r="E1291">
        <v>265</v>
      </c>
      <c r="F1291">
        <v>20130910</v>
      </c>
      <c r="G1291" t="s">
        <v>469</v>
      </c>
      <c r="H1291" t="s">
        <v>470</v>
      </c>
      <c r="I1291" t="s">
        <v>21</v>
      </c>
    </row>
    <row r="1292" spans="1:9" x14ac:dyDescent="0.25">
      <c r="A1292">
        <v>20130912</v>
      </c>
      <c r="B1292" t="str">
        <f>"111496"</f>
        <v>111496</v>
      </c>
      <c r="C1292" t="str">
        <f>"05320"</f>
        <v>05320</v>
      </c>
      <c r="D1292" t="s">
        <v>471</v>
      </c>
      <c r="E1292">
        <v>849.86</v>
      </c>
      <c r="F1292">
        <v>20130910</v>
      </c>
      <c r="G1292" t="s">
        <v>214</v>
      </c>
      <c r="H1292" t="s">
        <v>414</v>
      </c>
      <c r="I1292" t="s">
        <v>38</v>
      </c>
    </row>
    <row r="1293" spans="1:9" x14ac:dyDescent="0.25">
      <c r="A1293">
        <v>20130912</v>
      </c>
      <c r="B1293" t="str">
        <f t="shared" ref="B1293:B1304" si="104">"111497"</f>
        <v>111497</v>
      </c>
      <c r="C1293" t="str">
        <f t="shared" ref="C1293:C1304" si="105">"84047"</f>
        <v>84047</v>
      </c>
      <c r="D1293" t="s">
        <v>472</v>
      </c>
      <c r="E1293">
        <v>255.75</v>
      </c>
      <c r="F1293">
        <v>20130910</v>
      </c>
      <c r="G1293" t="s">
        <v>473</v>
      </c>
      <c r="H1293" t="s">
        <v>474</v>
      </c>
      <c r="I1293" t="s">
        <v>21</v>
      </c>
    </row>
    <row r="1294" spans="1:9" x14ac:dyDescent="0.25">
      <c r="A1294">
        <v>20130912</v>
      </c>
      <c r="B1294" t="str">
        <f t="shared" si="104"/>
        <v>111497</v>
      </c>
      <c r="C1294" t="str">
        <f t="shared" si="105"/>
        <v>84047</v>
      </c>
      <c r="D1294" t="s">
        <v>472</v>
      </c>
      <c r="E1294">
        <v>150.15</v>
      </c>
      <c r="F1294">
        <v>20130910</v>
      </c>
      <c r="G1294" t="s">
        <v>475</v>
      </c>
      <c r="H1294" t="s">
        <v>474</v>
      </c>
      <c r="I1294" t="s">
        <v>21</v>
      </c>
    </row>
    <row r="1295" spans="1:9" x14ac:dyDescent="0.25">
      <c r="A1295">
        <v>20130912</v>
      </c>
      <c r="B1295" t="str">
        <f t="shared" si="104"/>
        <v>111497</v>
      </c>
      <c r="C1295" t="str">
        <f t="shared" si="105"/>
        <v>84047</v>
      </c>
      <c r="D1295" t="s">
        <v>472</v>
      </c>
      <c r="E1295">
        <v>150.15</v>
      </c>
      <c r="F1295">
        <v>20130910</v>
      </c>
      <c r="G1295" t="s">
        <v>476</v>
      </c>
      <c r="H1295" t="s">
        <v>474</v>
      </c>
      <c r="I1295" t="s">
        <v>21</v>
      </c>
    </row>
    <row r="1296" spans="1:9" x14ac:dyDescent="0.25">
      <c r="A1296">
        <v>20130912</v>
      </c>
      <c r="B1296" t="str">
        <f t="shared" si="104"/>
        <v>111497</v>
      </c>
      <c r="C1296" t="str">
        <f t="shared" si="105"/>
        <v>84047</v>
      </c>
      <c r="D1296" t="s">
        <v>472</v>
      </c>
      <c r="E1296">
        <v>150.15</v>
      </c>
      <c r="F1296">
        <v>20130910</v>
      </c>
      <c r="G1296" t="s">
        <v>477</v>
      </c>
      <c r="H1296" t="s">
        <v>474</v>
      </c>
      <c r="I1296" t="s">
        <v>21</v>
      </c>
    </row>
    <row r="1297" spans="1:9" x14ac:dyDescent="0.25">
      <c r="A1297">
        <v>20130912</v>
      </c>
      <c r="B1297" t="str">
        <f t="shared" si="104"/>
        <v>111497</v>
      </c>
      <c r="C1297" t="str">
        <f t="shared" si="105"/>
        <v>84047</v>
      </c>
      <c r="D1297" t="s">
        <v>472</v>
      </c>
      <c r="E1297">
        <v>152.35</v>
      </c>
      <c r="F1297">
        <v>20130910</v>
      </c>
      <c r="G1297" t="s">
        <v>478</v>
      </c>
      <c r="H1297" t="s">
        <v>474</v>
      </c>
      <c r="I1297" t="s">
        <v>21</v>
      </c>
    </row>
    <row r="1298" spans="1:9" x14ac:dyDescent="0.25">
      <c r="A1298">
        <v>20130912</v>
      </c>
      <c r="B1298" t="str">
        <f t="shared" si="104"/>
        <v>111497</v>
      </c>
      <c r="C1298" t="str">
        <f t="shared" si="105"/>
        <v>84047</v>
      </c>
      <c r="D1298" t="s">
        <v>472</v>
      </c>
      <c r="E1298">
        <v>136.94999999999999</v>
      </c>
      <c r="F1298">
        <v>20130910</v>
      </c>
      <c r="G1298" t="s">
        <v>479</v>
      </c>
      <c r="H1298" t="s">
        <v>474</v>
      </c>
      <c r="I1298" t="s">
        <v>21</v>
      </c>
    </row>
    <row r="1299" spans="1:9" x14ac:dyDescent="0.25">
      <c r="A1299">
        <v>20130912</v>
      </c>
      <c r="B1299" t="str">
        <f t="shared" si="104"/>
        <v>111497</v>
      </c>
      <c r="C1299" t="str">
        <f t="shared" si="105"/>
        <v>84047</v>
      </c>
      <c r="D1299" t="s">
        <v>472</v>
      </c>
      <c r="E1299">
        <v>150.15</v>
      </c>
      <c r="F1299">
        <v>20130910</v>
      </c>
      <c r="G1299" t="s">
        <v>480</v>
      </c>
      <c r="H1299" t="s">
        <v>474</v>
      </c>
      <c r="I1299" t="s">
        <v>21</v>
      </c>
    </row>
    <row r="1300" spans="1:9" x14ac:dyDescent="0.25">
      <c r="A1300">
        <v>20130912</v>
      </c>
      <c r="B1300" t="str">
        <f t="shared" si="104"/>
        <v>111497</v>
      </c>
      <c r="C1300" t="str">
        <f t="shared" si="105"/>
        <v>84047</v>
      </c>
      <c r="D1300" t="s">
        <v>472</v>
      </c>
      <c r="E1300">
        <v>150.15</v>
      </c>
      <c r="F1300">
        <v>20130910</v>
      </c>
      <c r="G1300" t="s">
        <v>481</v>
      </c>
      <c r="H1300" t="s">
        <v>474</v>
      </c>
      <c r="I1300" t="s">
        <v>21</v>
      </c>
    </row>
    <row r="1301" spans="1:9" x14ac:dyDescent="0.25">
      <c r="A1301">
        <v>20130912</v>
      </c>
      <c r="B1301" t="str">
        <f t="shared" si="104"/>
        <v>111497</v>
      </c>
      <c r="C1301" t="str">
        <f t="shared" si="105"/>
        <v>84047</v>
      </c>
      <c r="D1301" t="s">
        <v>472</v>
      </c>
      <c r="E1301">
        <v>87.45</v>
      </c>
      <c r="F1301">
        <v>20130910</v>
      </c>
      <c r="G1301" t="s">
        <v>482</v>
      </c>
      <c r="H1301" t="s">
        <v>474</v>
      </c>
      <c r="I1301" t="s">
        <v>21</v>
      </c>
    </row>
    <row r="1302" spans="1:9" x14ac:dyDescent="0.25">
      <c r="A1302">
        <v>20130912</v>
      </c>
      <c r="B1302" t="str">
        <f t="shared" si="104"/>
        <v>111497</v>
      </c>
      <c r="C1302" t="str">
        <f t="shared" si="105"/>
        <v>84047</v>
      </c>
      <c r="D1302" t="s">
        <v>472</v>
      </c>
      <c r="E1302">
        <v>143.55000000000001</v>
      </c>
      <c r="F1302">
        <v>20130910</v>
      </c>
      <c r="G1302" t="s">
        <v>483</v>
      </c>
      <c r="H1302" t="s">
        <v>474</v>
      </c>
      <c r="I1302" t="s">
        <v>21</v>
      </c>
    </row>
    <row r="1303" spans="1:9" x14ac:dyDescent="0.25">
      <c r="A1303">
        <v>20130912</v>
      </c>
      <c r="B1303" t="str">
        <f t="shared" si="104"/>
        <v>111497</v>
      </c>
      <c r="C1303" t="str">
        <f t="shared" si="105"/>
        <v>84047</v>
      </c>
      <c r="D1303" t="s">
        <v>472</v>
      </c>
      <c r="E1303">
        <v>177.65</v>
      </c>
      <c r="F1303">
        <v>20130910</v>
      </c>
      <c r="G1303" t="s">
        <v>484</v>
      </c>
      <c r="H1303" t="s">
        <v>474</v>
      </c>
      <c r="I1303" t="s">
        <v>21</v>
      </c>
    </row>
    <row r="1304" spans="1:9" x14ac:dyDescent="0.25">
      <c r="A1304">
        <v>20130912</v>
      </c>
      <c r="B1304" t="str">
        <f t="shared" si="104"/>
        <v>111497</v>
      </c>
      <c r="C1304" t="str">
        <f t="shared" si="105"/>
        <v>84047</v>
      </c>
      <c r="D1304" t="s">
        <v>472</v>
      </c>
      <c r="E1304">
        <v>123.75</v>
      </c>
      <c r="F1304">
        <v>20130910</v>
      </c>
      <c r="G1304" t="s">
        <v>485</v>
      </c>
      <c r="H1304" t="s">
        <v>474</v>
      </c>
      <c r="I1304" t="s">
        <v>21</v>
      </c>
    </row>
    <row r="1305" spans="1:9" x14ac:dyDescent="0.25">
      <c r="A1305">
        <v>20130912</v>
      </c>
      <c r="B1305" t="str">
        <f>"111498"</f>
        <v>111498</v>
      </c>
      <c r="C1305" t="str">
        <f>"00500"</f>
        <v>00500</v>
      </c>
      <c r="D1305" t="s">
        <v>486</v>
      </c>
      <c r="E1305" s="1">
        <v>8963.92</v>
      </c>
      <c r="F1305">
        <v>20130906</v>
      </c>
      <c r="G1305" t="s">
        <v>487</v>
      </c>
      <c r="H1305" t="s">
        <v>488</v>
      </c>
      <c r="I1305" t="s">
        <v>21</v>
      </c>
    </row>
    <row r="1306" spans="1:9" x14ac:dyDescent="0.25">
      <c r="A1306">
        <v>20130912</v>
      </c>
      <c r="B1306" t="str">
        <f t="shared" ref="B1306:B1313" si="106">"111499"</f>
        <v>111499</v>
      </c>
      <c r="C1306" t="str">
        <f t="shared" ref="C1306:C1313" si="107">"00255"</f>
        <v>00255</v>
      </c>
      <c r="D1306" t="s">
        <v>489</v>
      </c>
      <c r="E1306">
        <v>37.28</v>
      </c>
      <c r="F1306">
        <v>20130906</v>
      </c>
      <c r="G1306" t="s">
        <v>490</v>
      </c>
      <c r="H1306" t="s">
        <v>488</v>
      </c>
      <c r="I1306" t="s">
        <v>21</v>
      </c>
    </row>
    <row r="1307" spans="1:9" x14ac:dyDescent="0.25">
      <c r="A1307">
        <v>20130912</v>
      </c>
      <c r="B1307" t="str">
        <f t="shared" si="106"/>
        <v>111499</v>
      </c>
      <c r="C1307" t="str">
        <f t="shared" si="107"/>
        <v>00255</v>
      </c>
      <c r="D1307" t="s">
        <v>489</v>
      </c>
      <c r="E1307">
        <v>37.28</v>
      </c>
      <c r="F1307">
        <v>20130906</v>
      </c>
      <c r="G1307" t="s">
        <v>490</v>
      </c>
      <c r="H1307" t="s">
        <v>488</v>
      </c>
      <c r="I1307" t="s">
        <v>21</v>
      </c>
    </row>
    <row r="1308" spans="1:9" x14ac:dyDescent="0.25">
      <c r="A1308">
        <v>20130912</v>
      </c>
      <c r="B1308" t="str">
        <f t="shared" si="106"/>
        <v>111499</v>
      </c>
      <c r="C1308" t="str">
        <f t="shared" si="107"/>
        <v>00255</v>
      </c>
      <c r="D1308" t="s">
        <v>489</v>
      </c>
      <c r="E1308">
        <v>140.38999999999999</v>
      </c>
      <c r="F1308">
        <v>20130906</v>
      </c>
      <c r="G1308" t="s">
        <v>490</v>
      </c>
      <c r="H1308" t="s">
        <v>488</v>
      </c>
      <c r="I1308" t="s">
        <v>21</v>
      </c>
    </row>
    <row r="1309" spans="1:9" x14ac:dyDescent="0.25">
      <c r="A1309">
        <v>20130912</v>
      </c>
      <c r="B1309" t="str">
        <f t="shared" si="106"/>
        <v>111499</v>
      </c>
      <c r="C1309" t="str">
        <f t="shared" si="107"/>
        <v>00255</v>
      </c>
      <c r="D1309" t="s">
        <v>489</v>
      </c>
      <c r="E1309">
        <v>197.84</v>
      </c>
      <c r="F1309">
        <v>20130909</v>
      </c>
      <c r="G1309" t="s">
        <v>491</v>
      </c>
      <c r="H1309" t="s">
        <v>488</v>
      </c>
      <c r="I1309" t="s">
        <v>21</v>
      </c>
    </row>
    <row r="1310" spans="1:9" x14ac:dyDescent="0.25">
      <c r="A1310">
        <v>20130912</v>
      </c>
      <c r="B1310" t="str">
        <f t="shared" si="106"/>
        <v>111499</v>
      </c>
      <c r="C1310" t="str">
        <f t="shared" si="107"/>
        <v>00255</v>
      </c>
      <c r="D1310" t="s">
        <v>489</v>
      </c>
      <c r="E1310">
        <v>59.25</v>
      </c>
      <c r="F1310">
        <v>20130906</v>
      </c>
      <c r="G1310" t="s">
        <v>492</v>
      </c>
      <c r="H1310" t="s">
        <v>488</v>
      </c>
      <c r="I1310" t="s">
        <v>21</v>
      </c>
    </row>
    <row r="1311" spans="1:9" x14ac:dyDescent="0.25">
      <c r="A1311">
        <v>20130912</v>
      </c>
      <c r="B1311" t="str">
        <f t="shared" si="106"/>
        <v>111499</v>
      </c>
      <c r="C1311" t="str">
        <f t="shared" si="107"/>
        <v>00255</v>
      </c>
      <c r="D1311" t="s">
        <v>489</v>
      </c>
      <c r="E1311">
        <v>37.28</v>
      </c>
      <c r="F1311">
        <v>20130906</v>
      </c>
      <c r="G1311" t="s">
        <v>492</v>
      </c>
      <c r="H1311" t="s">
        <v>488</v>
      </c>
      <c r="I1311" t="s">
        <v>21</v>
      </c>
    </row>
    <row r="1312" spans="1:9" x14ac:dyDescent="0.25">
      <c r="A1312">
        <v>20130912</v>
      </c>
      <c r="B1312" t="str">
        <f t="shared" si="106"/>
        <v>111499</v>
      </c>
      <c r="C1312" t="str">
        <f t="shared" si="107"/>
        <v>00255</v>
      </c>
      <c r="D1312" t="s">
        <v>489</v>
      </c>
      <c r="E1312">
        <v>130.02000000000001</v>
      </c>
      <c r="F1312">
        <v>20130909</v>
      </c>
      <c r="G1312" t="s">
        <v>493</v>
      </c>
      <c r="H1312" t="s">
        <v>488</v>
      </c>
      <c r="I1312" t="s">
        <v>21</v>
      </c>
    </row>
    <row r="1313" spans="1:9" x14ac:dyDescent="0.25">
      <c r="A1313">
        <v>20130912</v>
      </c>
      <c r="B1313" t="str">
        <f t="shared" si="106"/>
        <v>111499</v>
      </c>
      <c r="C1313" t="str">
        <f t="shared" si="107"/>
        <v>00255</v>
      </c>
      <c r="D1313" t="s">
        <v>489</v>
      </c>
      <c r="E1313">
        <v>124.46</v>
      </c>
      <c r="F1313">
        <v>20130909</v>
      </c>
      <c r="G1313" t="s">
        <v>494</v>
      </c>
      <c r="H1313" t="s">
        <v>488</v>
      </c>
      <c r="I1313" t="s">
        <v>21</v>
      </c>
    </row>
    <row r="1314" spans="1:9" x14ac:dyDescent="0.25">
      <c r="A1314">
        <v>20130912</v>
      </c>
      <c r="B1314" t="str">
        <f>"111500"</f>
        <v>111500</v>
      </c>
      <c r="C1314" t="str">
        <f>"86456"</f>
        <v>86456</v>
      </c>
      <c r="D1314" t="s">
        <v>495</v>
      </c>
      <c r="E1314">
        <v>29.99</v>
      </c>
      <c r="F1314">
        <v>20130909</v>
      </c>
      <c r="G1314" t="s">
        <v>496</v>
      </c>
      <c r="H1314" t="s">
        <v>414</v>
      </c>
      <c r="I1314" t="s">
        <v>21</v>
      </c>
    </row>
    <row r="1315" spans="1:9" x14ac:dyDescent="0.25">
      <c r="A1315">
        <v>20130912</v>
      </c>
      <c r="B1315" t="str">
        <f>"111500"</f>
        <v>111500</v>
      </c>
      <c r="C1315" t="str">
        <f>"86456"</f>
        <v>86456</v>
      </c>
      <c r="D1315" t="s">
        <v>495</v>
      </c>
      <c r="E1315">
        <v>139.97999999999999</v>
      </c>
      <c r="F1315">
        <v>20130909</v>
      </c>
      <c r="G1315" t="s">
        <v>413</v>
      </c>
      <c r="H1315" t="s">
        <v>414</v>
      </c>
      <c r="I1315" t="s">
        <v>21</v>
      </c>
    </row>
    <row r="1316" spans="1:9" x14ac:dyDescent="0.25">
      <c r="A1316">
        <v>20130912</v>
      </c>
      <c r="B1316" t="str">
        <f>"111500"</f>
        <v>111500</v>
      </c>
      <c r="C1316" t="str">
        <f>"86456"</f>
        <v>86456</v>
      </c>
      <c r="D1316" t="s">
        <v>495</v>
      </c>
      <c r="E1316">
        <v>9.85</v>
      </c>
      <c r="F1316">
        <v>20130909</v>
      </c>
      <c r="G1316" t="s">
        <v>415</v>
      </c>
      <c r="H1316" t="s">
        <v>414</v>
      </c>
      <c r="I1316" t="s">
        <v>21</v>
      </c>
    </row>
    <row r="1317" spans="1:9" x14ac:dyDescent="0.25">
      <c r="A1317">
        <v>20130912</v>
      </c>
      <c r="B1317" t="str">
        <f>"111501"</f>
        <v>111501</v>
      </c>
      <c r="C1317" t="str">
        <f>"09600"</f>
        <v>09600</v>
      </c>
      <c r="D1317" t="s">
        <v>497</v>
      </c>
      <c r="E1317">
        <v>531.65</v>
      </c>
      <c r="F1317">
        <v>20130909</v>
      </c>
      <c r="G1317" t="s">
        <v>498</v>
      </c>
      <c r="H1317" t="s">
        <v>499</v>
      </c>
      <c r="I1317" t="s">
        <v>21</v>
      </c>
    </row>
    <row r="1318" spans="1:9" x14ac:dyDescent="0.25">
      <c r="A1318">
        <v>20130912</v>
      </c>
      <c r="B1318" t="str">
        <f>"111501"</f>
        <v>111501</v>
      </c>
      <c r="C1318" t="str">
        <f>"09600"</f>
        <v>09600</v>
      </c>
      <c r="D1318" t="s">
        <v>497</v>
      </c>
      <c r="E1318">
        <v>500.8</v>
      </c>
      <c r="F1318">
        <v>20130909</v>
      </c>
      <c r="G1318" t="s">
        <v>496</v>
      </c>
      <c r="H1318" t="s">
        <v>414</v>
      </c>
      <c r="I1318" t="s">
        <v>21</v>
      </c>
    </row>
    <row r="1319" spans="1:9" x14ac:dyDescent="0.25">
      <c r="A1319">
        <v>20130912</v>
      </c>
      <c r="B1319" t="str">
        <f>"111502"</f>
        <v>111502</v>
      </c>
      <c r="C1319" t="str">
        <f>"87465"</f>
        <v>87465</v>
      </c>
      <c r="D1319" t="s">
        <v>500</v>
      </c>
      <c r="E1319">
        <v>60</v>
      </c>
      <c r="F1319">
        <v>20130909</v>
      </c>
      <c r="G1319" t="s">
        <v>469</v>
      </c>
      <c r="H1319" t="s">
        <v>501</v>
      </c>
      <c r="I1319" t="s">
        <v>21</v>
      </c>
    </row>
    <row r="1320" spans="1:9" x14ac:dyDescent="0.25">
      <c r="A1320">
        <v>20130912</v>
      </c>
      <c r="B1320" t="str">
        <f>"111503"</f>
        <v>111503</v>
      </c>
      <c r="C1320" t="str">
        <f>"11535"</f>
        <v>11535</v>
      </c>
      <c r="D1320" t="s">
        <v>502</v>
      </c>
      <c r="E1320">
        <v>80.25</v>
      </c>
      <c r="F1320">
        <v>20130911</v>
      </c>
      <c r="G1320" t="s">
        <v>503</v>
      </c>
      <c r="H1320" t="s">
        <v>504</v>
      </c>
      <c r="I1320" t="s">
        <v>21</v>
      </c>
    </row>
    <row r="1321" spans="1:9" x14ac:dyDescent="0.25">
      <c r="A1321">
        <v>20130912</v>
      </c>
      <c r="B1321" t="str">
        <f>"111504"</f>
        <v>111504</v>
      </c>
      <c r="C1321" t="str">
        <f>"86533"</f>
        <v>86533</v>
      </c>
      <c r="D1321" t="s">
        <v>505</v>
      </c>
      <c r="E1321">
        <v>25</v>
      </c>
      <c r="F1321">
        <v>20130909</v>
      </c>
      <c r="G1321" t="s">
        <v>506</v>
      </c>
      <c r="H1321" t="s">
        <v>414</v>
      </c>
      <c r="I1321" t="s">
        <v>21</v>
      </c>
    </row>
    <row r="1322" spans="1:9" x14ac:dyDescent="0.25">
      <c r="A1322">
        <v>20130912</v>
      </c>
      <c r="B1322" t="str">
        <f>"111504"</f>
        <v>111504</v>
      </c>
      <c r="C1322" t="str">
        <f>"86533"</f>
        <v>86533</v>
      </c>
      <c r="D1322" t="s">
        <v>505</v>
      </c>
      <c r="E1322">
        <v>43</v>
      </c>
      <c r="F1322">
        <v>20130909</v>
      </c>
      <c r="G1322" t="s">
        <v>506</v>
      </c>
      <c r="H1322" t="s">
        <v>414</v>
      </c>
      <c r="I1322" t="s">
        <v>21</v>
      </c>
    </row>
    <row r="1323" spans="1:9" x14ac:dyDescent="0.25">
      <c r="A1323">
        <v>20130912</v>
      </c>
      <c r="B1323" t="str">
        <f>"111505"</f>
        <v>111505</v>
      </c>
      <c r="C1323" t="str">
        <f>"83152"</f>
        <v>83152</v>
      </c>
      <c r="D1323" t="s">
        <v>507</v>
      </c>
      <c r="E1323">
        <v>250</v>
      </c>
      <c r="F1323">
        <v>20130911</v>
      </c>
      <c r="G1323" t="s">
        <v>347</v>
      </c>
      <c r="H1323" t="s">
        <v>508</v>
      </c>
      <c r="I1323" t="s">
        <v>61</v>
      </c>
    </row>
    <row r="1324" spans="1:9" x14ac:dyDescent="0.25">
      <c r="A1324">
        <v>20130912</v>
      </c>
      <c r="B1324" t="str">
        <f>"111506"</f>
        <v>111506</v>
      </c>
      <c r="C1324" t="str">
        <f>"83493"</f>
        <v>83493</v>
      </c>
      <c r="D1324" t="s">
        <v>509</v>
      </c>
      <c r="E1324">
        <v>265</v>
      </c>
      <c r="F1324">
        <v>20130906</v>
      </c>
      <c r="G1324" t="s">
        <v>186</v>
      </c>
      <c r="H1324" t="s">
        <v>357</v>
      </c>
      <c r="I1324" t="s">
        <v>61</v>
      </c>
    </row>
    <row r="1325" spans="1:9" x14ac:dyDescent="0.25">
      <c r="A1325">
        <v>20130912</v>
      </c>
      <c r="B1325" t="str">
        <f>"111507"</f>
        <v>111507</v>
      </c>
      <c r="C1325" t="str">
        <f>"16988"</f>
        <v>16988</v>
      </c>
      <c r="D1325" t="s">
        <v>510</v>
      </c>
      <c r="E1325">
        <v>706.28</v>
      </c>
      <c r="F1325">
        <v>20130909</v>
      </c>
      <c r="G1325" t="s">
        <v>496</v>
      </c>
      <c r="H1325" t="s">
        <v>414</v>
      </c>
      <c r="I1325" t="s">
        <v>21</v>
      </c>
    </row>
    <row r="1326" spans="1:9" x14ac:dyDescent="0.25">
      <c r="A1326">
        <v>20130912</v>
      </c>
      <c r="B1326" t="str">
        <f>"111507"</f>
        <v>111507</v>
      </c>
      <c r="C1326" t="str">
        <f>"16988"</f>
        <v>16988</v>
      </c>
      <c r="D1326" t="s">
        <v>510</v>
      </c>
      <c r="E1326">
        <v>927.82</v>
      </c>
      <c r="F1326">
        <v>20130906</v>
      </c>
      <c r="G1326" t="s">
        <v>511</v>
      </c>
      <c r="H1326" t="s">
        <v>512</v>
      </c>
      <c r="I1326" t="s">
        <v>21</v>
      </c>
    </row>
    <row r="1327" spans="1:9" x14ac:dyDescent="0.25">
      <c r="A1327">
        <v>20130912</v>
      </c>
      <c r="B1327" t="str">
        <f>"111507"</f>
        <v>111507</v>
      </c>
      <c r="C1327" t="str">
        <f>"16988"</f>
        <v>16988</v>
      </c>
      <c r="D1327" t="s">
        <v>510</v>
      </c>
      <c r="E1327">
        <v>347.06</v>
      </c>
      <c r="F1327">
        <v>20130909</v>
      </c>
      <c r="G1327" t="s">
        <v>482</v>
      </c>
      <c r="H1327" t="s">
        <v>414</v>
      </c>
      <c r="I1327" t="s">
        <v>21</v>
      </c>
    </row>
    <row r="1328" spans="1:9" x14ac:dyDescent="0.25">
      <c r="A1328">
        <v>20130912</v>
      </c>
      <c r="B1328" t="str">
        <f>"111508"</f>
        <v>111508</v>
      </c>
      <c r="C1328" t="str">
        <f>"84398"</f>
        <v>84398</v>
      </c>
      <c r="D1328" t="s">
        <v>349</v>
      </c>
      <c r="E1328" s="1">
        <v>1217</v>
      </c>
      <c r="F1328">
        <v>20130909</v>
      </c>
      <c r="G1328" t="s">
        <v>214</v>
      </c>
      <c r="H1328" t="s">
        <v>513</v>
      </c>
      <c r="I1328" t="s">
        <v>38</v>
      </c>
    </row>
    <row r="1329" spans="1:9" x14ac:dyDescent="0.25">
      <c r="A1329">
        <v>20130912</v>
      </c>
      <c r="B1329" t="str">
        <f>"111509"</f>
        <v>111509</v>
      </c>
      <c r="C1329" t="str">
        <f>"18025"</f>
        <v>18025</v>
      </c>
      <c r="D1329" t="s">
        <v>514</v>
      </c>
      <c r="E1329">
        <v>49.9</v>
      </c>
      <c r="F1329">
        <v>20130911</v>
      </c>
      <c r="G1329" t="s">
        <v>36</v>
      </c>
      <c r="H1329" t="s">
        <v>515</v>
      </c>
      <c r="I1329" t="s">
        <v>38</v>
      </c>
    </row>
    <row r="1330" spans="1:9" x14ac:dyDescent="0.25">
      <c r="A1330">
        <v>20130912</v>
      </c>
      <c r="B1330" t="str">
        <f t="shared" ref="B1330:B1341" si="108">"111510"</f>
        <v>111510</v>
      </c>
      <c r="C1330" t="str">
        <f t="shared" ref="C1330:C1341" si="109">"18200"</f>
        <v>18200</v>
      </c>
      <c r="D1330" t="s">
        <v>516</v>
      </c>
      <c r="E1330">
        <v>195.56</v>
      </c>
      <c r="F1330">
        <v>20130906</v>
      </c>
      <c r="G1330" t="s">
        <v>453</v>
      </c>
      <c r="H1330" t="s">
        <v>488</v>
      </c>
      <c r="I1330" t="s">
        <v>21</v>
      </c>
    </row>
    <row r="1331" spans="1:9" x14ac:dyDescent="0.25">
      <c r="A1331">
        <v>20130912</v>
      </c>
      <c r="B1331" t="str">
        <f t="shared" si="108"/>
        <v>111510</v>
      </c>
      <c r="C1331" t="str">
        <f t="shared" si="109"/>
        <v>18200</v>
      </c>
      <c r="D1331" t="s">
        <v>516</v>
      </c>
      <c r="E1331" s="1">
        <v>1133.68</v>
      </c>
      <c r="F1331">
        <v>20130906</v>
      </c>
      <c r="G1331" t="s">
        <v>455</v>
      </c>
      <c r="H1331" t="s">
        <v>488</v>
      </c>
      <c r="I1331" t="s">
        <v>21</v>
      </c>
    </row>
    <row r="1332" spans="1:9" x14ac:dyDescent="0.25">
      <c r="A1332">
        <v>20130912</v>
      </c>
      <c r="B1332" t="str">
        <f t="shared" si="108"/>
        <v>111510</v>
      </c>
      <c r="C1332" t="str">
        <f t="shared" si="109"/>
        <v>18200</v>
      </c>
      <c r="D1332" t="s">
        <v>516</v>
      </c>
      <c r="E1332">
        <v>98.32</v>
      </c>
      <c r="F1332">
        <v>20130906</v>
      </c>
      <c r="G1332" t="s">
        <v>455</v>
      </c>
      <c r="H1332" t="s">
        <v>488</v>
      </c>
      <c r="I1332" t="s">
        <v>21</v>
      </c>
    </row>
    <row r="1333" spans="1:9" x14ac:dyDescent="0.25">
      <c r="A1333">
        <v>20130912</v>
      </c>
      <c r="B1333" t="str">
        <f t="shared" si="108"/>
        <v>111510</v>
      </c>
      <c r="C1333" t="str">
        <f t="shared" si="109"/>
        <v>18200</v>
      </c>
      <c r="D1333" t="s">
        <v>516</v>
      </c>
      <c r="E1333">
        <v>657.07</v>
      </c>
      <c r="F1333">
        <v>20130906</v>
      </c>
      <c r="G1333" t="s">
        <v>455</v>
      </c>
      <c r="H1333" t="s">
        <v>488</v>
      </c>
      <c r="I1333" t="s">
        <v>21</v>
      </c>
    </row>
    <row r="1334" spans="1:9" x14ac:dyDescent="0.25">
      <c r="A1334">
        <v>20130912</v>
      </c>
      <c r="B1334" t="str">
        <f t="shared" si="108"/>
        <v>111510</v>
      </c>
      <c r="C1334" t="str">
        <f t="shared" si="109"/>
        <v>18200</v>
      </c>
      <c r="D1334" t="s">
        <v>516</v>
      </c>
      <c r="E1334">
        <v>88.34</v>
      </c>
      <c r="F1334">
        <v>20130906</v>
      </c>
      <c r="G1334" t="s">
        <v>455</v>
      </c>
      <c r="H1334" t="s">
        <v>488</v>
      </c>
      <c r="I1334" t="s">
        <v>21</v>
      </c>
    </row>
    <row r="1335" spans="1:9" x14ac:dyDescent="0.25">
      <c r="A1335">
        <v>20130912</v>
      </c>
      <c r="B1335" t="str">
        <f t="shared" si="108"/>
        <v>111510</v>
      </c>
      <c r="C1335" t="str">
        <f t="shared" si="109"/>
        <v>18200</v>
      </c>
      <c r="D1335" t="s">
        <v>516</v>
      </c>
      <c r="E1335">
        <v>566.75</v>
      </c>
      <c r="F1335">
        <v>20130906</v>
      </c>
      <c r="G1335" t="s">
        <v>459</v>
      </c>
      <c r="H1335" t="s">
        <v>488</v>
      </c>
      <c r="I1335" t="s">
        <v>21</v>
      </c>
    </row>
    <row r="1336" spans="1:9" x14ac:dyDescent="0.25">
      <c r="A1336">
        <v>20130912</v>
      </c>
      <c r="B1336" t="str">
        <f t="shared" si="108"/>
        <v>111510</v>
      </c>
      <c r="C1336" t="str">
        <f t="shared" si="109"/>
        <v>18200</v>
      </c>
      <c r="D1336" t="s">
        <v>516</v>
      </c>
      <c r="E1336">
        <v>146.72</v>
      </c>
      <c r="F1336">
        <v>20130906</v>
      </c>
      <c r="G1336" t="s">
        <v>462</v>
      </c>
      <c r="H1336" t="s">
        <v>488</v>
      </c>
      <c r="I1336" t="s">
        <v>21</v>
      </c>
    </row>
    <row r="1337" spans="1:9" x14ac:dyDescent="0.25">
      <c r="A1337">
        <v>20130912</v>
      </c>
      <c r="B1337" t="str">
        <f t="shared" si="108"/>
        <v>111510</v>
      </c>
      <c r="C1337" t="str">
        <f t="shared" si="109"/>
        <v>18200</v>
      </c>
      <c r="D1337" t="s">
        <v>516</v>
      </c>
      <c r="E1337">
        <v>584.16999999999996</v>
      </c>
      <c r="F1337">
        <v>20130906</v>
      </c>
      <c r="G1337" t="s">
        <v>465</v>
      </c>
      <c r="H1337" t="s">
        <v>488</v>
      </c>
      <c r="I1337" t="s">
        <v>21</v>
      </c>
    </row>
    <row r="1338" spans="1:9" x14ac:dyDescent="0.25">
      <c r="A1338">
        <v>20130912</v>
      </c>
      <c r="B1338" t="str">
        <f t="shared" si="108"/>
        <v>111510</v>
      </c>
      <c r="C1338" t="str">
        <f t="shared" si="109"/>
        <v>18200</v>
      </c>
      <c r="D1338" t="s">
        <v>516</v>
      </c>
      <c r="E1338">
        <v>84.12</v>
      </c>
      <c r="F1338">
        <v>20130906</v>
      </c>
      <c r="G1338" t="s">
        <v>466</v>
      </c>
      <c r="H1338" t="s">
        <v>488</v>
      </c>
      <c r="I1338" t="s">
        <v>21</v>
      </c>
    </row>
    <row r="1339" spans="1:9" x14ac:dyDescent="0.25">
      <c r="A1339">
        <v>20130912</v>
      </c>
      <c r="B1339" t="str">
        <f t="shared" si="108"/>
        <v>111510</v>
      </c>
      <c r="C1339" t="str">
        <f t="shared" si="109"/>
        <v>18200</v>
      </c>
      <c r="D1339" t="s">
        <v>516</v>
      </c>
      <c r="E1339" s="1">
        <v>1322.3</v>
      </c>
      <c r="F1339">
        <v>20130906</v>
      </c>
      <c r="G1339" t="s">
        <v>466</v>
      </c>
      <c r="H1339" t="s">
        <v>488</v>
      </c>
      <c r="I1339" t="s">
        <v>21</v>
      </c>
    </row>
    <row r="1340" spans="1:9" x14ac:dyDescent="0.25">
      <c r="A1340">
        <v>20130912</v>
      </c>
      <c r="B1340" t="str">
        <f t="shared" si="108"/>
        <v>111510</v>
      </c>
      <c r="C1340" t="str">
        <f t="shared" si="109"/>
        <v>18200</v>
      </c>
      <c r="D1340" t="s">
        <v>516</v>
      </c>
      <c r="E1340" s="1">
        <v>1031.25</v>
      </c>
      <c r="F1340">
        <v>20130906</v>
      </c>
      <c r="G1340" t="s">
        <v>466</v>
      </c>
      <c r="H1340" t="s">
        <v>488</v>
      </c>
      <c r="I1340" t="s">
        <v>21</v>
      </c>
    </row>
    <row r="1341" spans="1:9" x14ac:dyDescent="0.25">
      <c r="A1341">
        <v>20130912</v>
      </c>
      <c r="B1341" t="str">
        <f t="shared" si="108"/>
        <v>111510</v>
      </c>
      <c r="C1341" t="str">
        <f t="shared" si="109"/>
        <v>18200</v>
      </c>
      <c r="D1341" t="s">
        <v>516</v>
      </c>
      <c r="E1341">
        <v>52</v>
      </c>
      <c r="F1341">
        <v>20130906</v>
      </c>
      <c r="G1341" t="s">
        <v>467</v>
      </c>
      <c r="H1341" t="s">
        <v>488</v>
      </c>
      <c r="I1341" t="s">
        <v>21</v>
      </c>
    </row>
    <row r="1342" spans="1:9" x14ac:dyDescent="0.25">
      <c r="A1342">
        <v>20130912</v>
      </c>
      <c r="B1342" t="str">
        <f>"111511"</f>
        <v>111511</v>
      </c>
      <c r="C1342" t="str">
        <f>"18500"</f>
        <v>18500</v>
      </c>
      <c r="D1342" t="s">
        <v>517</v>
      </c>
      <c r="E1342" s="1">
        <v>27729</v>
      </c>
      <c r="F1342">
        <v>20130906</v>
      </c>
      <c r="G1342" t="s">
        <v>14</v>
      </c>
      <c r="H1342" t="s">
        <v>518</v>
      </c>
      <c r="I1342" t="s">
        <v>15</v>
      </c>
    </row>
    <row r="1343" spans="1:9" x14ac:dyDescent="0.25">
      <c r="A1343">
        <v>20130912</v>
      </c>
      <c r="B1343" t="str">
        <f>"111512"</f>
        <v>111512</v>
      </c>
      <c r="C1343" t="str">
        <f>"22200"</f>
        <v>22200</v>
      </c>
      <c r="D1343" t="s">
        <v>519</v>
      </c>
      <c r="E1343">
        <v>155.5</v>
      </c>
      <c r="F1343">
        <v>20130911</v>
      </c>
      <c r="G1343" t="s">
        <v>473</v>
      </c>
      <c r="H1343" t="s">
        <v>520</v>
      </c>
      <c r="I1343" t="s">
        <v>21</v>
      </c>
    </row>
    <row r="1344" spans="1:9" x14ac:dyDescent="0.25">
      <c r="A1344">
        <v>20130912</v>
      </c>
      <c r="B1344" t="str">
        <f>"111513"</f>
        <v>111513</v>
      </c>
      <c r="C1344" t="str">
        <f>"22220"</f>
        <v>22220</v>
      </c>
      <c r="D1344" t="s">
        <v>521</v>
      </c>
      <c r="E1344">
        <v>320.57</v>
      </c>
      <c r="F1344">
        <v>20130906</v>
      </c>
      <c r="G1344" t="s">
        <v>99</v>
      </c>
      <c r="H1344" t="s">
        <v>522</v>
      </c>
      <c r="I1344" t="s">
        <v>21</v>
      </c>
    </row>
    <row r="1345" spans="1:9" x14ac:dyDescent="0.25">
      <c r="A1345">
        <v>20130912</v>
      </c>
      <c r="B1345" t="str">
        <f>"111514"</f>
        <v>111514</v>
      </c>
      <c r="C1345" t="str">
        <f>"22500"</f>
        <v>22500</v>
      </c>
      <c r="D1345" t="s">
        <v>523</v>
      </c>
      <c r="E1345">
        <v>152.77000000000001</v>
      </c>
      <c r="F1345">
        <v>20130906</v>
      </c>
      <c r="G1345" t="s">
        <v>524</v>
      </c>
      <c r="H1345" t="s">
        <v>525</v>
      </c>
      <c r="I1345" t="s">
        <v>21</v>
      </c>
    </row>
    <row r="1346" spans="1:9" x14ac:dyDescent="0.25">
      <c r="A1346">
        <v>20130912</v>
      </c>
      <c r="B1346" t="str">
        <f>"111514"</f>
        <v>111514</v>
      </c>
      <c r="C1346" t="str">
        <f>"22500"</f>
        <v>22500</v>
      </c>
      <c r="D1346" t="s">
        <v>523</v>
      </c>
      <c r="E1346">
        <v>200</v>
      </c>
      <c r="F1346">
        <v>20130906</v>
      </c>
      <c r="G1346" t="s">
        <v>526</v>
      </c>
      <c r="H1346" t="s">
        <v>525</v>
      </c>
      <c r="I1346" t="s">
        <v>21</v>
      </c>
    </row>
    <row r="1347" spans="1:9" x14ac:dyDescent="0.25">
      <c r="A1347">
        <v>20130912</v>
      </c>
      <c r="B1347" t="str">
        <f>"111514"</f>
        <v>111514</v>
      </c>
      <c r="C1347" t="str">
        <f>"22500"</f>
        <v>22500</v>
      </c>
      <c r="D1347" t="s">
        <v>523</v>
      </c>
      <c r="E1347">
        <v>120</v>
      </c>
      <c r="F1347">
        <v>20130906</v>
      </c>
      <c r="G1347" t="s">
        <v>526</v>
      </c>
      <c r="H1347" t="s">
        <v>525</v>
      </c>
      <c r="I1347" t="s">
        <v>21</v>
      </c>
    </row>
    <row r="1348" spans="1:9" x14ac:dyDescent="0.25">
      <c r="A1348">
        <v>20130912</v>
      </c>
      <c r="B1348" t="str">
        <f>"111514"</f>
        <v>111514</v>
      </c>
      <c r="C1348" t="str">
        <f>"22500"</f>
        <v>22500</v>
      </c>
      <c r="D1348" t="s">
        <v>523</v>
      </c>
      <c r="E1348">
        <v>120</v>
      </c>
      <c r="F1348">
        <v>20130906</v>
      </c>
      <c r="G1348" t="s">
        <v>450</v>
      </c>
      <c r="H1348" t="s">
        <v>525</v>
      </c>
      <c r="I1348" t="s">
        <v>21</v>
      </c>
    </row>
    <row r="1349" spans="1:9" x14ac:dyDescent="0.25">
      <c r="A1349">
        <v>20130912</v>
      </c>
      <c r="B1349" t="str">
        <f>"111515"</f>
        <v>111515</v>
      </c>
      <c r="C1349" t="str">
        <f>"23130"</f>
        <v>23130</v>
      </c>
      <c r="D1349" t="s">
        <v>527</v>
      </c>
      <c r="E1349">
        <v>13.94</v>
      </c>
      <c r="F1349">
        <v>20130909</v>
      </c>
      <c r="G1349" t="s">
        <v>214</v>
      </c>
      <c r="H1349" t="s">
        <v>354</v>
      </c>
      <c r="I1349" t="s">
        <v>38</v>
      </c>
    </row>
    <row r="1350" spans="1:9" x14ac:dyDescent="0.25">
      <c r="A1350">
        <v>20130912</v>
      </c>
      <c r="B1350" t="str">
        <f>"111516"</f>
        <v>111516</v>
      </c>
      <c r="C1350" t="str">
        <f>"23827"</f>
        <v>23827</v>
      </c>
      <c r="D1350" t="s">
        <v>528</v>
      </c>
      <c r="E1350">
        <v>223.6</v>
      </c>
      <c r="F1350">
        <v>20130906</v>
      </c>
      <c r="G1350" t="s">
        <v>48</v>
      </c>
      <c r="H1350" t="s">
        <v>513</v>
      </c>
      <c r="I1350" t="s">
        <v>25</v>
      </c>
    </row>
    <row r="1351" spans="1:9" x14ac:dyDescent="0.25">
      <c r="A1351">
        <v>20130912</v>
      </c>
      <c r="B1351" t="str">
        <f t="shared" ref="B1351:B1359" si="110">"111517"</f>
        <v>111517</v>
      </c>
      <c r="C1351" t="str">
        <f t="shared" ref="C1351:C1359" si="111">"25516"</f>
        <v>25516</v>
      </c>
      <c r="D1351" t="s">
        <v>529</v>
      </c>
      <c r="E1351">
        <v>156.16</v>
      </c>
      <c r="F1351">
        <v>20130909</v>
      </c>
      <c r="G1351" t="s">
        <v>496</v>
      </c>
      <c r="H1351" t="s">
        <v>414</v>
      </c>
      <c r="I1351" t="s">
        <v>21</v>
      </c>
    </row>
    <row r="1352" spans="1:9" x14ac:dyDescent="0.25">
      <c r="A1352">
        <v>20130912</v>
      </c>
      <c r="B1352" t="str">
        <f t="shared" si="110"/>
        <v>111517</v>
      </c>
      <c r="C1352" t="str">
        <f t="shared" si="111"/>
        <v>25516</v>
      </c>
      <c r="D1352" t="s">
        <v>529</v>
      </c>
      <c r="E1352">
        <v>966.06</v>
      </c>
      <c r="F1352">
        <v>20130909</v>
      </c>
      <c r="G1352" t="s">
        <v>473</v>
      </c>
      <c r="H1352" t="s">
        <v>414</v>
      </c>
      <c r="I1352" t="s">
        <v>21</v>
      </c>
    </row>
    <row r="1353" spans="1:9" x14ac:dyDescent="0.25">
      <c r="A1353">
        <v>20130912</v>
      </c>
      <c r="B1353" t="str">
        <f t="shared" si="110"/>
        <v>111517</v>
      </c>
      <c r="C1353" t="str">
        <f t="shared" si="111"/>
        <v>25516</v>
      </c>
      <c r="D1353" t="s">
        <v>529</v>
      </c>
      <c r="E1353">
        <v>343.12</v>
      </c>
      <c r="F1353">
        <v>20130909</v>
      </c>
      <c r="G1353" t="s">
        <v>477</v>
      </c>
      <c r="H1353" t="s">
        <v>414</v>
      </c>
      <c r="I1353" t="s">
        <v>21</v>
      </c>
    </row>
    <row r="1354" spans="1:9" x14ac:dyDescent="0.25">
      <c r="A1354">
        <v>20130912</v>
      </c>
      <c r="B1354" t="str">
        <f t="shared" si="110"/>
        <v>111517</v>
      </c>
      <c r="C1354" t="str">
        <f t="shared" si="111"/>
        <v>25516</v>
      </c>
      <c r="D1354" t="s">
        <v>529</v>
      </c>
      <c r="E1354">
        <v>343.12</v>
      </c>
      <c r="F1354">
        <v>20130909</v>
      </c>
      <c r="G1354" t="s">
        <v>478</v>
      </c>
      <c r="H1354" t="s">
        <v>414</v>
      </c>
      <c r="I1354" t="s">
        <v>21</v>
      </c>
    </row>
    <row r="1355" spans="1:9" x14ac:dyDescent="0.25">
      <c r="A1355">
        <v>20130912</v>
      </c>
      <c r="B1355" t="str">
        <f t="shared" si="110"/>
        <v>111517</v>
      </c>
      <c r="C1355" t="str">
        <f t="shared" si="111"/>
        <v>25516</v>
      </c>
      <c r="D1355" t="s">
        <v>529</v>
      </c>
      <c r="E1355">
        <v>494.68</v>
      </c>
      <c r="F1355">
        <v>20130909</v>
      </c>
      <c r="G1355" t="s">
        <v>482</v>
      </c>
      <c r="H1355" t="s">
        <v>414</v>
      </c>
      <c r="I1355" t="s">
        <v>21</v>
      </c>
    </row>
    <row r="1356" spans="1:9" x14ac:dyDescent="0.25">
      <c r="A1356">
        <v>20130912</v>
      </c>
      <c r="B1356" t="str">
        <f t="shared" si="110"/>
        <v>111517</v>
      </c>
      <c r="C1356" t="str">
        <f t="shared" si="111"/>
        <v>25516</v>
      </c>
      <c r="D1356" t="s">
        <v>529</v>
      </c>
      <c r="E1356">
        <v>559.73</v>
      </c>
      <c r="F1356">
        <v>20130909</v>
      </c>
      <c r="G1356" t="s">
        <v>485</v>
      </c>
      <c r="H1356" t="s">
        <v>414</v>
      </c>
      <c r="I1356" t="s">
        <v>21</v>
      </c>
    </row>
    <row r="1357" spans="1:9" x14ac:dyDescent="0.25">
      <c r="A1357">
        <v>20130912</v>
      </c>
      <c r="B1357" t="str">
        <f t="shared" si="110"/>
        <v>111517</v>
      </c>
      <c r="C1357" t="str">
        <f t="shared" si="111"/>
        <v>25516</v>
      </c>
      <c r="D1357" t="s">
        <v>529</v>
      </c>
      <c r="E1357">
        <v>200.34</v>
      </c>
      <c r="F1357">
        <v>20130909</v>
      </c>
      <c r="G1357" t="s">
        <v>415</v>
      </c>
      <c r="H1357" t="s">
        <v>414</v>
      </c>
      <c r="I1357" t="s">
        <v>21</v>
      </c>
    </row>
    <row r="1358" spans="1:9" x14ac:dyDescent="0.25">
      <c r="A1358">
        <v>20130912</v>
      </c>
      <c r="B1358" t="str">
        <f t="shared" si="110"/>
        <v>111517</v>
      </c>
      <c r="C1358" t="str">
        <f t="shared" si="111"/>
        <v>25516</v>
      </c>
      <c r="D1358" t="s">
        <v>529</v>
      </c>
      <c r="E1358">
        <v>343.12</v>
      </c>
      <c r="F1358">
        <v>20130909</v>
      </c>
      <c r="G1358" t="s">
        <v>530</v>
      </c>
      <c r="H1358" t="s">
        <v>414</v>
      </c>
      <c r="I1358" t="s">
        <v>21</v>
      </c>
    </row>
    <row r="1359" spans="1:9" x14ac:dyDescent="0.25">
      <c r="A1359">
        <v>20130912</v>
      </c>
      <c r="B1359" t="str">
        <f t="shared" si="110"/>
        <v>111517</v>
      </c>
      <c r="C1359" t="str">
        <f t="shared" si="111"/>
        <v>25516</v>
      </c>
      <c r="D1359" t="s">
        <v>529</v>
      </c>
      <c r="E1359">
        <v>-343.53</v>
      </c>
      <c r="F1359">
        <v>20130912</v>
      </c>
      <c r="G1359" t="s">
        <v>531</v>
      </c>
      <c r="H1359" t="s">
        <v>414</v>
      </c>
      <c r="I1359" t="s">
        <v>21</v>
      </c>
    </row>
    <row r="1360" spans="1:9" x14ac:dyDescent="0.25">
      <c r="A1360">
        <v>20130912</v>
      </c>
      <c r="B1360" t="str">
        <f t="shared" ref="B1360:B1371" si="112">"111518"</f>
        <v>111518</v>
      </c>
      <c r="C1360" t="str">
        <f t="shared" ref="C1360:C1371" si="113">"82286"</f>
        <v>82286</v>
      </c>
      <c r="D1360" t="s">
        <v>532</v>
      </c>
      <c r="E1360" s="1">
        <v>1808.87</v>
      </c>
      <c r="F1360">
        <v>20130906</v>
      </c>
      <c r="G1360" t="s">
        <v>533</v>
      </c>
      <c r="H1360" t="s">
        <v>534</v>
      </c>
      <c r="I1360" t="s">
        <v>21</v>
      </c>
    </row>
    <row r="1361" spans="1:9" x14ac:dyDescent="0.25">
      <c r="A1361">
        <v>20130912</v>
      </c>
      <c r="B1361" t="str">
        <f t="shared" si="112"/>
        <v>111518</v>
      </c>
      <c r="C1361" t="str">
        <f t="shared" si="113"/>
        <v>82286</v>
      </c>
      <c r="D1361" t="s">
        <v>532</v>
      </c>
      <c r="E1361">
        <v>48.89</v>
      </c>
      <c r="F1361">
        <v>20130906</v>
      </c>
      <c r="G1361" t="s">
        <v>535</v>
      </c>
      <c r="H1361" t="s">
        <v>534</v>
      </c>
      <c r="I1361" t="s">
        <v>21</v>
      </c>
    </row>
    <row r="1362" spans="1:9" x14ac:dyDescent="0.25">
      <c r="A1362">
        <v>20130912</v>
      </c>
      <c r="B1362" t="str">
        <f t="shared" si="112"/>
        <v>111518</v>
      </c>
      <c r="C1362" t="str">
        <f t="shared" si="113"/>
        <v>82286</v>
      </c>
      <c r="D1362" t="s">
        <v>532</v>
      </c>
      <c r="E1362">
        <v>733.32</v>
      </c>
      <c r="F1362">
        <v>20130906</v>
      </c>
      <c r="G1362" t="s">
        <v>536</v>
      </c>
      <c r="H1362" t="s">
        <v>534</v>
      </c>
      <c r="I1362" t="s">
        <v>21</v>
      </c>
    </row>
    <row r="1363" spans="1:9" x14ac:dyDescent="0.25">
      <c r="A1363">
        <v>20130912</v>
      </c>
      <c r="B1363" t="str">
        <f t="shared" si="112"/>
        <v>111518</v>
      </c>
      <c r="C1363" t="str">
        <f t="shared" si="113"/>
        <v>82286</v>
      </c>
      <c r="D1363" t="s">
        <v>532</v>
      </c>
      <c r="E1363">
        <v>244.44</v>
      </c>
      <c r="F1363">
        <v>20130906</v>
      </c>
      <c r="G1363" t="s">
        <v>537</v>
      </c>
      <c r="H1363" t="s">
        <v>534</v>
      </c>
      <c r="I1363" t="s">
        <v>21</v>
      </c>
    </row>
    <row r="1364" spans="1:9" x14ac:dyDescent="0.25">
      <c r="A1364">
        <v>20130912</v>
      </c>
      <c r="B1364" t="str">
        <f t="shared" si="112"/>
        <v>111518</v>
      </c>
      <c r="C1364" t="str">
        <f t="shared" si="113"/>
        <v>82286</v>
      </c>
      <c r="D1364" t="s">
        <v>532</v>
      </c>
      <c r="E1364">
        <v>293.39</v>
      </c>
      <c r="F1364">
        <v>20130906</v>
      </c>
      <c r="G1364" t="s">
        <v>538</v>
      </c>
      <c r="H1364" t="s">
        <v>534</v>
      </c>
      <c r="I1364" t="s">
        <v>21</v>
      </c>
    </row>
    <row r="1365" spans="1:9" x14ac:dyDescent="0.25">
      <c r="A1365">
        <v>20130912</v>
      </c>
      <c r="B1365" t="str">
        <f t="shared" si="112"/>
        <v>111518</v>
      </c>
      <c r="C1365" t="str">
        <f t="shared" si="113"/>
        <v>82286</v>
      </c>
      <c r="D1365" t="s">
        <v>532</v>
      </c>
      <c r="E1365">
        <v>342.21</v>
      </c>
      <c r="F1365">
        <v>20130906</v>
      </c>
      <c r="G1365" t="s">
        <v>539</v>
      </c>
      <c r="H1365" t="s">
        <v>534</v>
      </c>
      <c r="I1365" t="s">
        <v>21</v>
      </c>
    </row>
    <row r="1366" spans="1:9" x14ac:dyDescent="0.25">
      <c r="A1366">
        <v>20130912</v>
      </c>
      <c r="B1366" t="str">
        <f t="shared" si="112"/>
        <v>111518</v>
      </c>
      <c r="C1366" t="str">
        <f t="shared" si="113"/>
        <v>82286</v>
      </c>
      <c r="D1366" t="s">
        <v>532</v>
      </c>
      <c r="E1366">
        <v>180.52</v>
      </c>
      <c r="F1366">
        <v>20130906</v>
      </c>
      <c r="G1366" t="s">
        <v>540</v>
      </c>
      <c r="H1366" t="s">
        <v>534</v>
      </c>
      <c r="I1366" t="s">
        <v>21</v>
      </c>
    </row>
    <row r="1367" spans="1:9" x14ac:dyDescent="0.25">
      <c r="A1367">
        <v>20130912</v>
      </c>
      <c r="B1367" t="str">
        <f t="shared" si="112"/>
        <v>111518</v>
      </c>
      <c r="C1367" t="str">
        <f t="shared" si="113"/>
        <v>82286</v>
      </c>
      <c r="D1367" t="s">
        <v>532</v>
      </c>
      <c r="E1367">
        <v>180.51</v>
      </c>
      <c r="F1367">
        <v>20130906</v>
      </c>
      <c r="G1367" t="s">
        <v>541</v>
      </c>
      <c r="H1367" t="s">
        <v>534</v>
      </c>
      <c r="I1367" t="s">
        <v>21</v>
      </c>
    </row>
    <row r="1368" spans="1:9" x14ac:dyDescent="0.25">
      <c r="A1368">
        <v>20130912</v>
      </c>
      <c r="B1368" t="str">
        <f t="shared" si="112"/>
        <v>111518</v>
      </c>
      <c r="C1368" t="str">
        <f t="shared" si="113"/>
        <v>82286</v>
      </c>
      <c r="D1368" t="s">
        <v>532</v>
      </c>
      <c r="E1368">
        <v>782.21</v>
      </c>
      <c r="F1368">
        <v>20130906</v>
      </c>
      <c r="G1368" t="s">
        <v>542</v>
      </c>
      <c r="H1368" t="s">
        <v>534</v>
      </c>
      <c r="I1368" t="s">
        <v>21</v>
      </c>
    </row>
    <row r="1369" spans="1:9" x14ac:dyDescent="0.25">
      <c r="A1369">
        <v>20130912</v>
      </c>
      <c r="B1369" t="str">
        <f t="shared" si="112"/>
        <v>111518</v>
      </c>
      <c r="C1369" t="str">
        <f t="shared" si="113"/>
        <v>82286</v>
      </c>
      <c r="D1369" t="s">
        <v>532</v>
      </c>
      <c r="E1369">
        <v>48.89</v>
      </c>
      <c r="F1369">
        <v>20130906</v>
      </c>
      <c r="G1369" t="s">
        <v>543</v>
      </c>
      <c r="H1369" t="s">
        <v>534</v>
      </c>
      <c r="I1369" t="s">
        <v>21</v>
      </c>
    </row>
    <row r="1370" spans="1:9" x14ac:dyDescent="0.25">
      <c r="A1370">
        <v>20130912</v>
      </c>
      <c r="B1370" t="str">
        <f t="shared" si="112"/>
        <v>111518</v>
      </c>
      <c r="C1370" t="str">
        <f t="shared" si="113"/>
        <v>82286</v>
      </c>
      <c r="D1370" t="s">
        <v>532</v>
      </c>
      <c r="E1370">
        <v>293.37</v>
      </c>
      <c r="F1370">
        <v>20130906</v>
      </c>
      <c r="G1370" t="s">
        <v>544</v>
      </c>
      <c r="H1370" t="s">
        <v>534</v>
      </c>
      <c r="I1370" t="s">
        <v>21</v>
      </c>
    </row>
    <row r="1371" spans="1:9" x14ac:dyDescent="0.25">
      <c r="A1371">
        <v>20130912</v>
      </c>
      <c r="B1371" t="str">
        <f t="shared" si="112"/>
        <v>111518</v>
      </c>
      <c r="C1371" t="str">
        <f t="shared" si="113"/>
        <v>82286</v>
      </c>
      <c r="D1371" t="s">
        <v>532</v>
      </c>
      <c r="E1371">
        <v>293.38</v>
      </c>
      <c r="F1371">
        <v>20130906</v>
      </c>
      <c r="G1371" t="s">
        <v>545</v>
      </c>
      <c r="H1371" t="s">
        <v>534</v>
      </c>
      <c r="I1371" t="s">
        <v>21</v>
      </c>
    </row>
    <row r="1372" spans="1:9" x14ac:dyDescent="0.25">
      <c r="A1372">
        <v>20130912</v>
      </c>
      <c r="B1372" t="str">
        <f>"111519"</f>
        <v>111519</v>
      </c>
      <c r="C1372" t="str">
        <f>"82613"</f>
        <v>82613</v>
      </c>
      <c r="D1372" t="s">
        <v>546</v>
      </c>
      <c r="E1372">
        <v>198</v>
      </c>
      <c r="F1372">
        <v>20130909</v>
      </c>
      <c r="G1372" t="s">
        <v>337</v>
      </c>
      <c r="H1372" t="s">
        <v>547</v>
      </c>
      <c r="I1372" t="s">
        <v>21</v>
      </c>
    </row>
    <row r="1373" spans="1:9" x14ac:dyDescent="0.25">
      <c r="A1373">
        <v>20130912</v>
      </c>
      <c r="B1373" t="str">
        <f>"111520"</f>
        <v>111520</v>
      </c>
      <c r="C1373" t="str">
        <f>"26990"</f>
        <v>26990</v>
      </c>
      <c r="D1373" t="s">
        <v>548</v>
      </c>
      <c r="E1373">
        <v>20</v>
      </c>
      <c r="F1373">
        <v>20130911</v>
      </c>
      <c r="G1373" t="s">
        <v>426</v>
      </c>
      <c r="H1373" t="s">
        <v>549</v>
      </c>
      <c r="I1373" t="s">
        <v>21</v>
      </c>
    </row>
    <row r="1374" spans="1:9" x14ac:dyDescent="0.25">
      <c r="A1374">
        <v>20130912</v>
      </c>
      <c r="B1374" t="str">
        <f>"111520"</f>
        <v>111520</v>
      </c>
      <c r="C1374" t="str">
        <f>"26990"</f>
        <v>26990</v>
      </c>
      <c r="D1374" t="s">
        <v>548</v>
      </c>
      <c r="E1374">
        <v>15</v>
      </c>
      <c r="F1374">
        <v>20130911</v>
      </c>
      <c r="G1374" t="s">
        <v>426</v>
      </c>
      <c r="H1374" t="s">
        <v>550</v>
      </c>
      <c r="I1374" t="s">
        <v>21</v>
      </c>
    </row>
    <row r="1375" spans="1:9" x14ac:dyDescent="0.25">
      <c r="A1375">
        <v>20130912</v>
      </c>
      <c r="B1375" t="str">
        <f>"111521"</f>
        <v>111521</v>
      </c>
      <c r="C1375" t="str">
        <f>"27981"</f>
        <v>27981</v>
      </c>
      <c r="D1375" t="s">
        <v>551</v>
      </c>
      <c r="E1375">
        <v>96.45</v>
      </c>
      <c r="F1375">
        <v>20130909</v>
      </c>
      <c r="G1375" t="s">
        <v>415</v>
      </c>
      <c r="H1375" t="s">
        <v>414</v>
      </c>
      <c r="I1375" t="s">
        <v>21</v>
      </c>
    </row>
    <row r="1376" spans="1:9" x14ac:dyDescent="0.25">
      <c r="A1376">
        <v>20130912</v>
      </c>
      <c r="B1376" t="str">
        <f>"111521"</f>
        <v>111521</v>
      </c>
      <c r="C1376" t="str">
        <f>"27981"</f>
        <v>27981</v>
      </c>
      <c r="D1376" t="s">
        <v>551</v>
      </c>
      <c r="E1376">
        <v>23.05</v>
      </c>
      <c r="F1376">
        <v>20130909</v>
      </c>
      <c r="G1376" t="s">
        <v>392</v>
      </c>
      <c r="H1376" t="s">
        <v>414</v>
      </c>
      <c r="I1376" t="s">
        <v>21</v>
      </c>
    </row>
    <row r="1377" spans="1:9" x14ac:dyDescent="0.25">
      <c r="A1377">
        <v>20130912</v>
      </c>
      <c r="B1377" t="str">
        <f>"111521"</f>
        <v>111521</v>
      </c>
      <c r="C1377" t="str">
        <f>"27981"</f>
        <v>27981</v>
      </c>
      <c r="D1377" t="s">
        <v>551</v>
      </c>
      <c r="E1377">
        <v>720</v>
      </c>
      <c r="F1377">
        <v>20130909</v>
      </c>
      <c r="G1377" t="s">
        <v>392</v>
      </c>
      <c r="H1377" t="s">
        <v>414</v>
      </c>
      <c r="I1377" t="s">
        <v>21</v>
      </c>
    </row>
    <row r="1378" spans="1:9" x14ac:dyDescent="0.25">
      <c r="A1378">
        <v>20130912</v>
      </c>
      <c r="B1378" t="str">
        <f>"111521"</f>
        <v>111521</v>
      </c>
      <c r="C1378" t="str">
        <f>"27981"</f>
        <v>27981</v>
      </c>
      <c r="D1378" t="s">
        <v>551</v>
      </c>
      <c r="E1378">
        <v>360</v>
      </c>
      <c r="F1378">
        <v>20130909</v>
      </c>
      <c r="G1378" t="s">
        <v>392</v>
      </c>
      <c r="H1378" t="s">
        <v>414</v>
      </c>
      <c r="I1378" t="s">
        <v>21</v>
      </c>
    </row>
    <row r="1379" spans="1:9" x14ac:dyDescent="0.25">
      <c r="A1379">
        <v>20130912</v>
      </c>
      <c r="B1379" t="str">
        <f>"111522"</f>
        <v>111522</v>
      </c>
      <c r="C1379" t="str">
        <f>"00653"</f>
        <v>00653</v>
      </c>
      <c r="D1379" t="s">
        <v>552</v>
      </c>
      <c r="E1379" s="1">
        <v>1247.4000000000001</v>
      </c>
      <c r="F1379">
        <v>20130906</v>
      </c>
      <c r="G1379" t="s">
        <v>48</v>
      </c>
      <c r="H1379" t="s">
        <v>553</v>
      </c>
      <c r="I1379" t="s">
        <v>25</v>
      </c>
    </row>
    <row r="1380" spans="1:9" x14ac:dyDescent="0.25">
      <c r="A1380">
        <v>20130912</v>
      </c>
      <c r="B1380" t="str">
        <f t="shared" ref="B1380:B1387" si="114">"111523"</f>
        <v>111523</v>
      </c>
      <c r="C1380" t="str">
        <f t="shared" ref="C1380:C1387" si="115">"81054"</f>
        <v>81054</v>
      </c>
      <c r="D1380" t="s">
        <v>554</v>
      </c>
      <c r="E1380">
        <v>207</v>
      </c>
      <c r="F1380">
        <v>20130906</v>
      </c>
      <c r="G1380" t="s">
        <v>381</v>
      </c>
      <c r="H1380" t="s">
        <v>555</v>
      </c>
      <c r="I1380" t="s">
        <v>21</v>
      </c>
    </row>
    <row r="1381" spans="1:9" x14ac:dyDescent="0.25">
      <c r="A1381">
        <v>20130912</v>
      </c>
      <c r="B1381" t="str">
        <f t="shared" si="114"/>
        <v>111523</v>
      </c>
      <c r="C1381" t="str">
        <f t="shared" si="115"/>
        <v>81054</v>
      </c>
      <c r="D1381" t="s">
        <v>554</v>
      </c>
      <c r="E1381">
        <v>346.5</v>
      </c>
      <c r="F1381">
        <v>20130906</v>
      </c>
      <c r="G1381" t="s">
        <v>381</v>
      </c>
      <c r="H1381" t="s">
        <v>555</v>
      </c>
      <c r="I1381" t="s">
        <v>21</v>
      </c>
    </row>
    <row r="1382" spans="1:9" x14ac:dyDescent="0.25">
      <c r="A1382">
        <v>20130912</v>
      </c>
      <c r="B1382" t="str">
        <f t="shared" si="114"/>
        <v>111523</v>
      </c>
      <c r="C1382" t="str">
        <f t="shared" si="115"/>
        <v>81054</v>
      </c>
      <c r="D1382" t="s">
        <v>554</v>
      </c>
      <c r="E1382">
        <v>338.5</v>
      </c>
      <c r="F1382">
        <v>20130906</v>
      </c>
      <c r="G1382" t="s">
        <v>381</v>
      </c>
      <c r="H1382" t="s">
        <v>555</v>
      </c>
      <c r="I1382" t="s">
        <v>21</v>
      </c>
    </row>
    <row r="1383" spans="1:9" x14ac:dyDescent="0.25">
      <c r="A1383">
        <v>20130912</v>
      </c>
      <c r="B1383" t="str">
        <f t="shared" si="114"/>
        <v>111523</v>
      </c>
      <c r="C1383" t="str">
        <f t="shared" si="115"/>
        <v>81054</v>
      </c>
      <c r="D1383" t="s">
        <v>554</v>
      </c>
      <c r="E1383">
        <v>321</v>
      </c>
      <c r="F1383">
        <v>20130906</v>
      </c>
      <c r="G1383" t="s">
        <v>381</v>
      </c>
      <c r="H1383" t="s">
        <v>555</v>
      </c>
      <c r="I1383" t="s">
        <v>21</v>
      </c>
    </row>
    <row r="1384" spans="1:9" x14ac:dyDescent="0.25">
      <c r="A1384">
        <v>20130912</v>
      </c>
      <c r="B1384" t="str">
        <f t="shared" si="114"/>
        <v>111523</v>
      </c>
      <c r="C1384" t="str">
        <f t="shared" si="115"/>
        <v>81054</v>
      </c>
      <c r="D1384" t="s">
        <v>554</v>
      </c>
      <c r="E1384">
        <v>294.5</v>
      </c>
      <c r="F1384">
        <v>20130906</v>
      </c>
      <c r="G1384" t="s">
        <v>381</v>
      </c>
      <c r="H1384" t="s">
        <v>555</v>
      </c>
      <c r="I1384" t="s">
        <v>21</v>
      </c>
    </row>
    <row r="1385" spans="1:9" x14ac:dyDescent="0.25">
      <c r="A1385">
        <v>20130912</v>
      </c>
      <c r="B1385" t="str">
        <f t="shared" si="114"/>
        <v>111523</v>
      </c>
      <c r="C1385" t="str">
        <f t="shared" si="115"/>
        <v>81054</v>
      </c>
      <c r="D1385" t="s">
        <v>554</v>
      </c>
      <c r="E1385">
        <v>279</v>
      </c>
      <c r="F1385">
        <v>20130906</v>
      </c>
      <c r="G1385" t="s">
        <v>381</v>
      </c>
      <c r="H1385" t="s">
        <v>555</v>
      </c>
      <c r="I1385" t="s">
        <v>21</v>
      </c>
    </row>
    <row r="1386" spans="1:9" x14ac:dyDescent="0.25">
      <c r="A1386">
        <v>20130912</v>
      </c>
      <c r="B1386" t="str">
        <f t="shared" si="114"/>
        <v>111523</v>
      </c>
      <c r="C1386" t="str">
        <f t="shared" si="115"/>
        <v>81054</v>
      </c>
      <c r="D1386" t="s">
        <v>554</v>
      </c>
      <c r="E1386">
        <v>268.5</v>
      </c>
      <c r="F1386">
        <v>20130906</v>
      </c>
      <c r="G1386" t="s">
        <v>381</v>
      </c>
      <c r="H1386" t="s">
        <v>555</v>
      </c>
      <c r="I1386" t="s">
        <v>21</v>
      </c>
    </row>
    <row r="1387" spans="1:9" x14ac:dyDescent="0.25">
      <c r="A1387">
        <v>20130912</v>
      </c>
      <c r="B1387" t="str">
        <f t="shared" si="114"/>
        <v>111523</v>
      </c>
      <c r="C1387" t="str">
        <f t="shared" si="115"/>
        <v>81054</v>
      </c>
      <c r="D1387" t="s">
        <v>554</v>
      </c>
      <c r="E1387">
        <v>208.5</v>
      </c>
      <c r="F1387">
        <v>20130906</v>
      </c>
      <c r="G1387" t="s">
        <v>381</v>
      </c>
      <c r="H1387" t="s">
        <v>555</v>
      </c>
      <c r="I1387" t="s">
        <v>21</v>
      </c>
    </row>
    <row r="1388" spans="1:9" x14ac:dyDescent="0.25">
      <c r="A1388">
        <v>20130912</v>
      </c>
      <c r="B1388" t="str">
        <f>"111524"</f>
        <v>111524</v>
      </c>
      <c r="C1388" t="str">
        <f>"30000"</f>
        <v>30000</v>
      </c>
      <c r="D1388" t="s">
        <v>556</v>
      </c>
      <c r="E1388">
        <v>154.25</v>
      </c>
      <c r="F1388">
        <v>20130909</v>
      </c>
      <c r="G1388" t="s">
        <v>557</v>
      </c>
      <c r="H1388" t="s">
        <v>414</v>
      </c>
      <c r="I1388" t="s">
        <v>21</v>
      </c>
    </row>
    <row r="1389" spans="1:9" x14ac:dyDescent="0.25">
      <c r="A1389">
        <v>20130912</v>
      </c>
      <c r="B1389" t="str">
        <f>"111525"</f>
        <v>111525</v>
      </c>
      <c r="C1389" t="str">
        <f>"00287"</f>
        <v>00287</v>
      </c>
      <c r="D1389" t="s">
        <v>558</v>
      </c>
      <c r="E1389" s="1">
        <v>11976.72</v>
      </c>
      <c r="F1389">
        <v>20130906</v>
      </c>
      <c r="G1389" t="s">
        <v>559</v>
      </c>
      <c r="H1389" t="s">
        <v>560</v>
      </c>
      <c r="I1389" t="s">
        <v>21</v>
      </c>
    </row>
    <row r="1390" spans="1:9" x14ac:dyDescent="0.25">
      <c r="A1390">
        <v>20130912</v>
      </c>
      <c r="B1390" t="str">
        <f>"111526"</f>
        <v>111526</v>
      </c>
      <c r="C1390" t="str">
        <f>"85333"</f>
        <v>85333</v>
      </c>
      <c r="D1390" t="s">
        <v>561</v>
      </c>
      <c r="E1390">
        <v>33.799999999999997</v>
      </c>
      <c r="F1390">
        <v>20130909</v>
      </c>
      <c r="G1390" t="s">
        <v>562</v>
      </c>
      <c r="H1390" t="s">
        <v>563</v>
      </c>
      <c r="I1390" t="s">
        <v>21</v>
      </c>
    </row>
    <row r="1391" spans="1:9" x14ac:dyDescent="0.25">
      <c r="A1391">
        <v>20130912</v>
      </c>
      <c r="B1391" t="str">
        <f>"111527"</f>
        <v>111527</v>
      </c>
      <c r="C1391" t="str">
        <f>"00124"</f>
        <v>00124</v>
      </c>
      <c r="D1391" t="s">
        <v>564</v>
      </c>
      <c r="E1391">
        <v>200</v>
      </c>
      <c r="F1391">
        <v>20130911</v>
      </c>
      <c r="G1391" t="s">
        <v>347</v>
      </c>
      <c r="H1391" t="s">
        <v>565</v>
      </c>
      <c r="I1391" t="s">
        <v>61</v>
      </c>
    </row>
    <row r="1392" spans="1:9" x14ac:dyDescent="0.25">
      <c r="A1392">
        <v>20130912</v>
      </c>
      <c r="B1392" t="str">
        <f>"111528"</f>
        <v>111528</v>
      </c>
      <c r="C1392" t="str">
        <f>"87024"</f>
        <v>87024</v>
      </c>
      <c r="D1392" t="s">
        <v>566</v>
      </c>
      <c r="E1392">
        <v>18.5</v>
      </c>
      <c r="F1392">
        <v>20130909</v>
      </c>
      <c r="G1392" t="s">
        <v>562</v>
      </c>
      <c r="H1392" t="s">
        <v>563</v>
      </c>
      <c r="I1392" t="s">
        <v>21</v>
      </c>
    </row>
    <row r="1393" spans="1:9" x14ac:dyDescent="0.25">
      <c r="A1393">
        <v>20130912</v>
      </c>
      <c r="B1393" t="str">
        <f>"111529"</f>
        <v>111529</v>
      </c>
      <c r="C1393" t="str">
        <f>"83496"</f>
        <v>83496</v>
      </c>
      <c r="D1393" t="s">
        <v>567</v>
      </c>
      <c r="E1393">
        <v>44.86</v>
      </c>
      <c r="F1393">
        <v>20130906</v>
      </c>
      <c r="G1393" t="s">
        <v>568</v>
      </c>
      <c r="H1393" t="s">
        <v>569</v>
      </c>
      <c r="I1393" t="s">
        <v>21</v>
      </c>
    </row>
    <row r="1394" spans="1:9" x14ac:dyDescent="0.25">
      <c r="A1394">
        <v>20130912</v>
      </c>
      <c r="B1394" t="str">
        <f>"111530"</f>
        <v>111530</v>
      </c>
      <c r="C1394" t="str">
        <f>"30480"</f>
        <v>30480</v>
      </c>
      <c r="D1394" t="s">
        <v>570</v>
      </c>
      <c r="E1394" s="1">
        <v>5442</v>
      </c>
      <c r="F1394">
        <v>20130906</v>
      </c>
      <c r="G1394" t="s">
        <v>571</v>
      </c>
      <c r="H1394" t="s">
        <v>572</v>
      </c>
      <c r="I1394" t="s">
        <v>21</v>
      </c>
    </row>
    <row r="1395" spans="1:9" x14ac:dyDescent="0.25">
      <c r="A1395">
        <v>20130912</v>
      </c>
      <c r="B1395" t="str">
        <f>"111531"</f>
        <v>111531</v>
      </c>
      <c r="C1395" t="str">
        <f>"87003"</f>
        <v>87003</v>
      </c>
      <c r="D1395" t="s">
        <v>573</v>
      </c>
      <c r="E1395" s="1">
        <v>28432.52</v>
      </c>
      <c r="F1395">
        <v>20130906</v>
      </c>
      <c r="G1395" t="s">
        <v>574</v>
      </c>
      <c r="H1395" t="s">
        <v>575</v>
      </c>
      <c r="I1395" t="s">
        <v>21</v>
      </c>
    </row>
    <row r="1396" spans="1:9" x14ac:dyDescent="0.25">
      <c r="A1396">
        <v>20130912</v>
      </c>
      <c r="B1396" t="str">
        <f t="shared" ref="B1396:B1403" si="116">"111532"</f>
        <v>111532</v>
      </c>
      <c r="C1396" t="str">
        <f t="shared" ref="C1396:C1403" si="117">"31200"</f>
        <v>31200</v>
      </c>
      <c r="D1396" t="s">
        <v>576</v>
      </c>
      <c r="E1396">
        <v>74.760000000000005</v>
      </c>
      <c r="F1396">
        <v>20130911</v>
      </c>
      <c r="G1396" t="s">
        <v>577</v>
      </c>
      <c r="H1396" t="s">
        <v>578</v>
      </c>
      <c r="I1396" t="s">
        <v>21</v>
      </c>
    </row>
    <row r="1397" spans="1:9" x14ac:dyDescent="0.25">
      <c r="A1397">
        <v>20130912</v>
      </c>
      <c r="B1397" t="str">
        <f t="shared" si="116"/>
        <v>111532</v>
      </c>
      <c r="C1397" t="str">
        <f t="shared" si="117"/>
        <v>31200</v>
      </c>
      <c r="D1397" t="s">
        <v>576</v>
      </c>
      <c r="E1397">
        <v>324.48</v>
      </c>
      <c r="F1397">
        <v>20130911</v>
      </c>
      <c r="G1397" t="s">
        <v>579</v>
      </c>
      <c r="H1397" t="s">
        <v>578</v>
      </c>
      <c r="I1397" t="s">
        <v>21</v>
      </c>
    </row>
    <row r="1398" spans="1:9" x14ac:dyDescent="0.25">
      <c r="A1398">
        <v>20130912</v>
      </c>
      <c r="B1398" t="str">
        <f t="shared" si="116"/>
        <v>111532</v>
      </c>
      <c r="C1398" t="str">
        <f t="shared" si="117"/>
        <v>31200</v>
      </c>
      <c r="D1398" t="s">
        <v>576</v>
      </c>
      <c r="E1398">
        <v>135.19999999999999</v>
      </c>
      <c r="F1398">
        <v>20130911</v>
      </c>
      <c r="G1398" t="s">
        <v>580</v>
      </c>
      <c r="H1398" t="s">
        <v>578</v>
      </c>
      <c r="I1398" t="s">
        <v>21</v>
      </c>
    </row>
    <row r="1399" spans="1:9" x14ac:dyDescent="0.25">
      <c r="A1399">
        <v>20130912</v>
      </c>
      <c r="B1399" t="str">
        <f t="shared" si="116"/>
        <v>111532</v>
      </c>
      <c r="C1399" t="str">
        <f t="shared" si="117"/>
        <v>31200</v>
      </c>
      <c r="D1399" t="s">
        <v>576</v>
      </c>
      <c r="E1399">
        <v>540.79999999999995</v>
      </c>
      <c r="F1399">
        <v>20130911</v>
      </c>
      <c r="G1399" t="s">
        <v>581</v>
      </c>
      <c r="H1399" t="s">
        <v>578</v>
      </c>
      <c r="I1399" t="s">
        <v>21</v>
      </c>
    </row>
    <row r="1400" spans="1:9" x14ac:dyDescent="0.25">
      <c r="A1400">
        <v>20130912</v>
      </c>
      <c r="B1400" t="str">
        <f t="shared" si="116"/>
        <v>111532</v>
      </c>
      <c r="C1400" t="str">
        <f t="shared" si="117"/>
        <v>31200</v>
      </c>
      <c r="D1400" t="s">
        <v>576</v>
      </c>
      <c r="E1400">
        <v>186.9</v>
      </c>
      <c r="F1400">
        <v>20130911</v>
      </c>
      <c r="G1400" t="s">
        <v>582</v>
      </c>
      <c r="H1400" t="s">
        <v>578</v>
      </c>
      <c r="I1400" t="s">
        <v>21</v>
      </c>
    </row>
    <row r="1401" spans="1:9" x14ac:dyDescent="0.25">
      <c r="A1401">
        <v>20130912</v>
      </c>
      <c r="B1401" t="str">
        <f t="shared" si="116"/>
        <v>111532</v>
      </c>
      <c r="C1401" t="str">
        <f t="shared" si="117"/>
        <v>31200</v>
      </c>
      <c r="D1401" t="s">
        <v>576</v>
      </c>
      <c r="E1401">
        <v>934.5</v>
      </c>
      <c r="F1401">
        <v>20130911</v>
      </c>
      <c r="G1401" t="s">
        <v>583</v>
      </c>
      <c r="H1401" t="s">
        <v>578</v>
      </c>
      <c r="I1401" t="s">
        <v>21</v>
      </c>
    </row>
    <row r="1402" spans="1:9" x14ac:dyDescent="0.25">
      <c r="A1402">
        <v>20130912</v>
      </c>
      <c r="B1402" t="str">
        <f t="shared" si="116"/>
        <v>111532</v>
      </c>
      <c r="C1402" t="str">
        <f t="shared" si="117"/>
        <v>31200</v>
      </c>
      <c r="D1402" t="s">
        <v>576</v>
      </c>
      <c r="E1402">
        <v>37.380000000000003</v>
      </c>
      <c r="F1402">
        <v>20130911</v>
      </c>
      <c r="G1402" t="s">
        <v>584</v>
      </c>
      <c r="H1402" t="s">
        <v>578</v>
      </c>
      <c r="I1402" t="s">
        <v>21</v>
      </c>
    </row>
    <row r="1403" spans="1:9" x14ac:dyDescent="0.25">
      <c r="A1403">
        <v>20130912</v>
      </c>
      <c r="B1403" t="str">
        <f t="shared" si="116"/>
        <v>111532</v>
      </c>
      <c r="C1403" t="str">
        <f t="shared" si="117"/>
        <v>31200</v>
      </c>
      <c r="D1403" t="s">
        <v>576</v>
      </c>
      <c r="E1403">
        <v>37.380000000000003</v>
      </c>
      <c r="F1403">
        <v>20130911</v>
      </c>
      <c r="G1403" t="s">
        <v>585</v>
      </c>
      <c r="H1403" t="s">
        <v>578</v>
      </c>
      <c r="I1403" t="s">
        <v>21</v>
      </c>
    </row>
    <row r="1404" spans="1:9" x14ac:dyDescent="0.25">
      <c r="A1404">
        <v>20130912</v>
      </c>
      <c r="B1404" t="str">
        <f>"111533"</f>
        <v>111533</v>
      </c>
      <c r="C1404" t="str">
        <f>"86971"</f>
        <v>86971</v>
      </c>
      <c r="D1404" t="s">
        <v>586</v>
      </c>
      <c r="E1404">
        <v>231.3</v>
      </c>
      <c r="F1404">
        <v>20130909</v>
      </c>
      <c r="G1404" t="s">
        <v>214</v>
      </c>
      <c r="H1404" t="s">
        <v>354</v>
      </c>
      <c r="I1404" t="s">
        <v>38</v>
      </c>
    </row>
    <row r="1405" spans="1:9" x14ac:dyDescent="0.25">
      <c r="A1405">
        <v>20130912</v>
      </c>
      <c r="B1405" t="str">
        <f>"111534"</f>
        <v>111534</v>
      </c>
      <c r="C1405" t="str">
        <f t="shared" ref="C1405:C1411" si="118">"87380"</f>
        <v>87380</v>
      </c>
      <c r="D1405" t="s">
        <v>355</v>
      </c>
      <c r="E1405">
        <v>215</v>
      </c>
      <c r="F1405">
        <v>20130910</v>
      </c>
      <c r="G1405" t="s">
        <v>356</v>
      </c>
      <c r="H1405" t="s">
        <v>357</v>
      </c>
      <c r="I1405" t="s">
        <v>61</v>
      </c>
    </row>
    <row r="1406" spans="1:9" x14ac:dyDescent="0.25">
      <c r="A1406">
        <v>20130912</v>
      </c>
      <c r="B1406" t="str">
        <f>"111535"</f>
        <v>111535</v>
      </c>
      <c r="C1406" t="str">
        <f t="shared" si="118"/>
        <v>87380</v>
      </c>
      <c r="D1406" t="s">
        <v>355</v>
      </c>
      <c r="E1406">
        <v>215</v>
      </c>
      <c r="F1406">
        <v>20130910</v>
      </c>
      <c r="G1406" t="s">
        <v>356</v>
      </c>
      <c r="H1406" t="s">
        <v>357</v>
      </c>
      <c r="I1406" t="s">
        <v>61</v>
      </c>
    </row>
    <row r="1407" spans="1:9" x14ac:dyDescent="0.25">
      <c r="A1407">
        <v>20130912</v>
      </c>
      <c r="B1407" t="str">
        <f>"111536"</f>
        <v>111536</v>
      </c>
      <c r="C1407" t="str">
        <f t="shared" si="118"/>
        <v>87380</v>
      </c>
      <c r="D1407" t="s">
        <v>355</v>
      </c>
      <c r="E1407">
        <v>215</v>
      </c>
      <c r="F1407">
        <v>20130910</v>
      </c>
      <c r="G1407" t="s">
        <v>356</v>
      </c>
      <c r="H1407" t="s">
        <v>357</v>
      </c>
      <c r="I1407" t="s">
        <v>61</v>
      </c>
    </row>
    <row r="1408" spans="1:9" x14ac:dyDescent="0.25">
      <c r="A1408">
        <v>20130912</v>
      </c>
      <c r="B1408" t="str">
        <f>"111536"</f>
        <v>111536</v>
      </c>
      <c r="C1408" t="str">
        <f t="shared" si="118"/>
        <v>87380</v>
      </c>
      <c r="D1408" t="s">
        <v>355</v>
      </c>
      <c r="E1408">
        <v>-215</v>
      </c>
      <c r="F1408">
        <v>20131017</v>
      </c>
      <c r="G1408" t="s">
        <v>356</v>
      </c>
      <c r="H1408" t="s">
        <v>587</v>
      </c>
      <c r="I1408" t="s">
        <v>61</v>
      </c>
    </row>
    <row r="1409" spans="1:9" x14ac:dyDescent="0.25">
      <c r="A1409">
        <v>20130912</v>
      </c>
      <c r="B1409" t="str">
        <f>"111537"</f>
        <v>111537</v>
      </c>
      <c r="C1409" t="str">
        <f t="shared" si="118"/>
        <v>87380</v>
      </c>
      <c r="D1409" t="s">
        <v>355</v>
      </c>
      <c r="E1409">
        <v>215</v>
      </c>
      <c r="F1409">
        <v>20130910</v>
      </c>
      <c r="G1409" t="s">
        <v>356</v>
      </c>
      <c r="H1409" t="s">
        <v>357</v>
      </c>
      <c r="I1409" t="s">
        <v>61</v>
      </c>
    </row>
    <row r="1410" spans="1:9" x14ac:dyDescent="0.25">
      <c r="A1410">
        <v>20130912</v>
      </c>
      <c r="B1410" t="str">
        <f>"111538"</f>
        <v>111538</v>
      </c>
      <c r="C1410" t="str">
        <f t="shared" si="118"/>
        <v>87380</v>
      </c>
      <c r="D1410" t="s">
        <v>355</v>
      </c>
      <c r="E1410">
        <v>215</v>
      </c>
      <c r="F1410">
        <v>20130910</v>
      </c>
      <c r="G1410" t="s">
        <v>356</v>
      </c>
      <c r="H1410" t="s">
        <v>357</v>
      </c>
      <c r="I1410" t="s">
        <v>61</v>
      </c>
    </row>
    <row r="1411" spans="1:9" x14ac:dyDescent="0.25">
      <c r="A1411">
        <v>20130912</v>
      </c>
      <c r="B1411" t="str">
        <f>"111538"</f>
        <v>111538</v>
      </c>
      <c r="C1411" t="str">
        <f t="shared" si="118"/>
        <v>87380</v>
      </c>
      <c r="D1411" t="s">
        <v>355</v>
      </c>
      <c r="E1411">
        <v>-215</v>
      </c>
      <c r="F1411">
        <v>20131023</v>
      </c>
      <c r="G1411" t="s">
        <v>356</v>
      </c>
      <c r="H1411" t="s">
        <v>358</v>
      </c>
      <c r="I1411" t="s">
        <v>61</v>
      </c>
    </row>
    <row r="1412" spans="1:9" x14ac:dyDescent="0.25">
      <c r="A1412">
        <v>20130912</v>
      </c>
      <c r="B1412" t="str">
        <f>"111539"</f>
        <v>111539</v>
      </c>
      <c r="C1412" t="str">
        <f>"87475"</f>
        <v>87475</v>
      </c>
      <c r="D1412" t="s">
        <v>359</v>
      </c>
      <c r="E1412">
        <v>135</v>
      </c>
      <c r="F1412">
        <v>20130909</v>
      </c>
      <c r="G1412" t="s">
        <v>356</v>
      </c>
      <c r="H1412" t="s">
        <v>357</v>
      </c>
      <c r="I1412" t="s">
        <v>61</v>
      </c>
    </row>
    <row r="1413" spans="1:9" x14ac:dyDescent="0.25">
      <c r="A1413">
        <v>20130912</v>
      </c>
      <c r="B1413" t="str">
        <f>"111540"</f>
        <v>111540</v>
      </c>
      <c r="C1413" t="str">
        <f>"87484"</f>
        <v>87484</v>
      </c>
      <c r="D1413" t="s">
        <v>588</v>
      </c>
      <c r="E1413" s="1">
        <v>2453.75</v>
      </c>
      <c r="F1413">
        <v>20130909</v>
      </c>
      <c r="G1413" t="s">
        <v>589</v>
      </c>
      <c r="H1413" t="s">
        <v>590</v>
      </c>
      <c r="I1413" t="s">
        <v>68</v>
      </c>
    </row>
    <row r="1414" spans="1:9" x14ac:dyDescent="0.25">
      <c r="A1414">
        <v>20130912</v>
      </c>
      <c r="B1414" t="str">
        <f>"111541"</f>
        <v>111541</v>
      </c>
      <c r="C1414" t="str">
        <f>"84980"</f>
        <v>84980</v>
      </c>
      <c r="D1414" t="s">
        <v>591</v>
      </c>
      <c r="E1414">
        <v>31.75</v>
      </c>
      <c r="F1414">
        <v>20130906</v>
      </c>
      <c r="G1414" t="s">
        <v>585</v>
      </c>
      <c r="H1414" t="s">
        <v>592</v>
      </c>
      <c r="I1414" t="s">
        <v>21</v>
      </c>
    </row>
    <row r="1415" spans="1:9" x14ac:dyDescent="0.25">
      <c r="A1415">
        <v>20130912</v>
      </c>
      <c r="B1415" t="str">
        <f>"111541"</f>
        <v>111541</v>
      </c>
      <c r="C1415" t="str">
        <f>"84980"</f>
        <v>84980</v>
      </c>
      <c r="D1415" t="s">
        <v>591</v>
      </c>
      <c r="E1415">
        <v>5.5</v>
      </c>
      <c r="F1415">
        <v>20130906</v>
      </c>
      <c r="G1415" t="s">
        <v>585</v>
      </c>
      <c r="H1415" t="s">
        <v>593</v>
      </c>
      <c r="I1415" t="s">
        <v>21</v>
      </c>
    </row>
    <row r="1416" spans="1:9" x14ac:dyDescent="0.25">
      <c r="A1416">
        <v>20130912</v>
      </c>
      <c r="B1416" t="str">
        <f t="shared" ref="B1416:B1424" si="119">"111542"</f>
        <v>111542</v>
      </c>
      <c r="C1416" t="str">
        <f t="shared" ref="C1416:C1424" si="120">"86931"</f>
        <v>86931</v>
      </c>
      <c r="D1416" t="s">
        <v>594</v>
      </c>
      <c r="E1416">
        <v>46.17</v>
      </c>
      <c r="F1416">
        <v>20130911</v>
      </c>
      <c r="G1416" t="s">
        <v>475</v>
      </c>
      <c r="H1416" t="s">
        <v>595</v>
      </c>
      <c r="I1416" t="s">
        <v>21</v>
      </c>
    </row>
    <row r="1417" spans="1:9" x14ac:dyDescent="0.25">
      <c r="A1417">
        <v>20130912</v>
      </c>
      <c r="B1417" t="str">
        <f t="shared" si="119"/>
        <v>111542</v>
      </c>
      <c r="C1417" t="str">
        <f t="shared" si="120"/>
        <v>86931</v>
      </c>
      <c r="D1417" t="s">
        <v>594</v>
      </c>
      <c r="E1417">
        <v>15.9</v>
      </c>
      <c r="F1417">
        <v>20130911</v>
      </c>
      <c r="G1417" t="s">
        <v>476</v>
      </c>
      <c r="H1417" t="s">
        <v>595</v>
      </c>
      <c r="I1417" t="s">
        <v>21</v>
      </c>
    </row>
    <row r="1418" spans="1:9" x14ac:dyDescent="0.25">
      <c r="A1418">
        <v>20130912</v>
      </c>
      <c r="B1418" t="str">
        <f t="shared" si="119"/>
        <v>111542</v>
      </c>
      <c r="C1418" t="str">
        <f t="shared" si="120"/>
        <v>86931</v>
      </c>
      <c r="D1418" t="s">
        <v>594</v>
      </c>
      <c r="E1418">
        <v>148.35</v>
      </c>
      <c r="F1418">
        <v>20130911</v>
      </c>
      <c r="G1418" t="s">
        <v>477</v>
      </c>
      <c r="H1418" t="s">
        <v>595</v>
      </c>
      <c r="I1418" t="s">
        <v>21</v>
      </c>
    </row>
    <row r="1419" spans="1:9" x14ac:dyDescent="0.25">
      <c r="A1419">
        <v>20130912</v>
      </c>
      <c r="B1419" t="str">
        <f t="shared" si="119"/>
        <v>111542</v>
      </c>
      <c r="C1419" t="str">
        <f t="shared" si="120"/>
        <v>86931</v>
      </c>
      <c r="D1419" t="s">
        <v>594</v>
      </c>
      <c r="E1419">
        <v>63.7</v>
      </c>
      <c r="F1419">
        <v>20130911</v>
      </c>
      <c r="G1419" t="s">
        <v>479</v>
      </c>
      <c r="H1419" t="s">
        <v>595</v>
      </c>
      <c r="I1419" t="s">
        <v>21</v>
      </c>
    </row>
    <row r="1420" spans="1:9" x14ac:dyDescent="0.25">
      <c r="A1420">
        <v>20130912</v>
      </c>
      <c r="B1420" t="str">
        <f t="shared" si="119"/>
        <v>111542</v>
      </c>
      <c r="C1420" t="str">
        <f t="shared" si="120"/>
        <v>86931</v>
      </c>
      <c r="D1420" t="s">
        <v>594</v>
      </c>
      <c r="E1420">
        <v>104.98</v>
      </c>
      <c r="F1420">
        <v>20130911</v>
      </c>
      <c r="G1420" t="s">
        <v>480</v>
      </c>
      <c r="H1420" t="s">
        <v>595</v>
      </c>
      <c r="I1420" t="s">
        <v>21</v>
      </c>
    </row>
    <row r="1421" spans="1:9" x14ac:dyDescent="0.25">
      <c r="A1421">
        <v>20130912</v>
      </c>
      <c r="B1421" t="str">
        <f t="shared" si="119"/>
        <v>111542</v>
      </c>
      <c r="C1421" t="str">
        <f t="shared" si="120"/>
        <v>86931</v>
      </c>
      <c r="D1421" t="s">
        <v>594</v>
      </c>
      <c r="E1421">
        <v>41.4</v>
      </c>
      <c r="F1421">
        <v>20130911</v>
      </c>
      <c r="G1421" t="s">
        <v>481</v>
      </c>
      <c r="H1421" t="s">
        <v>595</v>
      </c>
      <c r="I1421" t="s">
        <v>21</v>
      </c>
    </row>
    <row r="1422" spans="1:9" x14ac:dyDescent="0.25">
      <c r="A1422">
        <v>20130912</v>
      </c>
      <c r="B1422" t="str">
        <f t="shared" si="119"/>
        <v>111542</v>
      </c>
      <c r="C1422" t="str">
        <f t="shared" si="120"/>
        <v>86931</v>
      </c>
      <c r="D1422" t="s">
        <v>594</v>
      </c>
      <c r="E1422">
        <v>6.36</v>
      </c>
      <c r="F1422">
        <v>20130911</v>
      </c>
      <c r="G1422" t="s">
        <v>483</v>
      </c>
      <c r="H1422" t="s">
        <v>595</v>
      </c>
      <c r="I1422" t="s">
        <v>21</v>
      </c>
    </row>
    <row r="1423" spans="1:9" x14ac:dyDescent="0.25">
      <c r="A1423">
        <v>20130912</v>
      </c>
      <c r="B1423" t="str">
        <f t="shared" si="119"/>
        <v>111542</v>
      </c>
      <c r="C1423" t="str">
        <f t="shared" si="120"/>
        <v>86931</v>
      </c>
      <c r="D1423" t="s">
        <v>594</v>
      </c>
      <c r="E1423">
        <v>69</v>
      </c>
      <c r="F1423">
        <v>20130911</v>
      </c>
      <c r="G1423" t="s">
        <v>484</v>
      </c>
      <c r="H1423" t="s">
        <v>595</v>
      </c>
      <c r="I1423" t="s">
        <v>21</v>
      </c>
    </row>
    <row r="1424" spans="1:9" x14ac:dyDescent="0.25">
      <c r="A1424">
        <v>20130912</v>
      </c>
      <c r="B1424" t="str">
        <f t="shared" si="119"/>
        <v>111542</v>
      </c>
      <c r="C1424" t="str">
        <f t="shared" si="120"/>
        <v>86931</v>
      </c>
      <c r="D1424" t="s">
        <v>594</v>
      </c>
      <c r="E1424">
        <v>33.39</v>
      </c>
      <c r="F1424">
        <v>20130911</v>
      </c>
      <c r="G1424" t="s">
        <v>485</v>
      </c>
      <c r="H1424" t="s">
        <v>595</v>
      </c>
      <c r="I1424" t="s">
        <v>21</v>
      </c>
    </row>
    <row r="1425" spans="1:9" x14ac:dyDescent="0.25">
      <c r="A1425">
        <v>20130912</v>
      </c>
      <c r="B1425" t="str">
        <f>"111543"</f>
        <v>111543</v>
      </c>
      <c r="C1425" t="str">
        <f>"30650"</f>
        <v>30650</v>
      </c>
      <c r="D1425" t="s">
        <v>596</v>
      </c>
      <c r="E1425" s="1">
        <v>6260</v>
      </c>
      <c r="F1425">
        <v>20130906</v>
      </c>
      <c r="G1425" t="s">
        <v>381</v>
      </c>
      <c r="H1425" t="s">
        <v>597</v>
      </c>
      <c r="I1425" t="s">
        <v>21</v>
      </c>
    </row>
    <row r="1426" spans="1:9" x14ac:dyDescent="0.25">
      <c r="A1426">
        <v>20130912</v>
      </c>
      <c r="B1426" t="str">
        <f>"111544"</f>
        <v>111544</v>
      </c>
      <c r="C1426" t="str">
        <f>"81072"</f>
        <v>81072</v>
      </c>
      <c r="D1426" t="s">
        <v>598</v>
      </c>
      <c r="E1426" s="1">
        <v>2125</v>
      </c>
      <c r="F1426">
        <v>20130906</v>
      </c>
      <c r="G1426" t="s">
        <v>381</v>
      </c>
      <c r="H1426" t="s">
        <v>555</v>
      </c>
      <c r="I1426" t="s">
        <v>21</v>
      </c>
    </row>
    <row r="1427" spans="1:9" x14ac:dyDescent="0.25">
      <c r="A1427">
        <v>20130912</v>
      </c>
      <c r="B1427" t="str">
        <f>"111545"</f>
        <v>111545</v>
      </c>
      <c r="C1427" t="str">
        <f>"35337"</f>
        <v>35337</v>
      </c>
      <c r="D1427" t="s">
        <v>599</v>
      </c>
      <c r="E1427">
        <v>40.47</v>
      </c>
      <c r="F1427">
        <v>20130906</v>
      </c>
      <c r="G1427" t="s">
        <v>496</v>
      </c>
      <c r="H1427" t="s">
        <v>414</v>
      </c>
      <c r="I1427" t="s">
        <v>21</v>
      </c>
    </row>
    <row r="1428" spans="1:9" x14ac:dyDescent="0.25">
      <c r="A1428">
        <v>20130912</v>
      </c>
      <c r="B1428" t="str">
        <f>"111545"</f>
        <v>111545</v>
      </c>
      <c r="C1428" t="str">
        <f>"35337"</f>
        <v>35337</v>
      </c>
      <c r="D1428" t="s">
        <v>599</v>
      </c>
      <c r="E1428">
        <v>71.84</v>
      </c>
      <c r="F1428">
        <v>20130911</v>
      </c>
      <c r="G1428" t="s">
        <v>496</v>
      </c>
      <c r="H1428" t="s">
        <v>414</v>
      </c>
      <c r="I1428" t="s">
        <v>21</v>
      </c>
    </row>
    <row r="1429" spans="1:9" x14ac:dyDescent="0.25">
      <c r="A1429">
        <v>20130912</v>
      </c>
      <c r="B1429" t="str">
        <f>"111546"</f>
        <v>111546</v>
      </c>
      <c r="C1429" t="str">
        <f>"35817"</f>
        <v>35817</v>
      </c>
      <c r="D1429" t="s">
        <v>600</v>
      </c>
      <c r="E1429">
        <v>7.34</v>
      </c>
      <c r="F1429">
        <v>20130909</v>
      </c>
      <c r="G1429" t="s">
        <v>601</v>
      </c>
      <c r="H1429" t="s">
        <v>563</v>
      </c>
      <c r="I1429" t="s">
        <v>21</v>
      </c>
    </row>
    <row r="1430" spans="1:9" x14ac:dyDescent="0.25">
      <c r="A1430">
        <v>20130912</v>
      </c>
      <c r="B1430" t="str">
        <f>"111547"</f>
        <v>111547</v>
      </c>
      <c r="C1430" t="str">
        <f>"86798"</f>
        <v>86798</v>
      </c>
      <c r="D1430" t="s">
        <v>602</v>
      </c>
      <c r="E1430">
        <v>511.64</v>
      </c>
      <c r="F1430">
        <v>20130910</v>
      </c>
      <c r="G1430" t="s">
        <v>603</v>
      </c>
      <c r="H1430" t="s">
        <v>604</v>
      </c>
      <c r="I1430" t="s">
        <v>25</v>
      </c>
    </row>
    <row r="1431" spans="1:9" x14ac:dyDescent="0.25">
      <c r="A1431">
        <v>20130912</v>
      </c>
      <c r="B1431" t="str">
        <f>"111548"</f>
        <v>111548</v>
      </c>
      <c r="C1431" t="str">
        <f>"00198"</f>
        <v>00198</v>
      </c>
      <c r="D1431" t="s">
        <v>605</v>
      </c>
      <c r="E1431">
        <v>915.85</v>
      </c>
      <c r="F1431">
        <v>20130910</v>
      </c>
      <c r="G1431" t="s">
        <v>606</v>
      </c>
      <c r="H1431" t="s">
        <v>607</v>
      </c>
      <c r="I1431" t="s">
        <v>608</v>
      </c>
    </row>
    <row r="1432" spans="1:9" x14ac:dyDescent="0.25">
      <c r="A1432">
        <v>20130912</v>
      </c>
      <c r="B1432" t="str">
        <f>"111549"</f>
        <v>111549</v>
      </c>
      <c r="C1432" t="str">
        <f>"37565"</f>
        <v>37565</v>
      </c>
      <c r="D1432" t="s">
        <v>609</v>
      </c>
      <c r="E1432">
        <v>57.81</v>
      </c>
      <c r="F1432">
        <v>20130911</v>
      </c>
      <c r="G1432" t="s">
        <v>475</v>
      </c>
      <c r="H1432" t="s">
        <v>610</v>
      </c>
      <c r="I1432" t="s">
        <v>21</v>
      </c>
    </row>
    <row r="1433" spans="1:9" x14ac:dyDescent="0.25">
      <c r="A1433">
        <v>20130912</v>
      </c>
      <c r="B1433" t="str">
        <f>"111549"</f>
        <v>111549</v>
      </c>
      <c r="C1433" t="str">
        <f>"37565"</f>
        <v>37565</v>
      </c>
      <c r="D1433" t="s">
        <v>609</v>
      </c>
      <c r="E1433">
        <v>57.81</v>
      </c>
      <c r="F1433">
        <v>20130911</v>
      </c>
      <c r="G1433" t="s">
        <v>475</v>
      </c>
      <c r="H1433" t="s">
        <v>610</v>
      </c>
      <c r="I1433" t="s">
        <v>21</v>
      </c>
    </row>
    <row r="1434" spans="1:9" x14ac:dyDescent="0.25">
      <c r="A1434">
        <v>20130912</v>
      </c>
      <c r="B1434" t="str">
        <f t="shared" ref="B1434:B1442" si="121">"111550"</f>
        <v>111550</v>
      </c>
      <c r="C1434" t="str">
        <f t="shared" ref="C1434:C1442" si="122">"85743"</f>
        <v>85743</v>
      </c>
      <c r="D1434" t="s">
        <v>611</v>
      </c>
      <c r="E1434">
        <v>144.19999999999999</v>
      </c>
      <c r="F1434">
        <v>20130911</v>
      </c>
      <c r="G1434" t="s">
        <v>473</v>
      </c>
      <c r="H1434" t="s">
        <v>612</v>
      </c>
      <c r="I1434" t="s">
        <v>21</v>
      </c>
    </row>
    <row r="1435" spans="1:9" x14ac:dyDescent="0.25">
      <c r="A1435">
        <v>20130912</v>
      </c>
      <c r="B1435" t="str">
        <f t="shared" si="121"/>
        <v>111550</v>
      </c>
      <c r="C1435" t="str">
        <f t="shared" si="122"/>
        <v>85743</v>
      </c>
      <c r="D1435" t="s">
        <v>611</v>
      </c>
      <c r="E1435">
        <v>24.72</v>
      </c>
      <c r="F1435">
        <v>20130911</v>
      </c>
      <c r="G1435" t="s">
        <v>475</v>
      </c>
      <c r="H1435" t="s">
        <v>612</v>
      </c>
      <c r="I1435" t="s">
        <v>21</v>
      </c>
    </row>
    <row r="1436" spans="1:9" x14ac:dyDescent="0.25">
      <c r="A1436">
        <v>20130912</v>
      </c>
      <c r="B1436" t="str">
        <f t="shared" si="121"/>
        <v>111550</v>
      </c>
      <c r="C1436" t="str">
        <f t="shared" si="122"/>
        <v>85743</v>
      </c>
      <c r="D1436" t="s">
        <v>611</v>
      </c>
      <c r="E1436">
        <v>61.8</v>
      </c>
      <c r="F1436">
        <v>20130911</v>
      </c>
      <c r="G1436" t="s">
        <v>476</v>
      </c>
      <c r="H1436" t="s">
        <v>612</v>
      </c>
      <c r="I1436" t="s">
        <v>21</v>
      </c>
    </row>
    <row r="1437" spans="1:9" x14ac:dyDescent="0.25">
      <c r="A1437">
        <v>20130912</v>
      </c>
      <c r="B1437" t="str">
        <f t="shared" si="121"/>
        <v>111550</v>
      </c>
      <c r="C1437" t="str">
        <f t="shared" si="122"/>
        <v>85743</v>
      </c>
      <c r="D1437" t="s">
        <v>611</v>
      </c>
      <c r="E1437">
        <v>93.2</v>
      </c>
      <c r="F1437">
        <v>20130911</v>
      </c>
      <c r="G1437" t="s">
        <v>477</v>
      </c>
      <c r="H1437" t="s">
        <v>612</v>
      </c>
      <c r="I1437" t="s">
        <v>21</v>
      </c>
    </row>
    <row r="1438" spans="1:9" x14ac:dyDescent="0.25">
      <c r="A1438">
        <v>20130912</v>
      </c>
      <c r="B1438" t="str">
        <f t="shared" si="121"/>
        <v>111550</v>
      </c>
      <c r="C1438" t="str">
        <f t="shared" si="122"/>
        <v>85743</v>
      </c>
      <c r="D1438" t="s">
        <v>611</v>
      </c>
      <c r="E1438">
        <v>80.64</v>
      </c>
      <c r="F1438">
        <v>20130911</v>
      </c>
      <c r="G1438" t="s">
        <v>479</v>
      </c>
      <c r="H1438" t="s">
        <v>612</v>
      </c>
      <c r="I1438" t="s">
        <v>21</v>
      </c>
    </row>
    <row r="1439" spans="1:9" x14ac:dyDescent="0.25">
      <c r="A1439">
        <v>20130912</v>
      </c>
      <c r="B1439" t="str">
        <f t="shared" si="121"/>
        <v>111550</v>
      </c>
      <c r="C1439" t="str">
        <f t="shared" si="122"/>
        <v>85743</v>
      </c>
      <c r="D1439" t="s">
        <v>611</v>
      </c>
      <c r="E1439">
        <v>80.64</v>
      </c>
      <c r="F1439">
        <v>20130911</v>
      </c>
      <c r="G1439" t="s">
        <v>480</v>
      </c>
      <c r="H1439" t="s">
        <v>612</v>
      </c>
      <c r="I1439" t="s">
        <v>21</v>
      </c>
    </row>
    <row r="1440" spans="1:9" x14ac:dyDescent="0.25">
      <c r="A1440">
        <v>20130912</v>
      </c>
      <c r="B1440" t="str">
        <f t="shared" si="121"/>
        <v>111550</v>
      </c>
      <c r="C1440" t="str">
        <f t="shared" si="122"/>
        <v>85743</v>
      </c>
      <c r="D1440" t="s">
        <v>611</v>
      </c>
      <c r="E1440">
        <v>64.16</v>
      </c>
      <c r="F1440">
        <v>20130911</v>
      </c>
      <c r="G1440" t="s">
        <v>481</v>
      </c>
      <c r="H1440" t="s">
        <v>612</v>
      </c>
      <c r="I1440" t="s">
        <v>21</v>
      </c>
    </row>
    <row r="1441" spans="1:9" x14ac:dyDescent="0.25">
      <c r="A1441">
        <v>20130912</v>
      </c>
      <c r="B1441" t="str">
        <f t="shared" si="121"/>
        <v>111550</v>
      </c>
      <c r="C1441" t="str">
        <f t="shared" si="122"/>
        <v>85743</v>
      </c>
      <c r="D1441" t="s">
        <v>611</v>
      </c>
      <c r="E1441">
        <v>16.48</v>
      </c>
      <c r="F1441">
        <v>20130911</v>
      </c>
      <c r="G1441" t="s">
        <v>483</v>
      </c>
      <c r="H1441" t="s">
        <v>612</v>
      </c>
      <c r="I1441" t="s">
        <v>21</v>
      </c>
    </row>
    <row r="1442" spans="1:9" x14ac:dyDescent="0.25">
      <c r="A1442">
        <v>20130912</v>
      </c>
      <c r="B1442" t="str">
        <f t="shared" si="121"/>
        <v>111550</v>
      </c>
      <c r="C1442" t="str">
        <f t="shared" si="122"/>
        <v>85743</v>
      </c>
      <c r="D1442" t="s">
        <v>611</v>
      </c>
      <c r="E1442">
        <v>16.48</v>
      </c>
      <c r="F1442">
        <v>20130911</v>
      </c>
      <c r="G1442" t="s">
        <v>484</v>
      </c>
      <c r="H1442" t="s">
        <v>612</v>
      </c>
      <c r="I1442" t="s">
        <v>21</v>
      </c>
    </row>
    <row r="1443" spans="1:9" x14ac:dyDescent="0.25">
      <c r="A1443">
        <v>20130912</v>
      </c>
      <c r="B1443" t="str">
        <f>"111551"</f>
        <v>111551</v>
      </c>
      <c r="C1443" t="str">
        <f>"40448"</f>
        <v>40448</v>
      </c>
      <c r="D1443" t="s">
        <v>613</v>
      </c>
      <c r="E1443">
        <v>202.95</v>
      </c>
      <c r="F1443">
        <v>20130906</v>
      </c>
      <c r="G1443" t="s">
        <v>340</v>
      </c>
      <c r="H1443" t="s">
        <v>614</v>
      </c>
      <c r="I1443" t="s">
        <v>21</v>
      </c>
    </row>
    <row r="1444" spans="1:9" x14ac:dyDescent="0.25">
      <c r="A1444">
        <v>20130912</v>
      </c>
      <c r="B1444" t="str">
        <f>"111551"</f>
        <v>111551</v>
      </c>
      <c r="C1444" t="str">
        <f>"40448"</f>
        <v>40448</v>
      </c>
      <c r="D1444" t="s">
        <v>613</v>
      </c>
      <c r="E1444">
        <v>200</v>
      </c>
      <c r="F1444">
        <v>20130909</v>
      </c>
      <c r="G1444" t="s">
        <v>340</v>
      </c>
      <c r="H1444" t="s">
        <v>615</v>
      </c>
      <c r="I1444" t="s">
        <v>21</v>
      </c>
    </row>
    <row r="1445" spans="1:9" x14ac:dyDescent="0.25">
      <c r="A1445">
        <v>20130912</v>
      </c>
      <c r="B1445" t="str">
        <f>"111552"</f>
        <v>111552</v>
      </c>
      <c r="C1445" t="str">
        <f>"41375"</f>
        <v>41375</v>
      </c>
      <c r="D1445" t="s">
        <v>616</v>
      </c>
      <c r="E1445">
        <v>250.06</v>
      </c>
      <c r="F1445">
        <v>20130910</v>
      </c>
      <c r="G1445" t="s">
        <v>617</v>
      </c>
      <c r="H1445" t="s">
        <v>414</v>
      </c>
      <c r="I1445" t="s">
        <v>66</v>
      </c>
    </row>
    <row r="1446" spans="1:9" x14ac:dyDescent="0.25">
      <c r="A1446">
        <v>20130912</v>
      </c>
      <c r="B1446" t="str">
        <f>"111553"</f>
        <v>111553</v>
      </c>
      <c r="C1446" t="str">
        <f>"86999"</f>
        <v>86999</v>
      </c>
      <c r="D1446" t="s">
        <v>618</v>
      </c>
      <c r="E1446">
        <v>55.2</v>
      </c>
      <c r="F1446">
        <v>20130911</v>
      </c>
      <c r="G1446" t="s">
        <v>619</v>
      </c>
      <c r="H1446" t="s">
        <v>365</v>
      </c>
      <c r="I1446" t="s">
        <v>21</v>
      </c>
    </row>
    <row r="1447" spans="1:9" x14ac:dyDescent="0.25">
      <c r="A1447">
        <v>20130912</v>
      </c>
      <c r="B1447" t="str">
        <f>"111554"</f>
        <v>111554</v>
      </c>
      <c r="C1447" t="str">
        <f>"43798"</f>
        <v>43798</v>
      </c>
      <c r="D1447" t="s">
        <v>620</v>
      </c>
      <c r="E1447">
        <v>108</v>
      </c>
      <c r="F1447">
        <v>20130911</v>
      </c>
      <c r="G1447" t="s">
        <v>621</v>
      </c>
      <c r="H1447" t="s">
        <v>622</v>
      </c>
      <c r="I1447" t="s">
        <v>21</v>
      </c>
    </row>
    <row r="1448" spans="1:9" x14ac:dyDescent="0.25">
      <c r="A1448">
        <v>20130912</v>
      </c>
      <c r="B1448" t="str">
        <f>"111554"</f>
        <v>111554</v>
      </c>
      <c r="C1448" t="str">
        <f>"43798"</f>
        <v>43798</v>
      </c>
      <c r="D1448" t="s">
        <v>620</v>
      </c>
      <c r="E1448">
        <v>378</v>
      </c>
      <c r="F1448">
        <v>20130911</v>
      </c>
      <c r="G1448" t="s">
        <v>621</v>
      </c>
      <c r="H1448" t="s">
        <v>623</v>
      </c>
      <c r="I1448" t="s">
        <v>21</v>
      </c>
    </row>
    <row r="1449" spans="1:9" x14ac:dyDescent="0.25">
      <c r="A1449">
        <v>20130912</v>
      </c>
      <c r="B1449" t="str">
        <f>"111554"</f>
        <v>111554</v>
      </c>
      <c r="C1449" t="str">
        <f>"43798"</f>
        <v>43798</v>
      </c>
      <c r="D1449" t="s">
        <v>620</v>
      </c>
      <c r="E1449">
        <v>216</v>
      </c>
      <c r="F1449">
        <v>20130911</v>
      </c>
      <c r="G1449" t="s">
        <v>624</v>
      </c>
      <c r="H1449" t="s">
        <v>623</v>
      </c>
      <c r="I1449" t="s">
        <v>21</v>
      </c>
    </row>
    <row r="1450" spans="1:9" x14ac:dyDescent="0.25">
      <c r="A1450">
        <v>20130912</v>
      </c>
      <c r="B1450" t="str">
        <f>"111555"</f>
        <v>111555</v>
      </c>
      <c r="C1450" t="str">
        <f>"87487"</f>
        <v>87487</v>
      </c>
      <c r="D1450" t="s">
        <v>625</v>
      </c>
      <c r="E1450">
        <v>84.83</v>
      </c>
      <c r="F1450">
        <v>20130911</v>
      </c>
      <c r="G1450" t="s">
        <v>496</v>
      </c>
      <c r="H1450" t="s">
        <v>414</v>
      </c>
      <c r="I1450" t="s">
        <v>21</v>
      </c>
    </row>
    <row r="1451" spans="1:9" x14ac:dyDescent="0.25">
      <c r="A1451">
        <v>20130912</v>
      </c>
      <c r="B1451" t="str">
        <f t="shared" ref="B1451:B1458" si="123">"111556"</f>
        <v>111556</v>
      </c>
      <c r="C1451" t="str">
        <f t="shared" ref="C1451:C1458" si="124">"46500"</f>
        <v>46500</v>
      </c>
      <c r="D1451" t="s">
        <v>626</v>
      </c>
      <c r="E1451">
        <v>156.32</v>
      </c>
      <c r="F1451">
        <v>20130906</v>
      </c>
      <c r="G1451" t="s">
        <v>415</v>
      </c>
      <c r="H1451" t="s">
        <v>414</v>
      </c>
      <c r="I1451" t="s">
        <v>21</v>
      </c>
    </row>
    <row r="1452" spans="1:9" x14ac:dyDescent="0.25">
      <c r="A1452">
        <v>20130912</v>
      </c>
      <c r="B1452" t="str">
        <f t="shared" si="123"/>
        <v>111556</v>
      </c>
      <c r="C1452" t="str">
        <f t="shared" si="124"/>
        <v>46500</v>
      </c>
      <c r="D1452" t="s">
        <v>626</v>
      </c>
      <c r="E1452">
        <v>24</v>
      </c>
      <c r="F1452">
        <v>20130906</v>
      </c>
      <c r="G1452" t="s">
        <v>627</v>
      </c>
      <c r="H1452" t="s">
        <v>414</v>
      </c>
      <c r="I1452" t="s">
        <v>21</v>
      </c>
    </row>
    <row r="1453" spans="1:9" x14ac:dyDescent="0.25">
      <c r="A1453">
        <v>20130912</v>
      </c>
      <c r="B1453" t="str">
        <f t="shared" si="123"/>
        <v>111556</v>
      </c>
      <c r="C1453" t="str">
        <f t="shared" si="124"/>
        <v>46500</v>
      </c>
      <c r="D1453" t="s">
        <v>626</v>
      </c>
      <c r="E1453">
        <v>239.49</v>
      </c>
      <c r="F1453">
        <v>20130906</v>
      </c>
      <c r="G1453" t="s">
        <v>628</v>
      </c>
      <c r="H1453" t="s">
        <v>414</v>
      </c>
      <c r="I1453" t="s">
        <v>21</v>
      </c>
    </row>
    <row r="1454" spans="1:9" x14ac:dyDescent="0.25">
      <c r="A1454">
        <v>20130912</v>
      </c>
      <c r="B1454" t="str">
        <f t="shared" si="123"/>
        <v>111556</v>
      </c>
      <c r="C1454" t="str">
        <f t="shared" si="124"/>
        <v>46500</v>
      </c>
      <c r="D1454" t="s">
        <v>626</v>
      </c>
      <c r="E1454">
        <v>192.96</v>
      </c>
      <c r="F1454">
        <v>20130906</v>
      </c>
      <c r="G1454" t="s">
        <v>629</v>
      </c>
      <c r="H1454" t="s">
        <v>414</v>
      </c>
      <c r="I1454" t="s">
        <v>21</v>
      </c>
    </row>
    <row r="1455" spans="1:9" x14ac:dyDescent="0.25">
      <c r="A1455">
        <v>20130912</v>
      </c>
      <c r="B1455" t="str">
        <f t="shared" si="123"/>
        <v>111556</v>
      </c>
      <c r="C1455" t="str">
        <f t="shared" si="124"/>
        <v>46500</v>
      </c>
      <c r="D1455" t="s">
        <v>626</v>
      </c>
      <c r="E1455">
        <v>169.5</v>
      </c>
      <c r="F1455">
        <v>20130906</v>
      </c>
      <c r="G1455" t="s">
        <v>630</v>
      </c>
      <c r="H1455" t="s">
        <v>414</v>
      </c>
      <c r="I1455" t="s">
        <v>21</v>
      </c>
    </row>
    <row r="1456" spans="1:9" x14ac:dyDescent="0.25">
      <c r="A1456">
        <v>20130912</v>
      </c>
      <c r="B1456" t="str">
        <f t="shared" si="123"/>
        <v>111556</v>
      </c>
      <c r="C1456" t="str">
        <f t="shared" si="124"/>
        <v>46500</v>
      </c>
      <c r="D1456" t="s">
        <v>626</v>
      </c>
      <c r="E1456">
        <v>61.49</v>
      </c>
      <c r="F1456">
        <v>20130906</v>
      </c>
      <c r="G1456" t="s">
        <v>631</v>
      </c>
      <c r="H1456" t="s">
        <v>414</v>
      </c>
      <c r="I1456" t="s">
        <v>21</v>
      </c>
    </row>
    <row r="1457" spans="1:9" x14ac:dyDescent="0.25">
      <c r="A1457">
        <v>20130912</v>
      </c>
      <c r="B1457" t="str">
        <f t="shared" si="123"/>
        <v>111556</v>
      </c>
      <c r="C1457" t="str">
        <f t="shared" si="124"/>
        <v>46500</v>
      </c>
      <c r="D1457" t="s">
        <v>626</v>
      </c>
      <c r="E1457">
        <v>4.4000000000000004</v>
      </c>
      <c r="F1457">
        <v>20130906</v>
      </c>
      <c r="G1457" t="s">
        <v>392</v>
      </c>
      <c r="H1457" t="s">
        <v>414</v>
      </c>
      <c r="I1457" t="s">
        <v>21</v>
      </c>
    </row>
    <row r="1458" spans="1:9" x14ac:dyDescent="0.25">
      <c r="A1458">
        <v>20130912</v>
      </c>
      <c r="B1458" t="str">
        <f t="shared" si="123"/>
        <v>111556</v>
      </c>
      <c r="C1458" t="str">
        <f t="shared" si="124"/>
        <v>46500</v>
      </c>
      <c r="D1458" t="s">
        <v>626</v>
      </c>
      <c r="E1458">
        <v>356.95</v>
      </c>
      <c r="F1458">
        <v>20130906</v>
      </c>
      <c r="G1458" t="s">
        <v>417</v>
      </c>
      <c r="H1458" t="s">
        <v>414</v>
      </c>
      <c r="I1458" t="s">
        <v>21</v>
      </c>
    </row>
    <row r="1459" spans="1:9" x14ac:dyDescent="0.25">
      <c r="A1459">
        <v>20130912</v>
      </c>
      <c r="B1459" t="str">
        <f>"111557"</f>
        <v>111557</v>
      </c>
      <c r="C1459" t="str">
        <f>"84239"</f>
        <v>84239</v>
      </c>
      <c r="D1459" t="s">
        <v>632</v>
      </c>
      <c r="E1459">
        <v>611.5</v>
      </c>
      <c r="F1459">
        <v>20130911</v>
      </c>
      <c r="G1459" t="s">
        <v>633</v>
      </c>
      <c r="H1459" t="s">
        <v>634</v>
      </c>
      <c r="I1459" t="s">
        <v>21</v>
      </c>
    </row>
    <row r="1460" spans="1:9" x14ac:dyDescent="0.25">
      <c r="A1460">
        <v>20130912</v>
      </c>
      <c r="B1460" t="str">
        <f>"111558"</f>
        <v>111558</v>
      </c>
      <c r="C1460" t="str">
        <f>"82598"</f>
        <v>82598</v>
      </c>
      <c r="D1460" t="s">
        <v>635</v>
      </c>
      <c r="E1460">
        <v>67.42</v>
      </c>
      <c r="F1460">
        <v>20130911</v>
      </c>
      <c r="G1460" t="s">
        <v>636</v>
      </c>
      <c r="H1460" t="s">
        <v>354</v>
      </c>
      <c r="I1460" t="s">
        <v>21</v>
      </c>
    </row>
    <row r="1461" spans="1:9" x14ac:dyDescent="0.25">
      <c r="A1461">
        <v>20130912</v>
      </c>
      <c r="B1461" t="str">
        <f>"111558"</f>
        <v>111558</v>
      </c>
      <c r="C1461" t="str">
        <f>"82598"</f>
        <v>82598</v>
      </c>
      <c r="D1461" t="s">
        <v>635</v>
      </c>
      <c r="E1461">
        <v>105.55</v>
      </c>
      <c r="F1461">
        <v>20130911</v>
      </c>
      <c r="G1461" t="s">
        <v>637</v>
      </c>
      <c r="H1461" t="s">
        <v>354</v>
      </c>
      <c r="I1461" t="s">
        <v>38</v>
      </c>
    </row>
    <row r="1462" spans="1:9" x14ac:dyDescent="0.25">
      <c r="A1462">
        <v>20130912</v>
      </c>
      <c r="B1462" t="str">
        <f>"111559"</f>
        <v>111559</v>
      </c>
      <c r="C1462" t="str">
        <f>"82726"</f>
        <v>82726</v>
      </c>
      <c r="D1462" t="s">
        <v>638</v>
      </c>
      <c r="E1462">
        <v>50.99</v>
      </c>
      <c r="F1462">
        <v>20130910</v>
      </c>
      <c r="G1462" t="s">
        <v>156</v>
      </c>
      <c r="H1462" t="s">
        <v>354</v>
      </c>
      <c r="I1462" t="s">
        <v>25</v>
      </c>
    </row>
    <row r="1463" spans="1:9" x14ac:dyDescent="0.25">
      <c r="A1463">
        <v>20130912</v>
      </c>
      <c r="B1463" t="str">
        <f>"111560"</f>
        <v>111560</v>
      </c>
      <c r="C1463" t="str">
        <f>"49837"</f>
        <v>49837</v>
      </c>
      <c r="D1463" t="s">
        <v>639</v>
      </c>
      <c r="E1463" s="1">
        <v>20912.5</v>
      </c>
      <c r="F1463">
        <v>20130911</v>
      </c>
      <c r="G1463" t="s">
        <v>640</v>
      </c>
      <c r="H1463" t="s">
        <v>641</v>
      </c>
      <c r="I1463" t="s">
        <v>21</v>
      </c>
    </row>
    <row r="1464" spans="1:9" x14ac:dyDescent="0.25">
      <c r="A1464">
        <v>20130912</v>
      </c>
      <c r="B1464" t="str">
        <f>"111561"</f>
        <v>111561</v>
      </c>
      <c r="C1464" t="str">
        <f>"82192"</f>
        <v>82192</v>
      </c>
      <c r="D1464" t="s">
        <v>642</v>
      </c>
      <c r="E1464" s="1">
        <v>6231</v>
      </c>
      <c r="F1464">
        <v>20130906</v>
      </c>
      <c r="G1464" t="s">
        <v>643</v>
      </c>
      <c r="H1464" t="s">
        <v>488</v>
      </c>
      <c r="I1464" t="s">
        <v>21</v>
      </c>
    </row>
    <row r="1465" spans="1:9" x14ac:dyDescent="0.25">
      <c r="A1465">
        <v>20130912</v>
      </c>
      <c r="B1465" t="str">
        <f>"111562"</f>
        <v>111562</v>
      </c>
      <c r="C1465" t="str">
        <f>"49845"</f>
        <v>49845</v>
      </c>
      <c r="D1465" t="s">
        <v>644</v>
      </c>
      <c r="E1465">
        <v>20</v>
      </c>
      <c r="F1465">
        <v>20130911</v>
      </c>
      <c r="G1465" t="s">
        <v>482</v>
      </c>
      <c r="H1465" t="s">
        <v>645</v>
      </c>
      <c r="I1465" t="s">
        <v>21</v>
      </c>
    </row>
    <row r="1466" spans="1:9" x14ac:dyDescent="0.25">
      <c r="A1466">
        <v>20130912</v>
      </c>
      <c r="B1466" t="str">
        <f>"111562"</f>
        <v>111562</v>
      </c>
      <c r="C1466" t="str">
        <f>"49845"</f>
        <v>49845</v>
      </c>
      <c r="D1466" t="s">
        <v>644</v>
      </c>
      <c r="E1466">
        <v>20</v>
      </c>
      <c r="F1466">
        <v>20130911</v>
      </c>
      <c r="G1466" t="s">
        <v>482</v>
      </c>
      <c r="H1466" t="s">
        <v>645</v>
      </c>
      <c r="I1466" t="s">
        <v>21</v>
      </c>
    </row>
    <row r="1467" spans="1:9" x14ac:dyDescent="0.25">
      <c r="A1467">
        <v>20130912</v>
      </c>
      <c r="B1467" t="str">
        <f>"111562"</f>
        <v>111562</v>
      </c>
      <c r="C1467" t="str">
        <f>"49845"</f>
        <v>49845</v>
      </c>
      <c r="D1467" t="s">
        <v>644</v>
      </c>
      <c r="E1467" s="1">
        <v>1000</v>
      </c>
      <c r="F1467">
        <v>20130911</v>
      </c>
      <c r="G1467" t="s">
        <v>392</v>
      </c>
      <c r="H1467" t="s">
        <v>646</v>
      </c>
      <c r="I1467" t="s">
        <v>21</v>
      </c>
    </row>
    <row r="1468" spans="1:9" x14ac:dyDescent="0.25">
      <c r="A1468">
        <v>20130912</v>
      </c>
      <c r="B1468" t="str">
        <f>"111563"</f>
        <v>111563</v>
      </c>
      <c r="C1468" t="str">
        <f>"52518"</f>
        <v>52518</v>
      </c>
      <c r="D1468" t="s">
        <v>647</v>
      </c>
      <c r="E1468">
        <v>314.88</v>
      </c>
      <c r="F1468">
        <v>20130910</v>
      </c>
      <c r="G1468" t="s">
        <v>498</v>
      </c>
      <c r="H1468" t="s">
        <v>499</v>
      </c>
      <c r="I1468" t="s">
        <v>21</v>
      </c>
    </row>
    <row r="1469" spans="1:9" x14ac:dyDescent="0.25">
      <c r="A1469">
        <v>20130912</v>
      </c>
      <c r="B1469" t="str">
        <f>"111563"</f>
        <v>111563</v>
      </c>
      <c r="C1469" t="str">
        <f>"52518"</f>
        <v>52518</v>
      </c>
      <c r="D1469" t="s">
        <v>647</v>
      </c>
      <c r="E1469">
        <v>258.32</v>
      </c>
      <c r="F1469">
        <v>20130910</v>
      </c>
      <c r="G1469" t="s">
        <v>498</v>
      </c>
      <c r="H1469" t="s">
        <v>648</v>
      </c>
      <c r="I1469" t="s">
        <v>21</v>
      </c>
    </row>
    <row r="1470" spans="1:9" x14ac:dyDescent="0.25">
      <c r="A1470">
        <v>20130912</v>
      </c>
      <c r="B1470" t="str">
        <f>"111563"</f>
        <v>111563</v>
      </c>
      <c r="C1470" t="str">
        <f>"52518"</f>
        <v>52518</v>
      </c>
      <c r="D1470" t="s">
        <v>647</v>
      </c>
      <c r="E1470">
        <v>6.58</v>
      </c>
      <c r="F1470">
        <v>20130910</v>
      </c>
      <c r="G1470" t="s">
        <v>496</v>
      </c>
      <c r="H1470" t="s">
        <v>414</v>
      </c>
      <c r="I1470" t="s">
        <v>21</v>
      </c>
    </row>
    <row r="1471" spans="1:9" x14ac:dyDescent="0.25">
      <c r="A1471">
        <v>20130912</v>
      </c>
      <c r="B1471" t="str">
        <f>"111564"</f>
        <v>111564</v>
      </c>
      <c r="C1471" t="str">
        <f>"82625"</f>
        <v>82625</v>
      </c>
      <c r="D1471" t="s">
        <v>649</v>
      </c>
      <c r="E1471">
        <v>272.2</v>
      </c>
      <c r="F1471">
        <v>20130910</v>
      </c>
      <c r="G1471" t="s">
        <v>650</v>
      </c>
      <c r="H1471" t="s">
        <v>651</v>
      </c>
      <c r="I1471" t="s">
        <v>21</v>
      </c>
    </row>
    <row r="1472" spans="1:9" x14ac:dyDescent="0.25">
      <c r="A1472">
        <v>20130912</v>
      </c>
      <c r="B1472" t="str">
        <f>"111565"</f>
        <v>111565</v>
      </c>
      <c r="C1472" t="str">
        <f>"87212"</f>
        <v>87212</v>
      </c>
      <c r="D1472" t="s">
        <v>652</v>
      </c>
      <c r="E1472">
        <v>100</v>
      </c>
      <c r="F1472">
        <v>20130909</v>
      </c>
      <c r="G1472" t="s">
        <v>653</v>
      </c>
      <c r="H1472" t="s">
        <v>654</v>
      </c>
      <c r="I1472" t="s">
        <v>21</v>
      </c>
    </row>
    <row r="1473" spans="1:9" x14ac:dyDescent="0.25">
      <c r="A1473">
        <v>20130912</v>
      </c>
      <c r="B1473" t="str">
        <f>"111566"</f>
        <v>111566</v>
      </c>
      <c r="C1473" t="str">
        <f>"58570"</f>
        <v>58570</v>
      </c>
      <c r="D1473" t="s">
        <v>655</v>
      </c>
      <c r="E1473">
        <v>220</v>
      </c>
      <c r="F1473">
        <v>20130906</v>
      </c>
      <c r="G1473" t="s">
        <v>340</v>
      </c>
      <c r="H1473" t="s">
        <v>656</v>
      </c>
      <c r="I1473" t="s">
        <v>21</v>
      </c>
    </row>
    <row r="1474" spans="1:9" x14ac:dyDescent="0.25">
      <c r="A1474">
        <v>20130912</v>
      </c>
      <c r="B1474" t="str">
        <f>"111567"</f>
        <v>111567</v>
      </c>
      <c r="C1474" t="str">
        <f>"58675"</f>
        <v>58675</v>
      </c>
      <c r="D1474" t="s">
        <v>657</v>
      </c>
      <c r="E1474">
        <v>65.25</v>
      </c>
      <c r="F1474">
        <v>20130909</v>
      </c>
      <c r="G1474" t="s">
        <v>498</v>
      </c>
      <c r="H1474" t="s">
        <v>499</v>
      </c>
      <c r="I1474" t="s">
        <v>21</v>
      </c>
    </row>
    <row r="1475" spans="1:9" x14ac:dyDescent="0.25">
      <c r="A1475">
        <v>20130912</v>
      </c>
      <c r="B1475" t="str">
        <f t="shared" ref="B1475:B1480" si="125">"111568"</f>
        <v>111568</v>
      </c>
      <c r="C1475" t="str">
        <f t="shared" ref="C1475:C1480" si="126">"58784"</f>
        <v>58784</v>
      </c>
      <c r="D1475" t="s">
        <v>658</v>
      </c>
      <c r="E1475" s="1">
        <v>18913</v>
      </c>
      <c r="F1475">
        <v>20130911</v>
      </c>
      <c r="G1475" t="s">
        <v>659</v>
      </c>
      <c r="H1475" t="s">
        <v>660</v>
      </c>
      <c r="I1475" t="s">
        <v>21</v>
      </c>
    </row>
    <row r="1476" spans="1:9" x14ac:dyDescent="0.25">
      <c r="A1476">
        <v>20130912</v>
      </c>
      <c r="B1476" t="str">
        <f t="shared" si="125"/>
        <v>111568</v>
      </c>
      <c r="C1476" t="str">
        <f t="shared" si="126"/>
        <v>58784</v>
      </c>
      <c r="D1476" t="s">
        <v>658</v>
      </c>
      <c r="E1476" s="1">
        <v>4729</v>
      </c>
      <c r="F1476">
        <v>20130911</v>
      </c>
      <c r="G1476" t="s">
        <v>659</v>
      </c>
      <c r="H1476" t="s">
        <v>661</v>
      </c>
      <c r="I1476" t="s">
        <v>21</v>
      </c>
    </row>
    <row r="1477" spans="1:9" x14ac:dyDescent="0.25">
      <c r="A1477">
        <v>20130912</v>
      </c>
      <c r="B1477" t="str">
        <f t="shared" si="125"/>
        <v>111568</v>
      </c>
      <c r="C1477" t="str">
        <f t="shared" si="126"/>
        <v>58784</v>
      </c>
      <c r="D1477" t="s">
        <v>658</v>
      </c>
      <c r="E1477" s="1">
        <v>38063</v>
      </c>
      <c r="F1477">
        <v>20130911</v>
      </c>
      <c r="G1477" t="s">
        <v>662</v>
      </c>
      <c r="H1477" t="s">
        <v>663</v>
      </c>
      <c r="I1477" t="s">
        <v>21</v>
      </c>
    </row>
    <row r="1478" spans="1:9" x14ac:dyDescent="0.25">
      <c r="A1478">
        <v>20130912</v>
      </c>
      <c r="B1478" t="str">
        <f t="shared" si="125"/>
        <v>111568</v>
      </c>
      <c r="C1478" t="str">
        <f t="shared" si="126"/>
        <v>58784</v>
      </c>
      <c r="D1478" t="s">
        <v>658</v>
      </c>
      <c r="E1478" s="1">
        <v>235591</v>
      </c>
      <c r="F1478">
        <v>20130911</v>
      </c>
      <c r="G1478" t="s">
        <v>664</v>
      </c>
      <c r="H1478" t="s">
        <v>665</v>
      </c>
      <c r="I1478" t="s">
        <v>21</v>
      </c>
    </row>
    <row r="1479" spans="1:9" x14ac:dyDescent="0.25">
      <c r="A1479">
        <v>20130912</v>
      </c>
      <c r="B1479" t="str">
        <f t="shared" si="125"/>
        <v>111568</v>
      </c>
      <c r="C1479" t="str">
        <f t="shared" si="126"/>
        <v>58784</v>
      </c>
      <c r="D1479" t="s">
        <v>658</v>
      </c>
      <c r="E1479" s="1">
        <v>11730</v>
      </c>
      <c r="F1479">
        <v>20130911</v>
      </c>
      <c r="G1479" t="s">
        <v>666</v>
      </c>
      <c r="H1479" t="s">
        <v>667</v>
      </c>
      <c r="I1479" t="s">
        <v>21</v>
      </c>
    </row>
    <row r="1480" spans="1:9" x14ac:dyDescent="0.25">
      <c r="A1480">
        <v>20130912</v>
      </c>
      <c r="B1480" t="str">
        <f t="shared" si="125"/>
        <v>111568</v>
      </c>
      <c r="C1480" t="str">
        <f t="shared" si="126"/>
        <v>58784</v>
      </c>
      <c r="D1480" t="s">
        <v>658</v>
      </c>
      <c r="E1480" s="1">
        <v>2392</v>
      </c>
      <c r="F1480">
        <v>20130911</v>
      </c>
      <c r="G1480" t="s">
        <v>668</v>
      </c>
      <c r="H1480" t="s">
        <v>669</v>
      </c>
      <c r="I1480" t="s">
        <v>21</v>
      </c>
    </row>
    <row r="1481" spans="1:9" x14ac:dyDescent="0.25">
      <c r="A1481">
        <v>20130912</v>
      </c>
      <c r="B1481" t="str">
        <f>"111569"</f>
        <v>111569</v>
      </c>
      <c r="C1481" t="str">
        <f>"59500"</f>
        <v>59500</v>
      </c>
      <c r="D1481" t="s">
        <v>670</v>
      </c>
      <c r="E1481">
        <v>130.66999999999999</v>
      </c>
      <c r="F1481">
        <v>20130909</v>
      </c>
      <c r="G1481" t="s">
        <v>137</v>
      </c>
      <c r="H1481" t="s">
        <v>414</v>
      </c>
      <c r="I1481" t="s">
        <v>21</v>
      </c>
    </row>
    <row r="1482" spans="1:9" x14ac:dyDescent="0.25">
      <c r="A1482">
        <v>20130912</v>
      </c>
      <c r="B1482" t="str">
        <f>"111570"</f>
        <v>111570</v>
      </c>
      <c r="C1482" t="str">
        <f>"87330"</f>
        <v>87330</v>
      </c>
      <c r="D1482" t="s">
        <v>671</v>
      </c>
      <c r="E1482" s="1">
        <v>1050</v>
      </c>
      <c r="F1482">
        <v>20130909</v>
      </c>
      <c r="G1482" t="s">
        <v>672</v>
      </c>
      <c r="H1482" t="s">
        <v>673</v>
      </c>
      <c r="I1482" t="s">
        <v>21</v>
      </c>
    </row>
    <row r="1483" spans="1:9" x14ac:dyDescent="0.25">
      <c r="A1483">
        <v>20130912</v>
      </c>
      <c r="B1483" t="str">
        <f>"111571"</f>
        <v>111571</v>
      </c>
      <c r="C1483" t="str">
        <f>"59725"</f>
        <v>59725</v>
      </c>
      <c r="D1483" t="s">
        <v>674</v>
      </c>
      <c r="E1483">
        <v>20.49</v>
      </c>
      <c r="F1483">
        <v>20130909</v>
      </c>
      <c r="G1483" t="s">
        <v>417</v>
      </c>
      <c r="H1483" t="s">
        <v>675</v>
      </c>
      <c r="I1483" t="s">
        <v>21</v>
      </c>
    </row>
    <row r="1484" spans="1:9" x14ac:dyDescent="0.25">
      <c r="A1484">
        <v>20130912</v>
      </c>
      <c r="B1484" t="str">
        <f>"111572"</f>
        <v>111572</v>
      </c>
      <c r="C1484" t="str">
        <f>"84225"</f>
        <v>84225</v>
      </c>
      <c r="D1484" t="s">
        <v>676</v>
      </c>
      <c r="E1484" s="1">
        <v>3840</v>
      </c>
      <c r="F1484">
        <v>20130906</v>
      </c>
      <c r="G1484" t="s">
        <v>469</v>
      </c>
      <c r="H1484" t="s">
        <v>677</v>
      </c>
      <c r="I1484" t="s">
        <v>21</v>
      </c>
    </row>
    <row r="1485" spans="1:9" x14ac:dyDescent="0.25">
      <c r="A1485">
        <v>20130912</v>
      </c>
      <c r="B1485" t="str">
        <f>"111573"</f>
        <v>111573</v>
      </c>
      <c r="C1485" t="str">
        <f>"86898"</f>
        <v>86898</v>
      </c>
      <c r="D1485" t="s">
        <v>678</v>
      </c>
      <c r="E1485">
        <v>147.5</v>
      </c>
      <c r="F1485">
        <v>20130911</v>
      </c>
      <c r="G1485" t="s">
        <v>637</v>
      </c>
      <c r="H1485" t="s">
        <v>679</v>
      </c>
      <c r="I1485" t="s">
        <v>38</v>
      </c>
    </row>
    <row r="1486" spans="1:9" x14ac:dyDescent="0.25">
      <c r="A1486">
        <v>20130912</v>
      </c>
      <c r="B1486" t="str">
        <f>"111573"</f>
        <v>111573</v>
      </c>
      <c r="C1486" t="str">
        <f>"86898"</f>
        <v>86898</v>
      </c>
      <c r="D1486" t="s">
        <v>678</v>
      </c>
      <c r="E1486">
        <v>120</v>
      </c>
      <c r="F1486">
        <v>20130911</v>
      </c>
      <c r="G1486" t="s">
        <v>680</v>
      </c>
      <c r="H1486" t="s">
        <v>679</v>
      </c>
      <c r="I1486" t="s">
        <v>38</v>
      </c>
    </row>
    <row r="1487" spans="1:9" x14ac:dyDescent="0.25">
      <c r="A1487">
        <v>20130912</v>
      </c>
      <c r="B1487" t="str">
        <f>"111574"</f>
        <v>111574</v>
      </c>
      <c r="C1487" t="str">
        <f>"86433"</f>
        <v>86433</v>
      </c>
      <c r="D1487" t="s">
        <v>681</v>
      </c>
      <c r="E1487">
        <v>175</v>
      </c>
      <c r="F1487">
        <v>20130909</v>
      </c>
      <c r="G1487" t="s">
        <v>340</v>
      </c>
      <c r="H1487" t="s">
        <v>682</v>
      </c>
      <c r="I1487" t="s">
        <v>21</v>
      </c>
    </row>
    <row r="1488" spans="1:9" x14ac:dyDescent="0.25">
      <c r="A1488">
        <v>20130912</v>
      </c>
      <c r="B1488" t="str">
        <f>"111575"</f>
        <v>111575</v>
      </c>
      <c r="C1488" t="str">
        <f>"62450"</f>
        <v>62450</v>
      </c>
      <c r="D1488" t="s">
        <v>683</v>
      </c>
      <c r="E1488" s="1">
        <v>22410</v>
      </c>
      <c r="F1488">
        <v>20130910</v>
      </c>
      <c r="G1488" t="s">
        <v>606</v>
      </c>
      <c r="H1488" t="s">
        <v>684</v>
      </c>
      <c r="I1488" t="s">
        <v>608</v>
      </c>
    </row>
    <row r="1489" spans="1:9" x14ac:dyDescent="0.25">
      <c r="A1489">
        <v>20130912</v>
      </c>
      <c r="B1489" t="str">
        <f>"111576"</f>
        <v>111576</v>
      </c>
      <c r="C1489" t="str">
        <f>"00166"</f>
        <v>00166</v>
      </c>
      <c r="D1489" t="s">
        <v>685</v>
      </c>
      <c r="E1489">
        <v>857.5</v>
      </c>
      <c r="F1489">
        <v>20130910</v>
      </c>
      <c r="G1489" t="s">
        <v>119</v>
      </c>
      <c r="H1489" t="s">
        <v>686</v>
      </c>
      <c r="I1489" t="s">
        <v>38</v>
      </c>
    </row>
    <row r="1490" spans="1:9" x14ac:dyDescent="0.25">
      <c r="A1490">
        <v>20130912</v>
      </c>
      <c r="B1490" t="str">
        <f>"111577"</f>
        <v>111577</v>
      </c>
      <c r="C1490" t="str">
        <f>"81411"</f>
        <v>81411</v>
      </c>
      <c r="D1490" t="s">
        <v>687</v>
      </c>
      <c r="E1490">
        <v>334.18</v>
      </c>
      <c r="F1490">
        <v>20130906</v>
      </c>
      <c r="G1490" t="s">
        <v>496</v>
      </c>
      <c r="H1490" t="s">
        <v>688</v>
      </c>
      <c r="I1490" t="s">
        <v>21</v>
      </c>
    </row>
    <row r="1491" spans="1:9" x14ac:dyDescent="0.25">
      <c r="A1491">
        <v>20130912</v>
      </c>
      <c r="B1491" t="str">
        <f>"111578"</f>
        <v>111578</v>
      </c>
      <c r="C1491" t="str">
        <f>"68960"</f>
        <v>68960</v>
      </c>
      <c r="D1491" t="s">
        <v>689</v>
      </c>
      <c r="E1491">
        <v>130</v>
      </c>
      <c r="F1491">
        <v>20130906</v>
      </c>
      <c r="G1491" t="s">
        <v>356</v>
      </c>
      <c r="H1491" t="s">
        <v>357</v>
      </c>
      <c r="I1491" t="s">
        <v>61</v>
      </c>
    </row>
    <row r="1492" spans="1:9" x14ac:dyDescent="0.25">
      <c r="A1492">
        <v>20130912</v>
      </c>
      <c r="B1492" t="str">
        <f>"111579"</f>
        <v>111579</v>
      </c>
      <c r="C1492" t="str">
        <f>"86741"</f>
        <v>86741</v>
      </c>
      <c r="D1492" t="s">
        <v>690</v>
      </c>
      <c r="E1492">
        <v>379.99</v>
      </c>
      <c r="F1492">
        <v>20130906</v>
      </c>
      <c r="G1492" t="s">
        <v>691</v>
      </c>
      <c r="H1492" t="s">
        <v>692</v>
      </c>
      <c r="I1492" t="s">
        <v>68</v>
      </c>
    </row>
    <row r="1493" spans="1:9" x14ac:dyDescent="0.25">
      <c r="A1493">
        <v>20130912</v>
      </c>
      <c r="B1493" t="str">
        <f>"111580"</f>
        <v>111580</v>
      </c>
      <c r="C1493" t="str">
        <f>"70665"</f>
        <v>70665</v>
      </c>
      <c r="D1493" t="s">
        <v>693</v>
      </c>
      <c r="E1493" s="1">
        <v>1500</v>
      </c>
      <c r="F1493">
        <v>20130909</v>
      </c>
      <c r="G1493" t="s">
        <v>694</v>
      </c>
      <c r="H1493" t="s">
        <v>695</v>
      </c>
      <c r="I1493" t="s">
        <v>21</v>
      </c>
    </row>
    <row r="1494" spans="1:9" x14ac:dyDescent="0.25">
      <c r="A1494">
        <v>20130912</v>
      </c>
      <c r="B1494" t="str">
        <f>"111581"</f>
        <v>111581</v>
      </c>
      <c r="C1494" t="str">
        <f>"00387"</f>
        <v>00387</v>
      </c>
      <c r="D1494" t="s">
        <v>696</v>
      </c>
      <c r="E1494">
        <v>302.36</v>
      </c>
      <c r="F1494">
        <v>20130910</v>
      </c>
      <c r="G1494" t="s">
        <v>99</v>
      </c>
      <c r="H1494" t="s">
        <v>697</v>
      </c>
      <c r="I1494" t="s">
        <v>21</v>
      </c>
    </row>
    <row r="1495" spans="1:9" x14ac:dyDescent="0.25">
      <c r="A1495">
        <v>20130912</v>
      </c>
      <c r="B1495" t="str">
        <f>"111582"</f>
        <v>111582</v>
      </c>
      <c r="C1495" t="str">
        <f>"86370"</f>
        <v>86370</v>
      </c>
      <c r="D1495" t="s">
        <v>698</v>
      </c>
      <c r="E1495">
        <v>500</v>
      </c>
      <c r="F1495">
        <v>20130906</v>
      </c>
      <c r="G1495" t="s">
        <v>699</v>
      </c>
      <c r="H1495" t="s">
        <v>700</v>
      </c>
      <c r="I1495" t="s">
        <v>61</v>
      </c>
    </row>
    <row r="1496" spans="1:9" x14ac:dyDescent="0.25">
      <c r="A1496">
        <v>20130912</v>
      </c>
      <c r="B1496" t="str">
        <f>"111583"</f>
        <v>111583</v>
      </c>
      <c r="C1496" t="str">
        <f>"73982"</f>
        <v>73982</v>
      </c>
      <c r="D1496" t="s">
        <v>701</v>
      </c>
      <c r="E1496">
        <v>34.5</v>
      </c>
      <c r="F1496">
        <v>20130911</v>
      </c>
      <c r="G1496" t="s">
        <v>637</v>
      </c>
      <c r="H1496" t="s">
        <v>702</v>
      </c>
      <c r="I1496" t="s">
        <v>38</v>
      </c>
    </row>
    <row r="1497" spans="1:9" x14ac:dyDescent="0.25">
      <c r="A1497">
        <v>20130912</v>
      </c>
      <c r="B1497" t="str">
        <f>"111584"</f>
        <v>111584</v>
      </c>
      <c r="C1497" t="str">
        <f>"86085"</f>
        <v>86085</v>
      </c>
      <c r="D1497" t="s">
        <v>703</v>
      </c>
      <c r="E1497">
        <v>95</v>
      </c>
      <c r="F1497">
        <v>20130911</v>
      </c>
      <c r="G1497" t="s">
        <v>704</v>
      </c>
      <c r="H1497" t="s">
        <v>705</v>
      </c>
      <c r="I1497" t="s">
        <v>21</v>
      </c>
    </row>
    <row r="1498" spans="1:9" x14ac:dyDescent="0.25">
      <c r="A1498">
        <v>20130912</v>
      </c>
      <c r="B1498" t="str">
        <f>"111585"</f>
        <v>111585</v>
      </c>
      <c r="C1498" t="str">
        <f>"82502"</f>
        <v>82502</v>
      </c>
      <c r="D1498" t="s">
        <v>706</v>
      </c>
      <c r="E1498">
        <v>7.5</v>
      </c>
      <c r="F1498">
        <v>20130906</v>
      </c>
      <c r="G1498" t="s">
        <v>340</v>
      </c>
      <c r="H1498" t="s">
        <v>707</v>
      </c>
      <c r="I1498" t="s">
        <v>21</v>
      </c>
    </row>
    <row r="1499" spans="1:9" x14ac:dyDescent="0.25">
      <c r="A1499">
        <v>20130912</v>
      </c>
      <c r="B1499" t="str">
        <f>"111585"</f>
        <v>111585</v>
      </c>
      <c r="C1499" t="str">
        <f>"82502"</f>
        <v>82502</v>
      </c>
      <c r="D1499" t="s">
        <v>706</v>
      </c>
      <c r="E1499">
        <v>25</v>
      </c>
      <c r="F1499">
        <v>20130909</v>
      </c>
      <c r="G1499" t="s">
        <v>340</v>
      </c>
      <c r="H1499" t="s">
        <v>707</v>
      </c>
      <c r="I1499" t="s">
        <v>21</v>
      </c>
    </row>
    <row r="1500" spans="1:9" x14ac:dyDescent="0.25">
      <c r="A1500">
        <v>20130912</v>
      </c>
      <c r="B1500" t="str">
        <f>"111586"</f>
        <v>111586</v>
      </c>
      <c r="C1500" t="str">
        <f>"86287"</f>
        <v>86287</v>
      </c>
      <c r="D1500" t="s">
        <v>708</v>
      </c>
      <c r="E1500" s="1">
        <v>5850</v>
      </c>
      <c r="F1500">
        <v>20130906</v>
      </c>
      <c r="G1500" t="s">
        <v>496</v>
      </c>
      <c r="H1500" t="s">
        <v>709</v>
      </c>
      <c r="I1500" t="s">
        <v>21</v>
      </c>
    </row>
    <row r="1501" spans="1:9" x14ac:dyDescent="0.25">
      <c r="A1501">
        <v>20130912</v>
      </c>
      <c r="B1501" t="str">
        <f>"111587"</f>
        <v>111587</v>
      </c>
      <c r="C1501" t="str">
        <f>"85763"</f>
        <v>85763</v>
      </c>
      <c r="D1501" t="s">
        <v>710</v>
      </c>
      <c r="E1501">
        <v>680</v>
      </c>
      <c r="F1501">
        <v>20130906</v>
      </c>
      <c r="G1501" t="s">
        <v>381</v>
      </c>
      <c r="H1501" t="s">
        <v>555</v>
      </c>
      <c r="I1501" t="s">
        <v>21</v>
      </c>
    </row>
    <row r="1502" spans="1:9" x14ac:dyDescent="0.25">
      <c r="A1502">
        <v>20130912</v>
      </c>
      <c r="B1502" t="str">
        <f>"111587"</f>
        <v>111587</v>
      </c>
      <c r="C1502" t="str">
        <f>"85763"</f>
        <v>85763</v>
      </c>
      <c r="D1502" t="s">
        <v>710</v>
      </c>
      <c r="E1502">
        <v>400</v>
      </c>
      <c r="F1502">
        <v>20130906</v>
      </c>
      <c r="G1502" t="s">
        <v>381</v>
      </c>
      <c r="H1502" t="s">
        <v>555</v>
      </c>
      <c r="I1502" t="s">
        <v>21</v>
      </c>
    </row>
    <row r="1503" spans="1:9" x14ac:dyDescent="0.25">
      <c r="A1503">
        <v>20130912</v>
      </c>
      <c r="B1503" t="str">
        <f>"111587"</f>
        <v>111587</v>
      </c>
      <c r="C1503" t="str">
        <f>"85763"</f>
        <v>85763</v>
      </c>
      <c r="D1503" t="s">
        <v>710</v>
      </c>
      <c r="E1503">
        <v>800</v>
      </c>
      <c r="F1503">
        <v>20130906</v>
      </c>
      <c r="G1503" t="s">
        <v>381</v>
      </c>
      <c r="H1503" t="s">
        <v>555</v>
      </c>
      <c r="I1503" t="s">
        <v>21</v>
      </c>
    </row>
    <row r="1504" spans="1:9" x14ac:dyDescent="0.25">
      <c r="A1504">
        <v>20130912</v>
      </c>
      <c r="B1504" t="str">
        <f>"111587"</f>
        <v>111587</v>
      </c>
      <c r="C1504" t="str">
        <f>"85763"</f>
        <v>85763</v>
      </c>
      <c r="D1504" t="s">
        <v>710</v>
      </c>
      <c r="E1504">
        <v>840</v>
      </c>
      <c r="F1504">
        <v>20130906</v>
      </c>
      <c r="G1504" t="s">
        <v>381</v>
      </c>
      <c r="H1504" t="s">
        <v>555</v>
      </c>
      <c r="I1504" t="s">
        <v>21</v>
      </c>
    </row>
    <row r="1505" spans="1:9" x14ac:dyDescent="0.25">
      <c r="A1505">
        <v>20130912</v>
      </c>
      <c r="B1505" t="str">
        <f>"111588"</f>
        <v>111588</v>
      </c>
      <c r="C1505" t="str">
        <f>"75500"</f>
        <v>75500</v>
      </c>
      <c r="D1505" t="s">
        <v>711</v>
      </c>
      <c r="E1505">
        <v>99.5</v>
      </c>
      <c r="F1505">
        <v>20130906</v>
      </c>
      <c r="G1505" t="s">
        <v>712</v>
      </c>
      <c r="H1505" t="s">
        <v>713</v>
      </c>
      <c r="I1505" t="s">
        <v>21</v>
      </c>
    </row>
    <row r="1506" spans="1:9" x14ac:dyDescent="0.25">
      <c r="A1506">
        <v>20130912</v>
      </c>
      <c r="B1506" t="str">
        <f>"111589"</f>
        <v>111589</v>
      </c>
      <c r="C1506" t="str">
        <f>"75600"</f>
        <v>75600</v>
      </c>
      <c r="D1506" t="s">
        <v>714</v>
      </c>
      <c r="E1506">
        <v>124.44</v>
      </c>
      <c r="F1506">
        <v>20130910</v>
      </c>
      <c r="G1506" t="s">
        <v>498</v>
      </c>
      <c r="H1506" t="s">
        <v>715</v>
      </c>
      <c r="I1506" t="s">
        <v>21</v>
      </c>
    </row>
    <row r="1507" spans="1:9" x14ac:dyDescent="0.25">
      <c r="A1507">
        <v>20130912</v>
      </c>
      <c r="B1507" t="str">
        <f t="shared" ref="B1507:B1521" si="127">"111590"</f>
        <v>111590</v>
      </c>
      <c r="C1507" t="str">
        <f t="shared" ref="C1507:C1521" si="128">"69310"</f>
        <v>69310</v>
      </c>
      <c r="D1507" t="s">
        <v>716</v>
      </c>
      <c r="E1507" s="1">
        <v>4027.25</v>
      </c>
      <c r="F1507">
        <v>20130906</v>
      </c>
      <c r="G1507" t="s">
        <v>717</v>
      </c>
      <c r="H1507" t="s">
        <v>488</v>
      </c>
      <c r="I1507" t="s">
        <v>21</v>
      </c>
    </row>
    <row r="1508" spans="1:9" x14ac:dyDescent="0.25">
      <c r="A1508">
        <v>20130912</v>
      </c>
      <c r="B1508" t="str">
        <f t="shared" si="127"/>
        <v>111590</v>
      </c>
      <c r="C1508" t="str">
        <f t="shared" si="128"/>
        <v>69310</v>
      </c>
      <c r="D1508" t="s">
        <v>716</v>
      </c>
      <c r="E1508" s="1">
        <v>40720</v>
      </c>
      <c r="F1508">
        <v>20130906</v>
      </c>
      <c r="G1508" t="s">
        <v>718</v>
      </c>
      <c r="H1508" t="s">
        <v>488</v>
      </c>
      <c r="I1508" t="s">
        <v>21</v>
      </c>
    </row>
    <row r="1509" spans="1:9" x14ac:dyDescent="0.25">
      <c r="A1509">
        <v>20130912</v>
      </c>
      <c r="B1509" t="str">
        <f t="shared" si="127"/>
        <v>111590</v>
      </c>
      <c r="C1509" t="str">
        <f t="shared" si="128"/>
        <v>69310</v>
      </c>
      <c r="D1509" t="s">
        <v>716</v>
      </c>
      <c r="E1509">
        <v>101.27</v>
      </c>
      <c r="F1509">
        <v>20130911</v>
      </c>
      <c r="G1509" t="s">
        <v>718</v>
      </c>
      <c r="H1509" t="s">
        <v>488</v>
      </c>
      <c r="I1509" t="s">
        <v>21</v>
      </c>
    </row>
    <row r="1510" spans="1:9" x14ac:dyDescent="0.25">
      <c r="A1510">
        <v>20130912</v>
      </c>
      <c r="B1510" t="str">
        <f t="shared" si="127"/>
        <v>111590</v>
      </c>
      <c r="C1510" t="str">
        <f t="shared" si="128"/>
        <v>69310</v>
      </c>
      <c r="D1510" t="s">
        <v>716</v>
      </c>
      <c r="E1510" s="1">
        <v>17576.82</v>
      </c>
      <c r="F1510">
        <v>20130906</v>
      </c>
      <c r="G1510" t="s">
        <v>719</v>
      </c>
      <c r="H1510" t="s">
        <v>488</v>
      </c>
      <c r="I1510" t="s">
        <v>21</v>
      </c>
    </row>
    <row r="1511" spans="1:9" x14ac:dyDescent="0.25">
      <c r="A1511">
        <v>20130912</v>
      </c>
      <c r="B1511" t="str">
        <f t="shared" si="127"/>
        <v>111590</v>
      </c>
      <c r="C1511" t="str">
        <f t="shared" si="128"/>
        <v>69310</v>
      </c>
      <c r="D1511" t="s">
        <v>716</v>
      </c>
      <c r="E1511" s="1">
        <v>9955.06</v>
      </c>
      <c r="F1511">
        <v>20130906</v>
      </c>
      <c r="G1511" t="s">
        <v>720</v>
      </c>
      <c r="H1511" t="s">
        <v>488</v>
      </c>
      <c r="I1511" t="s">
        <v>21</v>
      </c>
    </row>
    <row r="1512" spans="1:9" x14ac:dyDescent="0.25">
      <c r="A1512">
        <v>20130912</v>
      </c>
      <c r="B1512" t="str">
        <f t="shared" si="127"/>
        <v>111590</v>
      </c>
      <c r="C1512" t="str">
        <f t="shared" si="128"/>
        <v>69310</v>
      </c>
      <c r="D1512" t="s">
        <v>716</v>
      </c>
      <c r="E1512" s="1">
        <v>9892.91</v>
      </c>
      <c r="F1512">
        <v>20130906</v>
      </c>
      <c r="G1512" t="s">
        <v>721</v>
      </c>
      <c r="H1512" t="s">
        <v>488</v>
      </c>
      <c r="I1512" t="s">
        <v>21</v>
      </c>
    </row>
    <row r="1513" spans="1:9" x14ac:dyDescent="0.25">
      <c r="A1513">
        <v>20130912</v>
      </c>
      <c r="B1513" t="str">
        <f t="shared" si="127"/>
        <v>111590</v>
      </c>
      <c r="C1513" t="str">
        <f t="shared" si="128"/>
        <v>69310</v>
      </c>
      <c r="D1513" t="s">
        <v>716</v>
      </c>
      <c r="E1513" s="1">
        <v>10195.52</v>
      </c>
      <c r="F1513">
        <v>20130906</v>
      </c>
      <c r="G1513" t="s">
        <v>722</v>
      </c>
      <c r="H1513" t="s">
        <v>488</v>
      </c>
      <c r="I1513" t="s">
        <v>21</v>
      </c>
    </row>
    <row r="1514" spans="1:9" x14ac:dyDescent="0.25">
      <c r="A1514">
        <v>20130912</v>
      </c>
      <c r="B1514" t="str">
        <f t="shared" si="127"/>
        <v>111590</v>
      </c>
      <c r="C1514" t="str">
        <f t="shared" si="128"/>
        <v>69310</v>
      </c>
      <c r="D1514" t="s">
        <v>716</v>
      </c>
      <c r="E1514" s="1">
        <v>7335.86</v>
      </c>
      <c r="F1514">
        <v>20130906</v>
      </c>
      <c r="G1514" t="s">
        <v>723</v>
      </c>
      <c r="H1514" t="s">
        <v>488</v>
      </c>
      <c r="I1514" t="s">
        <v>21</v>
      </c>
    </row>
    <row r="1515" spans="1:9" x14ac:dyDescent="0.25">
      <c r="A1515">
        <v>20130912</v>
      </c>
      <c r="B1515" t="str">
        <f t="shared" si="127"/>
        <v>111590</v>
      </c>
      <c r="C1515" t="str">
        <f t="shared" si="128"/>
        <v>69310</v>
      </c>
      <c r="D1515" t="s">
        <v>716</v>
      </c>
      <c r="E1515" s="1">
        <v>6162.67</v>
      </c>
      <c r="F1515">
        <v>20130906</v>
      </c>
      <c r="G1515" t="s">
        <v>724</v>
      </c>
      <c r="H1515" t="s">
        <v>488</v>
      </c>
      <c r="I1515" t="s">
        <v>21</v>
      </c>
    </row>
    <row r="1516" spans="1:9" x14ac:dyDescent="0.25">
      <c r="A1516">
        <v>20130912</v>
      </c>
      <c r="B1516" t="str">
        <f t="shared" si="127"/>
        <v>111590</v>
      </c>
      <c r="C1516" t="str">
        <f t="shared" si="128"/>
        <v>69310</v>
      </c>
      <c r="D1516" t="s">
        <v>716</v>
      </c>
      <c r="E1516" s="1">
        <v>8150.26</v>
      </c>
      <c r="F1516">
        <v>20130906</v>
      </c>
      <c r="G1516" t="s">
        <v>725</v>
      </c>
      <c r="H1516" t="s">
        <v>488</v>
      </c>
      <c r="I1516" t="s">
        <v>21</v>
      </c>
    </row>
    <row r="1517" spans="1:9" x14ac:dyDescent="0.25">
      <c r="A1517">
        <v>20130912</v>
      </c>
      <c r="B1517" t="str">
        <f t="shared" si="127"/>
        <v>111590</v>
      </c>
      <c r="C1517" t="str">
        <f t="shared" si="128"/>
        <v>69310</v>
      </c>
      <c r="D1517" t="s">
        <v>716</v>
      </c>
      <c r="E1517" s="1">
        <v>3422.27</v>
      </c>
      <c r="F1517">
        <v>20130906</v>
      </c>
      <c r="G1517" t="s">
        <v>726</v>
      </c>
      <c r="H1517" t="s">
        <v>488</v>
      </c>
      <c r="I1517" t="s">
        <v>21</v>
      </c>
    </row>
    <row r="1518" spans="1:9" x14ac:dyDescent="0.25">
      <c r="A1518">
        <v>20130912</v>
      </c>
      <c r="B1518" t="str">
        <f t="shared" si="127"/>
        <v>111590</v>
      </c>
      <c r="C1518" t="str">
        <f t="shared" si="128"/>
        <v>69310</v>
      </c>
      <c r="D1518" t="s">
        <v>716</v>
      </c>
      <c r="E1518" s="1">
        <v>4451.67</v>
      </c>
      <c r="F1518">
        <v>20130906</v>
      </c>
      <c r="G1518" t="s">
        <v>727</v>
      </c>
      <c r="H1518" t="s">
        <v>488</v>
      </c>
      <c r="I1518" t="s">
        <v>21</v>
      </c>
    </row>
    <row r="1519" spans="1:9" x14ac:dyDescent="0.25">
      <c r="A1519">
        <v>20130912</v>
      </c>
      <c r="B1519" t="str">
        <f t="shared" si="127"/>
        <v>111590</v>
      </c>
      <c r="C1519" t="str">
        <f t="shared" si="128"/>
        <v>69310</v>
      </c>
      <c r="D1519" t="s">
        <v>716</v>
      </c>
      <c r="E1519" s="1">
        <v>3401.47</v>
      </c>
      <c r="F1519">
        <v>20130906</v>
      </c>
      <c r="G1519" t="s">
        <v>728</v>
      </c>
      <c r="H1519" t="s">
        <v>488</v>
      </c>
      <c r="I1519" t="s">
        <v>21</v>
      </c>
    </row>
    <row r="1520" spans="1:9" x14ac:dyDescent="0.25">
      <c r="A1520">
        <v>20130912</v>
      </c>
      <c r="B1520" t="str">
        <f t="shared" si="127"/>
        <v>111590</v>
      </c>
      <c r="C1520" t="str">
        <f t="shared" si="128"/>
        <v>69310</v>
      </c>
      <c r="D1520" t="s">
        <v>716</v>
      </c>
      <c r="E1520" s="1">
        <v>1182.19</v>
      </c>
      <c r="F1520">
        <v>20130906</v>
      </c>
      <c r="G1520" t="s">
        <v>729</v>
      </c>
      <c r="H1520" t="s">
        <v>488</v>
      </c>
      <c r="I1520" t="s">
        <v>21</v>
      </c>
    </row>
    <row r="1521" spans="1:9" x14ac:dyDescent="0.25">
      <c r="A1521">
        <v>20130912</v>
      </c>
      <c r="B1521" t="str">
        <f t="shared" si="127"/>
        <v>111590</v>
      </c>
      <c r="C1521" t="str">
        <f t="shared" si="128"/>
        <v>69310</v>
      </c>
      <c r="D1521" t="s">
        <v>716</v>
      </c>
      <c r="E1521">
        <v>262.11</v>
      </c>
      <c r="F1521">
        <v>20130906</v>
      </c>
      <c r="G1521" t="s">
        <v>467</v>
      </c>
      <c r="H1521" t="s">
        <v>488</v>
      </c>
      <c r="I1521" t="s">
        <v>21</v>
      </c>
    </row>
    <row r="1522" spans="1:9" x14ac:dyDescent="0.25">
      <c r="A1522">
        <v>20130912</v>
      </c>
      <c r="B1522" t="str">
        <f>"111591"</f>
        <v>111591</v>
      </c>
      <c r="C1522" t="str">
        <f>"87189"</f>
        <v>87189</v>
      </c>
      <c r="D1522" t="s">
        <v>730</v>
      </c>
      <c r="E1522">
        <v>162.75</v>
      </c>
      <c r="F1522">
        <v>20130906</v>
      </c>
      <c r="G1522" t="s">
        <v>413</v>
      </c>
      <c r="H1522" t="s">
        <v>731</v>
      </c>
      <c r="I1522" t="s">
        <v>21</v>
      </c>
    </row>
    <row r="1523" spans="1:9" x14ac:dyDescent="0.25">
      <c r="A1523">
        <v>20130912</v>
      </c>
      <c r="B1523" t="str">
        <f>"111591"</f>
        <v>111591</v>
      </c>
      <c r="C1523" t="str">
        <f>"87189"</f>
        <v>87189</v>
      </c>
      <c r="D1523" t="s">
        <v>730</v>
      </c>
      <c r="E1523">
        <v>329.31</v>
      </c>
      <c r="F1523">
        <v>20130909</v>
      </c>
      <c r="G1523" t="s">
        <v>482</v>
      </c>
      <c r="H1523" t="s">
        <v>732</v>
      </c>
      <c r="I1523" t="s">
        <v>21</v>
      </c>
    </row>
    <row r="1524" spans="1:9" x14ac:dyDescent="0.25">
      <c r="A1524">
        <v>20130912</v>
      </c>
      <c r="B1524" t="str">
        <f>"111591"</f>
        <v>111591</v>
      </c>
      <c r="C1524" t="str">
        <f>"87189"</f>
        <v>87189</v>
      </c>
      <c r="D1524" t="s">
        <v>730</v>
      </c>
      <c r="E1524">
        <v>289.83999999999997</v>
      </c>
      <c r="F1524">
        <v>20130909</v>
      </c>
      <c r="G1524" t="s">
        <v>630</v>
      </c>
      <c r="H1524" t="s">
        <v>733</v>
      </c>
      <c r="I1524" t="s">
        <v>21</v>
      </c>
    </row>
    <row r="1525" spans="1:9" x14ac:dyDescent="0.25">
      <c r="A1525">
        <v>20130912</v>
      </c>
      <c r="B1525" t="str">
        <f>"111591"</f>
        <v>111591</v>
      </c>
      <c r="C1525" t="str">
        <f>"87189"</f>
        <v>87189</v>
      </c>
      <c r="D1525" t="s">
        <v>730</v>
      </c>
      <c r="E1525">
        <v>403.38</v>
      </c>
      <c r="F1525">
        <v>20130909</v>
      </c>
      <c r="G1525" t="s">
        <v>734</v>
      </c>
      <c r="H1525" t="s">
        <v>735</v>
      </c>
      <c r="I1525" t="s">
        <v>21</v>
      </c>
    </row>
    <row r="1526" spans="1:9" x14ac:dyDescent="0.25">
      <c r="A1526">
        <v>20130912</v>
      </c>
      <c r="B1526" t="str">
        <f>"111592"</f>
        <v>111592</v>
      </c>
      <c r="C1526" t="str">
        <f>"81358"</f>
        <v>81358</v>
      </c>
      <c r="D1526" t="s">
        <v>736</v>
      </c>
      <c r="E1526">
        <v>133.1</v>
      </c>
      <c r="F1526">
        <v>20130911</v>
      </c>
      <c r="G1526" t="s">
        <v>737</v>
      </c>
      <c r="H1526" t="s">
        <v>738</v>
      </c>
      <c r="I1526" t="s">
        <v>21</v>
      </c>
    </row>
    <row r="1527" spans="1:9" x14ac:dyDescent="0.25">
      <c r="A1527">
        <v>20130912</v>
      </c>
      <c r="B1527" t="str">
        <f>"111592"</f>
        <v>111592</v>
      </c>
      <c r="C1527" t="str">
        <f>"81358"</f>
        <v>81358</v>
      </c>
      <c r="D1527" t="s">
        <v>736</v>
      </c>
      <c r="E1527">
        <v>400.78</v>
      </c>
      <c r="F1527">
        <v>20130911</v>
      </c>
      <c r="G1527" t="s">
        <v>737</v>
      </c>
      <c r="H1527" t="s">
        <v>738</v>
      </c>
      <c r="I1527" t="s">
        <v>21</v>
      </c>
    </row>
    <row r="1528" spans="1:9" x14ac:dyDescent="0.25">
      <c r="A1528">
        <v>20130912</v>
      </c>
      <c r="B1528" t="str">
        <f t="shared" ref="B1528:B1539" si="129">"111593"</f>
        <v>111593</v>
      </c>
      <c r="C1528" t="str">
        <f t="shared" ref="C1528:C1539" si="130">"76600"</f>
        <v>76600</v>
      </c>
      <c r="D1528" t="s">
        <v>739</v>
      </c>
      <c r="E1528" s="1">
        <v>3010</v>
      </c>
      <c r="F1528">
        <v>20130910</v>
      </c>
      <c r="G1528" t="s">
        <v>473</v>
      </c>
      <c r="H1528" t="s">
        <v>740</v>
      </c>
      <c r="I1528" t="s">
        <v>21</v>
      </c>
    </row>
    <row r="1529" spans="1:9" x14ac:dyDescent="0.25">
      <c r="A1529">
        <v>20130912</v>
      </c>
      <c r="B1529" t="str">
        <f t="shared" si="129"/>
        <v>111593</v>
      </c>
      <c r="C1529" t="str">
        <f t="shared" si="130"/>
        <v>76600</v>
      </c>
      <c r="D1529" t="s">
        <v>739</v>
      </c>
      <c r="E1529">
        <v>848</v>
      </c>
      <c r="F1529">
        <v>20130910</v>
      </c>
      <c r="G1529" t="s">
        <v>475</v>
      </c>
      <c r="H1529" t="s">
        <v>740</v>
      </c>
      <c r="I1529" t="s">
        <v>21</v>
      </c>
    </row>
    <row r="1530" spans="1:9" x14ac:dyDescent="0.25">
      <c r="A1530">
        <v>20130912</v>
      </c>
      <c r="B1530" t="str">
        <f t="shared" si="129"/>
        <v>111593</v>
      </c>
      <c r="C1530" t="str">
        <f t="shared" si="130"/>
        <v>76600</v>
      </c>
      <c r="D1530" t="s">
        <v>739</v>
      </c>
      <c r="E1530">
        <v>597.79999999999995</v>
      </c>
      <c r="F1530">
        <v>20130910</v>
      </c>
      <c r="G1530" t="s">
        <v>476</v>
      </c>
      <c r="H1530" t="s">
        <v>740</v>
      </c>
      <c r="I1530" t="s">
        <v>21</v>
      </c>
    </row>
    <row r="1531" spans="1:9" x14ac:dyDescent="0.25">
      <c r="A1531">
        <v>20130912</v>
      </c>
      <c r="B1531" t="str">
        <f t="shared" si="129"/>
        <v>111593</v>
      </c>
      <c r="C1531" t="str">
        <f t="shared" si="130"/>
        <v>76600</v>
      </c>
      <c r="D1531" t="s">
        <v>739</v>
      </c>
      <c r="E1531" s="1">
        <v>1030.2</v>
      </c>
      <c r="F1531">
        <v>20130910</v>
      </c>
      <c r="G1531" t="s">
        <v>477</v>
      </c>
      <c r="H1531" t="s">
        <v>740</v>
      </c>
      <c r="I1531" t="s">
        <v>21</v>
      </c>
    </row>
    <row r="1532" spans="1:9" x14ac:dyDescent="0.25">
      <c r="A1532">
        <v>20130912</v>
      </c>
      <c r="B1532" t="str">
        <f t="shared" si="129"/>
        <v>111593</v>
      </c>
      <c r="C1532" t="str">
        <f t="shared" si="130"/>
        <v>76600</v>
      </c>
      <c r="D1532" t="s">
        <v>739</v>
      </c>
      <c r="E1532" s="1">
        <v>1268.56</v>
      </c>
      <c r="F1532">
        <v>20130910</v>
      </c>
      <c r="G1532" t="s">
        <v>478</v>
      </c>
      <c r="H1532" t="s">
        <v>740</v>
      </c>
      <c r="I1532" t="s">
        <v>21</v>
      </c>
    </row>
    <row r="1533" spans="1:9" x14ac:dyDescent="0.25">
      <c r="A1533">
        <v>20130912</v>
      </c>
      <c r="B1533" t="str">
        <f t="shared" si="129"/>
        <v>111593</v>
      </c>
      <c r="C1533" t="str">
        <f t="shared" si="130"/>
        <v>76600</v>
      </c>
      <c r="D1533" t="s">
        <v>739</v>
      </c>
      <c r="E1533">
        <v>868.24</v>
      </c>
      <c r="F1533">
        <v>20130910</v>
      </c>
      <c r="G1533" t="s">
        <v>479</v>
      </c>
      <c r="H1533" t="s">
        <v>740</v>
      </c>
      <c r="I1533" t="s">
        <v>21</v>
      </c>
    </row>
    <row r="1534" spans="1:9" x14ac:dyDescent="0.25">
      <c r="A1534">
        <v>20130912</v>
      </c>
      <c r="B1534" t="str">
        <f t="shared" si="129"/>
        <v>111593</v>
      </c>
      <c r="C1534" t="str">
        <f t="shared" si="130"/>
        <v>76600</v>
      </c>
      <c r="D1534" t="s">
        <v>739</v>
      </c>
      <c r="E1534" s="1">
        <v>2238.4</v>
      </c>
      <c r="F1534">
        <v>20130910</v>
      </c>
      <c r="G1534" t="s">
        <v>480</v>
      </c>
      <c r="H1534" t="s">
        <v>740</v>
      </c>
      <c r="I1534" t="s">
        <v>21</v>
      </c>
    </row>
    <row r="1535" spans="1:9" x14ac:dyDescent="0.25">
      <c r="A1535">
        <v>20130912</v>
      </c>
      <c r="B1535" t="str">
        <f t="shared" si="129"/>
        <v>111593</v>
      </c>
      <c r="C1535" t="str">
        <f t="shared" si="130"/>
        <v>76600</v>
      </c>
      <c r="D1535" t="s">
        <v>739</v>
      </c>
      <c r="E1535">
        <v>848</v>
      </c>
      <c r="F1535">
        <v>20130910</v>
      </c>
      <c r="G1535" t="s">
        <v>481</v>
      </c>
      <c r="H1535" t="s">
        <v>740</v>
      </c>
      <c r="I1535" t="s">
        <v>21</v>
      </c>
    </row>
    <row r="1536" spans="1:9" x14ac:dyDescent="0.25">
      <c r="A1536">
        <v>20130912</v>
      </c>
      <c r="B1536" t="str">
        <f t="shared" si="129"/>
        <v>111593</v>
      </c>
      <c r="C1536" t="str">
        <f t="shared" si="130"/>
        <v>76600</v>
      </c>
      <c r="D1536" t="s">
        <v>739</v>
      </c>
      <c r="E1536">
        <v>646.5</v>
      </c>
      <c r="F1536">
        <v>20130910</v>
      </c>
      <c r="G1536" t="s">
        <v>482</v>
      </c>
      <c r="H1536" t="s">
        <v>740</v>
      </c>
      <c r="I1536" t="s">
        <v>21</v>
      </c>
    </row>
    <row r="1537" spans="1:9" x14ac:dyDescent="0.25">
      <c r="A1537">
        <v>20130912</v>
      </c>
      <c r="B1537" t="str">
        <f t="shared" si="129"/>
        <v>111593</v>
      </c>
      <c r="C1537" t="str">
        <f t="shared" si="130"/>
        <v>76600</v>
      </c>
      <c r="D1537" t="s">
        <v>739</v>
      </c>
      <c r="E1537">
        <v>171.7</v>
      </c>
      <c r="F1537">
        <v>20130910</v>
      </c>
      <c r="G1537" t="s">
        <v>483</v>
      </c>
      <c r="H1537" t="s">
        <v>740</v>
      </c>
      <c r="I1537" t="s">
        <v>21</v>
      </c>
    </row>
    <row r="1538" spans="1:9" x14ac:dyDescent="0.25">
      <c r="A1538">
        <v>20130912</v>
      </c>
      <c r="B1538" t="str">
        <f t="shared" si="129"/>
        <v>111593</v>
      </c>
      <c r="C1538" t="str">
        <f t="shared" si="130"/>
        <v>76600</v>
      </c>
      <c r="D1538" t="s">
        <v>739</v>
      </c>
      <c r="E1538">
        <v>858.5</v>
      </c>
      <c r="F1538">
        <v>20130910</v>
      </c>
      <c r="G1538" t="s">
        <v>484</v>
      </c>
      <c r="H1538" t="s">
        <v>740</v>
      </c>
      <c r="I1538" t="s">
        <v>21</v>
      </c>
    </row>
    <row r="1539" spans="1:9" x14ac:dyDescent="0.25">
      <c r="A1539">
        <v>20130912</v>
      </c>
      <c r="B1539" t="str">
        <f t="shared" si="129"/>
        <v>111593</v>
      </c>
      <c r="C1539" t="str">
        <f t="shared" si="130"/>
        <v>76600</v>
      </c>
      <c r="D1539" t="s">
        <v>739</v>
      </c>
      <c r="E1539">
        <v>464.22</v>
      </c>
      <c r="F1539">
        <v>20130910</v>
      </c>
      <c r="G1539" t="s">
        <v>485</v>
      </c>
      <c r="H1539" t="s">
        <v>740</v>
      </c>
      <c r="I1539" t="s">
        <v>21</v>
      </c>
    </row>
    <row r="1540" spans="1:9" x14ac:dyDescent="0.25">
      <c r="A1540">
        <v>20130912</v>
      </c>
      <c r="B1540" t="str">
        <f>"111594"</f>
        <v>111594</v>
      </c>
      <c r="C1540" t="str">
        <f>"77173"</f>
        <v>77173</v>
      </c>
      <c r="D1540" t="s">
        <v>741</v>
      </c>
      <c r="E1540">
        <v>500.5</v>
      </c>
      <c r="F1540">
        <v>20130906</v>
      </c>
      <c r="G1540" t="s">
        <v>742</v>
      </c>
      <c r="H1540" t="s">
        <v>743</v>
      </c>
      <c r="I1540" t="s">
        <v>21</v>
      </c>
    </row>
    <row r="1541" spans="1:9" x14ac:dyDescent="0.25">
      <c r="A1541">
        <v>20130912</v>
      </c>
      <c r="B1541" t="str">
        <f>"111595"</f>
        <v>111595</v>
      </c>
      <c r="C1541" t="str">
        <f t="shared" ref="C1541:C1549" si="131">"85780"</f>
        <v>85780</v>
      </c>
      <c r="D1541" t="s">
        <v>402</v>
      </c>
      <c r="E1541">
        <v>805</v>
      </c>
      <c r="F1541">
        <v>20130910</v>
      </c>
      <c r="G1541" t="s">
        <v>356</v>
      </c>
      <c r="H1541" t="s">
        <v>357</v>
      </c>
      <c r="I1541" t="s">
        <v>61</v>
      </c>
    </row>
    <row r="1542" spans="1:9" x14ac:dyDescent="0.25">
      <c r="A1542">
        <v>20130912</v>
      </c>
      <c r="B1542" t="str">
        <f>"111596"</f>
        <v>111596</v>
      </c>
      <c r="C1542" t="str">
        <f t="shared" si="131"/>
        <v>85780</v>
      </c>
      <c r="D1542" t="s">
        <v>402</v>
      </c>
      <c r="E1542">
        <v>460</v>
      </c>
      <c r="F1542">
        <v>20130910</v>
      </c>
      <c r="G1542" t="s">
        <v>356</v>
      </c>
      <c r="H1542" t="s">
        <v>357</v>
      </c>
      <c r="I1542" t="s">
        <v>61</v>
      </c>
    </row>
    <row r="1543" spans="1:9" x14ac:dyDescent="0.25">
      <c r="A1543">
        <v>20130912</v>
      </c>
      <c r="B1543" t="str">
        <f>"111597"</f>
        <v>111597</v>
      </c>
      <c r="C1543" t="str">
        <f t="shared" si="131"/>
        <v>85780</v>
      </c>
      <c r="D1543" t="s">
        <v>402</v>
      </c>
      <c r="E1543">
        <v>125</v>
      </c>
      <c r="F1543">
        <v>20130910</v>
      </c>
      <c r="G1543" t="s">
        <v>356</v>
      </c>
      <c r="H1543" t="s">
        <v>357</v>
      </c>
      <c r="I1543" t="s">
        <v>61</v>
      </c>
    </row>
    <row r="1544" spans="1:9" x14ac:dyDescent="0.25">
      <c r="A1544">
        <v>20130912</v>
      </c>
      <c r="B1544" t="str">
        <f>"111598"</f>
        <v>111598</v>
      </c>
      <c r="C1544" t="str">
        <f t="shared" si="131"/>
        <v>85780</v>
      </c>
      <c r="D1544" t="s">
        <v>402</v>
      </c>
      <c r="E1544">
        <v>125</v>
      </c>
      <c r="F1544">
        <v>20130910</v>
      </c>
      <c r="G1544" t="s">
        <v>356</v>
      </c>
      <c r="H1544" t="s">
        <v>357</v>
      </c>
      <c r="I1544" t="s">
        <v>61</v>
      </c>
    </row>
    <row r="1545" spans="1:9" x14ac:dyDescent="0.25">
      <c r="A1545">
        <v>20130912</v>
      </c>
      <c r="B1545" t="str">
        <f>"111598"</f>
        <v>111598</v>
      </c>
      <c r="C1545" t="str">
        <f t="shared" si="131"/>
        <v>85780</v>
      </c>
      <c r="D1545" t="s">
        <v>402</v>
      </c>
      <c r="E1545">
        <v>-125</v>
      </c>
      <c r="F1545">
        <v>20140131</v>
      </c>
      <c r="G1545" t="s">
        <v>356</v>
      </c>
      <c r="H1545" t="s">
        <v>744</v>
      </c>
      <c r="I1545" t="s">
        <v>61</v>
      </c>
    </row>
    <row r="1546" spans="1:9" x14ac:dyDescent="0.25">
      <c r="A1546">
        <v>20130912</v>
      </c>
      <c r="B1546" t="str">
        <f>"111599"</f>
        <v>111599</v>
      </c>
      <c r="C1546" t="str">
        <f t="shared" si="131"/>
        <v>85780</v>
      </c>
      <c r="D1546" t="s">
        <v>402</v>
      </c>
      <c r="E1546">
        <v>125</v>
      </c>
      <c r="F1546">
        <v>20130910</v>
      </c>
      <c r="G1546" t="s">
        <v>356</v>
      </c>
      <c r="H1546" t="s">
        <v>357</v>
      </c>
      <c r="I1546" t="s">
        <v>61</v>
      </c>
    </row>
    <row r="1547" spans="1:9" x14ac:dyDescent="0.25">
      <c r="A1547">
        <v>20130912</v>
      </c>
      <c r="B1547" t="str">
        <f>"111600"</f>
        <v>111600</v>
      </c>
      <c r="C1547" t="str">
        <f t="shared" si="131"/>
        <v>85780</v>
      </c>
      <c r="D1547" t="s">
        <v>402</v>
      </c>
      <c r="E1547">
        <v>115</v>
      </c>
      <c r="F1547">
        <v>20130910</v>
      </c>
      <c r="G1547" t="s">
        <v>356</v>
      </c>
      <c r="H1547" t="s">
        <v>357</v>
      </c>
      <c r="I1547" t="s">
        <v>61</v>
      </c>
    </row>
    <row r="1548" spans="1:9" x14ac:dyDescent="0.25">
      <c r="A1548">
        <v>20130912</v>
      </c>
      <c r="B1548" t="str">
        <f>"111600"</f>
        <v>111600</v>
      </c>
      <c r="C1548" t="str">
        <f t="shared" si="131"/>
        <v>85780</v>
      </c>
      <c r="D1548" t="s">
        <v>402</v>
      </c>
      <c r="E1548">
        <v>-115</v>
      </c>
      <c r="F1548">
        <v>20140131</v>
      </c>
      <c r="G1548" t="s">
        <v>356</v>
      </c>
      <c r="H1548" t="s">
        <v>744</v>
      </c>
      <c r="I1548" t="s">
        <v>61</v>
      </c>
    </row>
    <row r="1549" spans="1:9" x14ac:dyDescent="0.25">
      <c r="A1549">
        <v>20130912</v>
      </c>
      <c r="B1549" t="str">
        <f>"111601"</f>
        <v>111601</v>
      </c>
      <c r="C1549" t="str">
        <f t="shared" si="131"/>
        <v>85780</v>
      </c>
      <c r="D1549" t="s">
        <v>402</v>
      </c>
      <c r="E1549">
        <v>115</v>
      </c>
      <c r="F1549">
        <v>20130910</v>
      </c>
      <c r="G1549" t="s">
        <v>356</v>
      </c>
      <c r="H1549" t="s">
        <v>357</v>
      </c>
      <c r="I1549" t="s">
        <v>61</v>
      </c>
    </row>
    <row r="1550" spans="1:9" x14ac:dyDescent="0.25">
      <c r="A1550">
        <v>20130912</v>
      </c>
      <c r="B1550" t="str">
        <f>"111602"</f>
        <v>111602</v>
      </c>
      <c r="C1550" t="str">
        <f>"85445"</f>
        <v>85445</v>
      </c>
      <c r="D1550" t="s">
        <v>745</v>
      </c>
      <c r="E1550">
        <v>965</v>
      </c>
      <c r="F1550">
        <v>20130906</v>
      </c>
      <c r="G1550" t="s">
        <v>746</v>
      </c>
      <c r="H1550" t="s">
        <v>555</v>
      </c>
      <c r="I1550" t="s">
        <v>21</v>
      </c>
    </row>
    <row r="1551" spans="1:9" x14ac:dyDescent="0.25">
      <c r="A1551">
        <v>20130912</v>
      </c>
      <c r="B1551" t="str">
        <f t="shared" ref="B1551:B1572" si="132">"111603"</f>
        <v>111603</v>
      </c>
      <c r="C1551" t="str">
        <f t="shared" ref="C1551:C1572" si="133">"80825"</f>
        <v>80825</v>
      </c>
      <c r="D1551" t="s">
        <v>747</v>
      </c>
      <c r="E1551">
        <v>196.46</v>
      </c>
      <c r="F1551">
        <v>20130906</v>
      </c>
      <c r="G1551" t="s">
        <v>748</v>
      </c>
      <c r="H1551" t="s">
        <v>749</v>
      </c>
      <c r="I1551" t="s">
        <v>21</v>
      </c>
    </row>
    <row r="1552" spans="1:9" x14ac:dyDescent="0.25">
      <c r="A1552">
        <v>20130912</v>
      </c>
      <c r="B1552" t="str">
        <f t="shared" si="132"/>
        <v>111603</v>
      </c>
      <c r="C1552" t="str">
        <f t="shared" si="133"/>
        <v>80825</v>
      </c>
      <c r="D1552" t="s">
        <v>747</v>
      </c>
      <c r="E1552" s="1">
        <v>2093.38</v>
      </c>
      <c r="F1552">
        <v>20130906</v>
      </c>
      <c r="G1552" t="s">
        <v>748</v>
      </c>
      <c r="H1552" t="s">
        <v>749</v>
      </c>
      <c r="I1552" t="s">
        <v>21</v>
      </c>
    </row>
    <row r="1553" spans="1:9" x14ac:dyDescent="0.25">
      <c r="A1553">
        <v>20130912</v>
      </c>
      <c r="B1553" t="str">
        <f t="shared" si="132"/>
        <v>111603</v>
      </c>
      <c r="C1553" t="str">
        <f t="shared" si="133"/>
        <v>80825</v>
      </c>
      <c r="D1553" t="s">
        <v>747</v>
      </c>
      <c r="E1553">
        <v>670.6</v>
      </c>
      <c r="F1553">
        <v>20130906</v>
      </c>
      <c r="G1553" t="s">
        <v>750</v>
      </c>
      <c r="H1553" t="s">
        <v>749</v>
      </c>
      <c r="I1553" t="s">
        <v>21</v>
      </c>
    </row>
    <row r="1554" spans="1:9" x14ac:dyDescent="0.25">
      <c r="A1554">
        <v>20130912</v>
      </c>
      <c r="B1554" t="str">
        <f t="shared" si="132"/>
        <v>111603</v>
      </c>
      <c r="C1554" t="str">
        <f t="shared" si="133"/>
        <v>80825</v>
      </c>
      <c r="D1554" t="s">
        <v>747</v>
      </c>
      <c r="E1554">
        <v>289.2</v>
      </c>
      <c r="F1554">
        <v>20130906</v>
      </c>
      <c r="G1554" t="s">
        <v>750</v>
      </c>
      <c r="H1554" t="s">
        <v>751</v>
      </c>
      <c r="I1554" t="s">
        <v>21</v>
      </c>
    </row>
    <row r="1555" spans="1:9" x14ac:dyDescent="0.25">
      <c r="A1555">
        <v>20130912</v>
      </c>
      <c r="B1555" t="str">
        <f t="shared" si="132"/>
        <v>111603</v>
      </c>
      <c r="C1555" t="str">
        <f t="shared" si="133"/>
        <v>80825</v>
      </c>
      <c r="D1555" t="s">
        <v>747</v>
      </c>
      <c r="E1555">
        <v>670.6</v>
      </c>
      <c r="F1555">
        <v>20130906</v>
      </c>
      <c r="G1555" t="s">
        <v>750</v>
      </c>
      <c r="H1555" t="s">
        <v>749</v>
      </c>
      <c r="I1555" t="s">
        <v>21</v>
      </c>
    </row>
    <row r="1556" spans="1:9" x14ac:dyDescent="0.25">
      <c r="A1556">
        <v>20130912</v>
      </c>
      <c r="B1556" t="str">
        <f t="shared" si="132"/>
        <v>111603</v>
      </c>
      <c r="C1556" t="str">
        <f t="shared" si="133"/>
        <v>80825</v>
      </c>
      <c r="D1556" t="s">
        <v>747</v>
      </c>
      <c r="E1556">
        <v>670.6</v>
      </c>
      <c r="F1556">
        <v>20130906</v>
      </c>
      <c r="G1556" t="s">
        <v>752</v>
      </c>
      <c r="H1556" t="s">
        <v>749</v>
      </c>
      <c r="I1556" t="s">
        <v>21</v>
      </c>
    </row>
    <row r="1557" spans="1:9" x14ac:dyDescent="0.25">
      <c r="A1557">
        <v>20130912</v>
      </c>
      <c r="B1557" t="str">
        <f t="shared" si="132"/>
        <v>111603</v>
      </c>
      <c r="C1557" t="str">
        <f t="shared" si="133"/>
        <v>80825</v>
      </c>
      <c r="D1557" t="s">
        <v>747</v>
      </c>
      <c r="E1557">
        <v>582.95000000000005</v>
      </c>
      <c r="F1557">
        <v>20130906</v>
      </c>
      <c r="G1557" t="s">
        <v>753</v>
      </c>
      <c r="H1557" t="s">
        <v>749</v>
      </c>
      <c r="I1557" t="s">
        <v>21</v>
      </c>
    </row>
    <row r="1558" spans="1:9" x14ac:dyDescent="0.25">
      <c r="A1558">
        <v>20130912</v>
      </c>
      <c r="B1558" t="str">
        <f t="shared" si="132"/>
        <v>111603</v>
      </c>
      <c r="C1558" t="str">
        <f t="shared" si="133"/>
        <v>80825</v>
      </c>
      <c r="D1558" t="s">
        <v>747</v>
      </c>
      <c r="E1558">
        <v>582.95000000000005</v>
      </c>
      <c r="F1558">
        <v>20130906</v>
      </c>
      <c r="G1558" t="s">
        <v>753</v>
      </c>
      <c r="H1558" t="s">
        <v>749</v>
      </c>
      <c r="I1558" t="s">
        <v>21</v>
      </c>
    </row>
    <row r="1559" spans="1:9" x14ac:dyDescent="0.25">
      <c r="A1559">
        <v>20130912</v>
      </c>
      <c r="B1559" t="str">
        <f t="shared" si="132"/>
        <v>111603</v>
      </c>
      <c r="C1559" t="str">
        <f t="shared" si="133"/>
        <v>80825</v>
      </c>
      <c r="D1559" t="s">
        <v>747</v>
      </c>
      <c r="E1559">
        <v>582.95000000000005</v>
      </c>
      <c r="F1559">
        <v>20130906</v>
      </c>
      <c r="G1559" t="s">
        <v>754</v>
      </c>
      <c r="H1559" t="s">
        <v>749</v>
      </c>
      <c r="I1559" t="s">
        <v>21</v>
      </c>
    </row>
    <row r="1560" spans="1:9" x14ac:dyDescent="0.25">
      <c r="A1560">
        <v>20130912</v>
      </c>
      <c r="B1560" t="str">
        <f t="shared" si="132"/>
        <v>111603</v>
      </c>
      <c r="C1560" t="str">
        <f t="shared" si="133"/>
        <v>80825</v>
      </c>
      <c r="D1560" t="s">
        <v>747</v>
      </c>
      <c r="E1560">
        <v>582.95000000000005</v>
      </c>
      <c r="F1560">
        <v>20130906</v>
      </c>
      <c r="G1560" t="s">
        <v>754</v>
      </c>
      <c r="H1560" t="s">
        <v>749</v>
      </c>
      <c r="I1560" t="s">
        <v>21</v>
      </c>
    </row>
    <row r="1561" spans="1:9" x14ac:dyDescent="0.25">
      <c r="A1561">
        <v>20130912</v>
      </c>
      <c r="B1561" t="str">
        <f t="shared" si="132"/>
        <v>111603</v>
      </c>
      <c r="C1561" t="str">
        <f t="shared" si="133"/>
        <v>80825</v>
      </c>
      <c r="D1561" t="s">
        <v>747</v>
      </c>
      <c r="E1561">
        <v>582.95000000000005</v>
      </c>
      <c r="F1561">
        <v>20130906</v>
      </c>
      <c r="G1561" t="s">
        <v>755</v>
      </c>
      <c r="H1561" t="s">
        <v>749</v>
      </c>
      <c r="I1561" t="s">
        <v>21</v>
      </c>
    </row>
    <row r="1562" spans="1:9" x14ac:dyDescent="0.25">
      <c r="A1562">
        <v>20130912</v>
      </c>
      <c r="B1562" t="str">
        <f t="shared" si="132"/>
        <v>111603</v>
      </c>
      <c r="C1562" t="str">
        <f t="shared" si="133"/>
        <v>80825</v>
      </c>
      <c r="D1562" t="s">
        <v>747</v>
      </c>
      <c r="E1562">
        <v>582.95000000000005</v>
      </c>
      <c r="F1562">
        <v>20130906</v>
      </c>
      <c r="G1562" t="s">
        <v>756</v>
      </c>
      <c r="H1562" t="s">
        <v>749</v>
      </c>
      <c r="I1562" t="s">
        <v>21</v>
      </c>
    </row>
    <row r="1563" spans="1:9" x14ac:dyDescent="0.25">
      <c r="A1563">
        <v>20130912</v>
      </c>
      <c r="B1563" t="str">
        <f t="shared" si="132"/>
        <v>111603</v>
      </c>
      <c r="C1563" t="str">
        <f t="shared" si="133"/>
        <v>80825</v>
      </c>
      <c r="D1563" t="s">
        <v>747</v>
      </c>
      <c r="E1563">
        <v>582.95000000000005</v>
      </c>
      <c r="F1563">
        <v>20130906</v>
      </c>
      <c r="G1563" t="s">
        <v>756</v>
      </c>
      <c r="H1563" t="s">
        <v>749</v>
      </c>
      <c r="I1563" t="s">
        <v>21</v>
      </c>
    </row>
    <row r="1564" spans="1:9" x14ac:dyDescent="0.25">
      <c r="A1564">
        <v>20130912</v>
      </c>
      <c r="B1564" t="str">
        <f t="shared" si="132"/>
        <v>111603</v>
      </c>
      <c r="C1564" t="str">
        <f t="shared" si="133"/>
        <v>80825</v>
      </c>
      <c r="D1564" t="s">
        <v>747</v>
      </c>
      <c r="E1564">
        <v>133.91</v>
      </c>
      <c r="F1564">
        <v>20130906</v>
      </c>
      <c r="G1564" t="s">
        <v>757</v>
      </c>
      <c r="H1564" t="s">
        <v>749</v>
      </c>
      <c r="I1564" t="s">
        <v>21</v>
      </c>
    </row>
    <row r="1565" spans="1:9" x14ac:dyDescent="0.25">
      <c r="A1565">
        <v>20130912</v>
      </c>
      <c r="B1565" t="str">
        <f t="shared" si="132"/>
        <v>111603</v>
      </c>
      <c r="C1565" t="str">
        <f t="shared" si="133"/>
        <v>80825</v>
      </c>
      <c r="D1565" t="s">
        <v>747</v>
      </c>
      <c r="E1565">
        <v>65.48</v>
      </c>
      <c r="F1565">
        <v>20130906</v>
      </c>
      <c r="G1565" t="s">
        <v>757</v>
      </c>
      <c r="H1565" t="s">
        <v>749</v>
      </c>
      <c r="I1565" t="s">
        <v>21</v>
      </c>
    </row>
    <row r="1566" spans="1:9" x14ac:dyDescent="0.25">
      <c r="A1566">
        <v>20130912</v>
      </c>
      <c r="B1566" t="str">
        <f t="shared" si="132"/>
        <v>111603</v>
      </c>
      <c r="C1566" t="str">
        <f t="shared" si="133"/>
        <v>80825</v>
      </c>
      <c r="D1566" t="s">
        <v>747</v>
      </c>
      <c r="E1566">
        <v>82.75</v>
      </c>
      <c r="F1566">
        <v>20130906</v>
      </c>
      <c r="G1566" t="s">
        <v>758</v>
      </c>
      <c r="H1566" t="s">
        <v>749</v>
      </c>
      <c r="I1566" t="s">
        <v>21</v>
      </c>
    </row>
    <row r="1567" spans="1:9" x14ac:dyDescent="0.25">
      <c r="A1567">
        <v>20130912</v>
      </c>
      <c r="B1567" t="str">
        <f t="shared" si="132"/>
        <v>111603</v>
      </c>
      <c r="C1567" t="str">
        <f t="shared" si="133"/>
        <v>80825</v>
      </c>
      <c r="D1567" t="s">
        <v>747</v>
      </c>
      <c r="E1567">
        <v>133.9</v>
      </c>
      <c r="F1567">
        <v>20130906</v>
      </c>
      <c r="G1567" t="s">
        <v>544</v>
      </c>
      <c r="H1567" t="s">
        <v>749</v>
      </c>
      <c r="I1567" t="s">
        <v>21</v>
      </c>
    </row>
    <row r="1568" spans="1:9" x14ac:dyDescent="0.25">
      <c r="A1568">
        <v>20130912</v>
      </c>
      <c r="B1568" t="str">
        <f t="shared" si="132"/>
        <v>111603</v>
      </c>
      <c r="C1568" t="str">
        <f t="shared" si="133"/>
        <v>80825</v>
      </c>
      <c r="D1568" t="s">
        <v>747</v>
      </c>
      <c r="E1568">
        <v>65.48</v>
      </c>
      <c r="F1568">
        <v>20130906</v>
      </c>
      <c r="G1568" t="s">
        <v>544</v>
      </c>
      <c r="H1568" t="s">
        <v>749</v>
      </c>
      <c r="I1568" t="s">
        <v>21</v>
      </c>
    </row>
    <row r="1569" spans="1:9" x14ac:dyDescent="0.25">
      <c r="A1569">
        <v>20130912</v>
      </c>
      <c r="B1569" t="str">
        <f t="shared" si="132"/>
        <v>111603</v>
      </c>
      <c r="C1569" t="str">
        <f t="shared" si="133"/>
        <v>80825</v>
      </c>
      <c r="D1569" t="s">
        <v>747</v>
      </c>
      <c r="E1569">
        <v>133.9</v>
      </c>
      <c r="F1569">
        <v>20130906</v>
      </c>
      <c r="G1569" t="s">
        <v>545</v>
      </c>
      <c r="H1569" t="s">
        <v>749</v>
      </c>
      <c r="I1569" t="s">
        <v>21</v>
      </c>
    </row>
    <row r="1570" spans="1:9" x14ac:dyDescent="0.25">
      <c r="A1570">
        <v>20130912</v>
      </c>
      <c r="B1570" t="str">
        <f t="shared" si="132"/>
        <v>111603</v>
      </c>
      <c r="C1570" t="str">
        <f t="shared" si="133"/>
        <v>80825</v>
      </c>
      <c r="D1570" t="s">
        <v>747</v>
      </c>
      <c r="E1570">
        <v>65.5</v>
      </c>
      <c r="F1570">
        <v>20130906</v>
      </c>
      <c r="G1570" t="s">
        <v>545</v>
      </c>
      <c r="H1570" t="s">
        <v>749</v>
      </c>
      <c r="I1570" t="s">
        <v>21</v>
      </c>
    </row>
    <row r="1571" spans="1:9" x14ac:dyDescent="0.25">
      <c r="A1571">
        <v>20130912</v>
      </c>
      <c r="B1571" t="str">
        <f t="shared" si="132"/>
        <v>111603</v>
      </c>
      <c r="C1571" t="str">
        <f t="shared" si="133"/>
        <v>80825</v>
      </c>
      <c r="D1571" t="s">
        <v>747</v>
      </c>
      <c r="E1571">
        <v>196.46</v>
      </c>
      <c r="F1571">
        <v>20130906</v>
      </c>
      <c r="G1571" t="s">
        <v>759</v>
      </c>
      <c r="H1571" t="s">
        <v>749</v>
      </c>
      <c r="I1571" t="s">
        <v>12</v>
      </c>
    </row>
    <row r="1572" spans="1:9" x14ac:dyDescent="0.25">
      <c r="A1572">
        <v>20130912</v>
      </c>
      <c r="B1572" t="str">
        <f t="shared" si="132"/>
        <v>111603</v>
      </c>
      <c r="C1572" t="str">
        <f t="shared" si="133"/>
        <v>80825</v>
      </c>
      <c r="D1572" t="s">
        <v>747</v>
      </c>
      <c r="E1572">
        <v>144.38999999999999</v>
      </c>
      <c r="F1572">
        <v>20130906</v>
      </c>
      <c r="G1572" t="s">
        <v>759</v>
      </c>
      <c r="H1572" t="s">
        <v>760</v>
      </c>
      <c r="I1572" t="s">
        <v>12</v>
      </c>
    </row>
    <row r="1573" spans="1:9" x14ac:dyDescent="0.25">
      <c r="A1573">
        <v>20130919</v>
      </c>
      <c r="B1573" t="str">
        <f>"111604"</f>
        <v>111604</v>
      </c>
      <c r="C1573" t="str">
        <f>"00954"</f>
        <v>00954</v>
      </c>
      <c r="D1573" t="s">
        <v>445</v>
      </c>
      <c r="E1573" s="1">
        <v>2954</v>
      </c>
      <c r="F1573">
        <v>20130917</v>
      </c>
      <c r="G1573" t="s">
        <v>761</v>
      </c>
      <c r="H1573" t="s">
        <v>762</v>
      </c>
      <c r="I1573" t="s">
        <v>21</v>
      </c>
    </row>
    <row r="1574" spans="1:9" x14ac:dyDescent="0.25">
      <c r="A1574">
        <v>20130919</v>
      </c>
      <c r="B1574" t="str">
        <f>"111605"</f>
        <v>111605</v>
      </c>
      <c r="C1574" t="str">
        <f>"01675"</f>
        <v>01675</v>
      </c>
      <c r="D1574" t="s">
        <v>763</v>
      </c>
      <c r="E1574">
        <v>50</v>
      </c>
      <c r="F1574">
        <v>20130917</v>
      </c>
      <c r="G1574" t="s">
        <v>764</v>
      </c>
      <c r="H1574" t="s">
        <v>765</v>
      </c>
      <c r="I1574" t="s">
        <v>61</v>
      </c>
    </row>
    <row r="1575" spans="1:9" x14ac:dyDescent="0.25">
      <c r="A1575">
        <v>20130919</v>
      </c>
      <c r="B1575" t="str">
        <f>"111606"</f>
        <v>111606</v>
      </c>
      <c r="C1575" t="str">
        <f>"00120"</f>
        <v>00120</v>
      </c>
      <c r="D1575" t="s">
        <v>336</v>
      </c>
      <c r="E1575">
        <v>103.5</v>
      </c>
      <c r="F1575">
        <v>20130917</v>
      </c>
      <c r="G1575" t="s">
        <v>337</v>
      </c>
      <c r="H1575" t="s">
        <v>766</v>
      </c>
      <c r="I1575" t="s">
        <v>21</v>
      </c>
    </row>
    <row r="1576" spans="1:9" x14ac:dyDescent="0.25">
      <c r="A1576">
        <v>20130919</v>
      </c>
      <c r="B1576" t="str">
        <f>"111607"</f>
        <v>111607</v>
      </c>
      <c r="C1576" t="str">
        <f>"01885"</f>
        <v>01885</v>
      </c>
      <c r="D1576" t="s">
        <v>767</v>
      </c>
      <c r="E1576">
        <v>187.27</v>
      </c>
      <c r="F1576">
        <v>20130917</v>
      </c>
      <c r="G1576" t="s">
        <v>764</v>
      </c>
      <c r="H1576" t="s">
        <v>765</v>
      </c>
      <c r="I1576" t="s">
        <v>61</v>
      </c>
    </row>
    <row r="1577" spans="1:9" x14ac:dyDescent="0.25">
      <c r="A1577">
        <v>20130919</v>
      </c>
      <c r="B1577" t="str">
        <f>"111608"</f>
        <v>111608</v>
      </c>
      <c r="C1577" t="str">
        <f>"00500"</f>
        <v>00500</v>
      </c>
      <c r="D1577" t="s">
        <v>486</v>
      </c>
      <c r="E1577" s="1">
        <v>7794.07</v>
      </c>
      <c r="F1577">
        <v>20130912</v>
      </c>
      <c r="G1577" t="s">
        <v>487</v>
      </c>
      <c r="H1577" t="s">
        <v>488</v>
      </c>
      <c r="I1577" t="s">
        <v>21</v>
      </c>
    </row>
    <row r="1578" spans="1:9" x14ac:dyDescent="0.25">
      <c r="A1578">
        <v>20130919</v>
      </c>
      <c r="B1578" t="str">
        <f>"111609"</f>
        <v>111609</v>
      </c>
      <c r="C1578" t="str">
        <f>"87384"</f>
        <v>87384</v>
      </c>
      <c r="D1578" t="s">
        <v>768</v>
      </c>
      <c r="E1578" s="1">
        <v>2700</v>
      </c>
      <c r="F1578">
        <v>20130918</v>
      </c>
      <c r="G1578" t="s">
        <v>769</v>
      </c>
      <c r="H1578" t="s">
        <v>770</v>
      </c>
      <c r="I1578" t="s">
        <v>61</v>
      </c>
    </row>
    <row r="1579" spans="1:9" x14ac:dyDescent="0.25">
      <c r="A1579">
        <v>20130919</v>
      </c>
      <c r="B1579" t="str">
        <f>"111610"</f>
        <v>111610</v>
      </c>
      <c r="C1579" t="str">
        <f>"00255"</f>
        <v>00255</v>
      </c>
      <c r="D1579" t="s">
        <v>489</v>
      </c>
      <c r="E1579">
        <v>57.35</v>
      </c>
      <c r="F1579">
        <v>20130917</v>
      </c>
      <c r="G1579" t="s">
        <v>771</v>
      </c>
      <c r="H1579" t="s">
        <v>488</v>
      </c>
      <c r="I1579" t="s">
        <v>21</v>
      </c>
    </row>
    <row r="1580" spans="1:9" x14ac:dyDescent="0.25">
      <c r="A1580">
        <v>20130919</v>
      </c>
      <c r="B1580" t="str">
        <f>"111611"</f>
        <v>111611</v>
      </c>
      <c r="C1580" t="str">
        <f>"10335"</f>
        <v>10335</v>
      </c>
      <c r="D1580" t="s">
        <v>772</v>
      </c>
      <c r="E1580">
        <v>85</v>
      </c>
      <c r="F1580">
        <v>20130917</v>
      </c>
      <c r="G1580" t="s">
        <v>764</v>
      </c>
      <c r="H1580" t="s">
        <v>765</v>
      </c>
      <c r="I1580" t="s">
        <v>61</v>
      </c>
    </row>
    <row r="1581" spans="1:9" x14ac:dyDescent="0.25">
      <c r="A1581">
        <v>20130919</v>
      </c>
      <c r="B1581" t="str">
        <f>"111612"</f>
        <v>111612</v>
      </c>
      <c r="C1581" t="str">
        <f>"85915"</f>
        <v>85915</v>
      </c>
      <c r="D1581" t="s">
        <v>773</v>
      </c>
      <c r="E1581">
        <v>80</v>
      </c>
      <c r="F1581">
        <v>20130912</v>
      </c>
      <c r="G1581" t="s">
        <v>774</v>
      </c>
      <c r="H1581" t="s">
        <v>765</v>
      </c>
      <c r="I1581" t="s">
        <v>61</v>
      </c>
    </row>
    <row r="1582" spans="1:9" x14ac:dyDescent="0.25">
      <c r="A1582">
        <v>20130919</v>
      </c>
      <c r="B1582" t="str">
        <f>"111613"</f>
        <v>111613</v>
      </c>
      <c r="C1582" t="str">
        <f>"85312"</f>
        <v>85312</v>
      </c>
      <c r="D1582" t="s">
        <v>775</v>
      </c>
      <c r="E1582">
        <v>200.85</v>
      </c>
      <c r="F1582">
        <v>20130912</v>
      </c>
      <c r="G1582" t="s">
        <v>774</v>
      </c>
      <c r="H1582" t="s">
        <v>765</v>
      </c>
      <c r="I1582" t="s">
        <v>61</v>
      </c>
    </row>
    <row r="1583" spans="1:9" x14ac:dyDescent="0.25">
      <c r="A1583">
        <v>20130919</v>
      </c>
      <c r="B1583" t="str">
        <f>"111614"</f>
        <v>111614</v>
      </c>
      <c r="C1583" t="str">
        <f>"82758"</f>
        <v>82758</v>
      </c>
      <c r="D1583" t="s">
        <v>776</v>
      </c>
      <c r="E1583" s="1">
        <v>5799.45</v>
      </c>
      <c r="F1583">
        <v>20130912</v>
      </c>
      <c r="G1583" t="s">
        <v>777</v>
      </c>
      <c r="H1583" t="s">
        <v>778</v>
      </c>
      <c r="I1583" t="s">
        <v>21</v>
      </c>
    </row>
    <row r="1584" spans="1:9" x14ac:dyDescent="0.25">
      <c r="A1584">
        <v>20130919</v>
      </c>
      <c r="B1584" t="str">
        <f>"111615"</f>
        <v>111615</v>
      </c>
      <c r="C1584" t="str">
        <f>"81301"</f>
        <v>81301</v>
      </c>
      <c r="D1584" t="s">
        <v>779</v>
      </c>
      <c r="E1584">
        <v>19.260000000000002</v>
      </c>
      <c r="F1584">
        <v>20130918</v>
      </c>
      <c r="G1584" t="s">
        <v>780</v>
      </c>
      <c r="H1584" t="s">
        <v>365</v>
      </c>
      <c r="I1584" t="s">
        <v>77</v>
      </c>
    </row>
    <row r="1585" spans="1:9" x14ac:dyDescent="0.25">
      <c r="A1585">
        <v>20130919</v>
      </c>
      <c r="B1585" t="str">
        <f>"111616"</f>
        <v>111616</v>
      </c>
      <c r="C1585" t="str">
        <f>"82560"</f>
        <v>82560</v>
      </c>
      <c r="D1585" t="s">
        <v>403</v>
      </c>
      <c r="E1585">
        <v>81.650000000000006</v>
      </c>
      <c r="F1585">
        <v>20130917</v>
      </c>
      <c r="G1585" t="s">
        <v>404</v>
      </c>
      <c r="H1585" t="s">
        <v>405</v>
      </c>
      <c r="I1585" t="s">
        <v>12</v>
      </c>
    </row>
    <row r="1586" spans="1:9" x14ac:dyDescent="0.25">
      <c r="A1586">
        <v>20130919</v>
      </c>
      <c r="B1586" t="str">
        <f>"111617"</f>
        <v>111617</v>
      </c>
      <c r="C1586" t="str">
        <f>"82984"</f>
        <v>82984</v>
      </c>
      <c r="D1586" t="s">
        <v>781</v>
      </c>
      <c r="E1586">
        <v>250</v>
      </c>
      <c r="F1586">
        <v>20130916</v>
      </c>
      <c r="G1586" t="s">
        <v>347</v>
      </c>
      <c r="H1586" t="s">
        <v>361</v>
      </c>
      <c r="I1586" t="s">
        <v>61</v>
      </c>
    </row>
    <row r="1587" spans="1:9" x14ac:dyDescent="0.25">
      <c r="A1587">
        <v>20130919</v>
      </c>
      <c r="B1587" t="str">
        <f>"111618"</f>
        <v>111618</v>
      </c>
      <c r="C1587" t="str">
        <f>"11851"</f>
        <v>11851</v>
      </c>
      <c r="D1587" t="s">
        <v>342</v>
      </c>
      <c r="E1587">
        <v>70</v>
      </c>
      <c r="F1587">
        <v>20130913</v>
      </c>
      <c r="G1587" t="s">
        <v>181</v>
      </c>
      <c r="H1587" t="s">
        <v>782</v>
      </c>
      <c r="I1587" t="s">
        <v>38</v>
      </c>
    </row>
    <row r="1588" spans="1:9" x14ac:dyDescent="0.25">
      <c r="A1588">
        <v>20130919</v>
      </c>
      <c r="B1588" t="str">
        <f>"111618"</f>
        <v>111618</v>
      </c>
      <c r="C1588" t="str">
        <f>"11851"</f>
        <v>11851</v>
      </c>
      <c r="D1588" t="s">
        <v>342</v>
      </c>
      <c r="E1588">
        <v>40</v>
      </c>
      <c r="F1588">
        <v>20130913</v>
      </c>
      <c r="G1588" t="s">
        <v>181</v>
      </c>
      <c r="H1588" t="s">
        <v>783</v>
      </c>
      <c r="I1588" t="s">
        <v>38</v>
      </c>
    </row>
    <row r="1589" spans="1:9" x14ac:dyDescent="0.25">
      <c r="A1589">
        <v>20130919</v>
      </c>
      <c r="B1589" t="str">
        <f>"111618"</f>
        <v>111618</v>
      </c>
      <c r="C1589" t="str">
        <f>"11851"</f>
        <v>11851</v>
      </c>
      <c r="D1589" t="s">
        <v>342</v>
      </c>
      <c r="E1589">
        <v>40</v>
      </c>
      <c r="F1589">
        <v>20130913</v>
      </c>
      <c r="G1589" t="s">
        <v>181</v>
      </c>
      <c r="H1589" t="s">
        <v>783</v>
      </c>
      <c r="I1589" t="s">
        <v>38</v>
      </c>
    </row>
    <row r="1590" spans="1:9" x14ac:dyDescent="0.25">
      <c r="A1590">
        <v>20130919</v>
      </c>
      <c r="B1590" t="str">
        <f>"111618"</f>
        <v>111618</v>
      </c>
      <c r="C1590" t="str">
        <f>"11851"</f>
        <v>11851</v>
      </c>
      <c r="D1590" t="s">
        <v>342</v>
      </c>
      <c r="E1590">
        <v>80</v>
      </c>
      <c r="F1590">
        <v>20130917</v>
      </c>
      <c r="G1590" t="s">
        <v>289</v>
      </c>
      <c r="H1590" t="s">
        <v>784</v>
      </c>
      <c r="I1590" t="s">
        <v>38</v>
      </c>
    </row>
    <row r="1591" spans="1:9" x14ac:dyDescent="0.25">
      <c r="A1591">
        <v>20130919</v>
      </c>
      <c r="B1591" t="str">
        <f>"111619"</f>
        <v>111619</v>
      </c>
      <c r="C1591" t="str">
        <f>"86528"</f>
        <v>86528</v>
      </c>
      <c r="D1591" t="s">
        <v>785</v>
      </c>
      <c r="E1591">
        <v>77.88</v>
      </c>
      <c r="F1591">
        <v>20130912</v>
      </c>
      <c r="G1591" t="s">
        <v>774</v>
      </c>
      <c r="H1591" t="s">
        <v>765</v>
      </c>
      <c r="I1591" t="s">
        <v>61</v>
      </c>
    </row>
    <row r="1592" spans="1:9" x14ac:dyDescent="0.25">
      <c r="A1592">
        <v>20130919</v>
      </c>
      <c r="B1592" t="str">
        <f>"111619"</f>
        <v>111619</v>
      </c>
      <c r="C1592" t="str">
        <f>"86528"</f>
        <v>86528</v>
      </c>
      <c r="D1592" t="s">
        <v>785</v>
      </c>
      <c r="E1592">
        <v>77.88</v>
      </c>
      <c r="F1592">
        <v>20130912</v>
      </c>
      <c r="G1592" t="s">
        <v>774</v>
      </c>
      <c r="H1592" t="s">
        <v>765</v>
      </c>
      <c r="I1592" t="s">
        <v>61</v>
      </c>
    </row>
    <row r="1593" spans="1:9" x14ac:dyDescent="0.25">
      <c r="A1593">
        <v>20130919</v>
      </c>
      <c r="B1593" t="str">
        <f>"111620"</f>
        <v>111620</v>
      </c>
      <c r="C1593" t="str">
        <f>"12140"</f>
        <v>12140</v>
      </c>
      <c r="D1593" t="s">
        <v>406</v>
      </c>
      <c r="E1593">
        <v>955.5</v>
      </c>
      <c r="F1593">
        <v>20130917</v>
      </c>
      <c r="G1593" t="s">
        <v>404</v>
      </c>
      <c r="H1593" t="s">
        <v>408</v>
      </c>
      <c r="I1593" t="s">
        <v>12</v>
      </c>
    </row>
    <row r="1594" spans="1:9" x14ac:dyDescent="0.25">
      <c r="A1594">
        <v>20130919</v>
      </c>
      <c r="B1594" t="str">
        <f>"111621"</f>
        <v>111621</v>
      </c>
      <c r="C1594" t="str">
        <f>"86066"</f>
        <v>86066</v>
      </c>
      <c r="D1594" t="s">
        <v>786</v>
      </c>
      <c r="E1594">
        <v>142.12</v>
      </c>
      <c r="F1594">
        <v>20130912</v>
      </c>
      <c r="G1594" t="s">
        <v>774</v>
      </c>
      <c r="H1594" t="s">
        <v>765</v>
      </c>
      <c r="I1594" t="s">
        <v>61</v>
      </c>
    </row>
    <row r="1595" spans="1:9" x14ac:dyDescent="0.25">
      <c r="A1595">
        <v>20130919</v>
      </c>
      <c r="B1595" t="str">
        <f>"111622"</f>
        <v>111622</v>
      </c>
      <c r="C1595" t="str">
        <f>"87004"</f>
        <v>87004</v>
      </c>
      <c r="D1595" t="s">
        <v>787</v>
      </c>
      <c r="E1595">
        <v>4.37</v>
      </c>
      <c r="F1595">
        <v>20130913</v>
      </c>
      <c r="G1595" t="s">
        <v>579</v>
      </c>
      <c r="H1595" t="s">
        <v>354</v>
      </c>
      <c r="I1595" t="s">
        <v>21</v>
      </c>
    </row>
    <row r="1596" spans="1:9" x14ac:dyDescent="0.25">
      <c r="A1596">
        <v>20130919</v>
      </c>
      <c r="B1596" t="str">
        <f>"111623"</f>
        <v>111623</v>
      </c>
      <c r="C1596" t="str">
        <f>"82893"</f>
        <v>82893</v>
      </c>
      <c r="D1596" t="s">
        <v>788</v>
      </c>
      <c r="E1596">
        <v>45.29</v>
      </c>
      <c r="F1596">
        <v>20130913</v>
      </c>
      <c r="G1596" t="s">
        <v>789</v>
      </c>
      <c r="H1596" t="s">
        <v>790</v>
      </c>
      <c r="I1596" t="s">
        <v>61</v>
      </c>
    </row>
    <row r="1597" spans="1:9" x14ac:dyDescent="0.25">
      <c r="A1597">
        <v>20130919</v>
      </c>
      <c r="B1597" t="str">
        <f>"111624"</f>
        <v>111624</v>
      </c>
      <c r="C1597" t="str">
        <f>"84001"</f>
        <v>84001</v>
      </c>
      <c r="D1597" t="s">
        <v>791</v>
      </c>
      <c r="E1597">
        <v>49.53</v>
      </c>
      <c r="F1597">
        <v>20130913</v>
      </c>
      <c r="G1597" t="s">
        <v>789</v>
      </c>
      <c r="H1597" t="s">
        <v>790</v>
      </c>
      <c r="I1597" t="s">
        <v>61</v>
      </c>
    </row>
    <row r="1598" spans="1:9" x14ac:dyDescent="0.25">
      <c r="A1598">
        <v>20130919</v>
      </c>
      <c r="B1598" t="str">
        <f>"111625"</f>
        <v>111625</v>
      </c>
      <c r="C1598" t="str">
        <f>"87228"</f>
        <v>87228</v>
      </c>
      <c r="D1598" t="s">
        <v>792</v>
      </c>
      <c r="E1598">
        <v>180</v>
      </c>
      <c r="F1598">
        <v>20130917</v>
      </c>
      <c r="G1598" t="s">
        <v>793</v>
      </c>
      <c r="H1598" t="s">
        <v>357</v>
      </c>
      <c r="I1598" t="s">
        <v>21</v>
      </c>
    </row>
    <row r="1599" spans="1:9" x14ac:dyDescent="0.25">
      <c r="A1599">
        <v>20130919</v>
      </c>
      <c r="B1599" t="str">
        <f>"111626"</f>
        <v>111626</v>
      </c>
      <c r="C1599" t="str">
        <f>"86533"</f>
        <v>86533</v>
      </c>
      <c r="D1599" t="s">
        <v>505</v>
      </c>
      <c r="E1599">
        <v>40</v>
      </c>
      <c r="F1599">
        <v>20130917</v>
      </c>
      <c r="G1599" t="s">
        <v>794</v>
      </c>
      <c r="H1599" t="s">
        <v>656</v>
      </c>
      <c r="I1599" t="s">
        <v>21</v>
      </c>
    </row>
    <row r="1600" spans="1:9" x14ac:dyDescent="0.25">
      <c r="A1600">
        <v>20130919</v>
      </c>
      <c r="B1600" t="str">
        <f>"111627"</f>
        <v>111627</v>
      </c>
      <c r="C1600" t="str">
        <f>"87492"</f>
        <v>87492</v>
      </c>
      <c r="D1600" t="s">
        <v>795</v>
      </c>
      <c r="E1600">
        <v>90</v>
      </c>
      <c r="F1600">
        <v>20130912</v>
      </c>
      <c r="G1600" t="s">
        <v>764</v>
      </c>
      <c r="H1600" t="s">
        <v>765</v>
      </c>
      <c r="I1600" t="s">
        <v>61</v>
      </c>
    </row>
    <row r="1601" spans="1:9" x14ac:dyDescent="0.25">
      <c r="A1601">
        <v>20130919</v>
      </c>
      <c r="B1601" t="str">
        <f>"111628"</f>
        <v>111628</v>
      </c>
      <c r="C1601" t="str">
        <f>"85796"</f>
        <v>85796</v>
      </c>
      <c r="D1601" t="s">
        <v>796</v>
      </c>
      <c r="E1601">
        <v>57.51</v>
      </c>
      <c r="F1601">
        <v>20130916</v>
      </c>
      <c r="G1601" t="s">
        <v>797</v>
      </c>
      <c r="H1601" t="s">
        <v>365</v>
      </c>
      <c r="I1601" t="s">
        <v>66</v>
      </c>
    </row>
    <row r="1602" spans="1:9" x14ac:dyDescent="0.25">
      <c r="A1602">
        <v>20130919</v>
      </c>
      <c r="B1602" t="str">
        <f>"111629"</f>
        <v>111629</v>
      </c>
      <c r="C1602" t="str">
        <f>"16500"</f>
        <v>16500</v>
      </c>
      <c r="D1602" t="s">
        <v>798</v>
      </c>
      <c r="E1602">
        <v>75</v>
      </c>
      <c r="F1602">
        <v>20130917</v>
      </c>
      <c r="G1602" t="s">
        <v>36</v>
      </c>
      <c r="H1602" t="s">
        <v>799</v>
      </c>
      <c r="I1602" t="s">
        <v>38</v>
      </c>
    </row>
    <row r="1603" spans="1:9" x14ac:dyDescent="0.25">
      <c r="A1603">
        <v>20130919</v>
      </c>
      <c r="B1603" t="str">
        <f>"111630"</f>
        <v>111630</v>
      </c>
      <c r="C1603" t="str">
        <f>"87499"</f>
        <v>87499</v>
      </c>
      <c r="D1603" t="s">
        <v>800</v>
      </c>
      <c r="E1603">
        <v>176.05</v>
      </c>
      <c r="F1603">
        <v>20130917</v>
      </c>
      <c r="G1603" t="s">
        <v>764</v>
      </c>
      <c r="H1603" t="s">
        <v>765</v>
      </c>
      <c r="I1603" t="s">
        <v>61</v>
      </c>
    </row>
    <row r="1604" spans="1:9" x14ac:dyDescent="0.25">
      <c r="A1604">
        <v>20130919</v>
      </c>
      <c r="B1604" t="str">
        <f>"111631"</f>
        <v>111631</v>
      </c>
      <c r="C1604" t="str">
        <f>"11856"</f>
        <v>11856</v>
      </c>
      <c r="D1604" t="s">
        <v>801</v>
      </c>
      <c r="E1604">
        <v>200</v>
      </c>
      <c r="F1604">
        <v>20130917</v>
      </c>
      <c r="G1604" t="s">
        <v>271</v>
      </c>
      <c r="H1604" t="s">
        <v>802</v>
      </c>
      <c r="I1604" t="s">
        <v>25</v>
      </c>
    </row>
    <row r="1605" spans="1:9" x14ac:dyDescent="0.25">
      <c r="A1605">
        <v>20130919</v>
      </c>
      <c r="B1605" t="str">
        <f>"111632"</f>
        <v>111632</v>
      </c>
      <c r="C1605" t="str">
        <f>"23185"</f>
        <v>23185</v>
      </c>
      <c r="D1605" t="s">
        <v>803</v>
      </c>
      <c r="E1605">
        <v>345</v>
      </c>
      <c r="F1605">
        <v>20130917</v>
      </c>
      <c r="G1605" t="s">
        <v>627</v>
      </c>
      <c r="H1605" t="s">
        <v>414</v>
      </c>
      <c r="I1605" t="s">
        <v>21</v>
      </c>
    </row>
    <row r="1606" spans="1:9" x14ac:dyDescent="0.25">
      <c r="A1606">
        <v>20130919</v>
      </c>
      <c r="B1606" t="str">
        <f>"111633"</f>
        <v>111633</v>
      </c>
      <c r="C1606" t="str">
        <f>"82630"</f>
        <v>82630</v>
      </c>
      <c r="D1606" t="s">
        <v>804</v>
      </c>
      <c r="E1606">
        <v>100.44</v>
      </c>
      <c r="F1606">
        <v>20130917</v>
      </c>
      <c r="G1606" t="s">
        <v>805</v>
      </c>
      <c r="H1606" t="s">
        <v>354</v>
      </c>
      <c r="I1606" t="s">
        <v>38</v>
      </c>
    </row>
    <row r="1607" spans="1:9" x14ac:dyDescent="0.25">
      <c r="A1607">
        <v>20130919</v>
      </c>
      <c r="B1607" t="str">
        <f>"111634"</f>
        <v>111634</v>
      </c>
      <c r="C1607" t="str">
        <f>"83643"</f>
        <v>83643</v>
      </c>
      <c r="D1607" t="s">
        <v>806</v>
      </c>
      <c r="E1607">
        <v>189.96</v>
      </c>
      <c r="F1607">
        <v>20130912</v>
      </c>
      <c r="G1607" t="s">
        <v>764</v>
      </c>
      <c r="H1607" t="s">
        <v>765</v>
      </c>
      <c r="I1607" t="s">
        <v>61</v>
      </c>
    </row>
    <row r="1608" spans="1:9" x14ac:dyDescent="0.25">
      <c r="A1608">
        <v>20130919</v>
      </c>
      <c r="B1608" t="str">
        <f>"111635"</f>
        <v>111635</v>
      </c>
      <c r="C1608" t="str">
        <f>"81457"</f>
        <v>81457</v>
      </c>
      <c r="D1608" t="s">
        <v>807</v>
      </c>
      <c r="E1608">
        <v>68.67</v>
      </c>
      <c r="F1608">
        <v>20130912</v>
      </c>
      <c r="G1608" t="s">
        <v>808</v>
      </c>
      <c r="H1608" t="s">
        <v>809</v>
      </c>
      <c r="I1608" t="s">
        <v>21</v>
      </c>
    </row>
    <row r="1609" spans="1:9" x14ac:dyDescent="0.25">
      <c r="A1609">
        <v>20130919</v>
      </c>
      <c r="B1609" t="str">
        <f>"111635"</f>
        <v>111635</v>
      </c>
      <c r="C1609" t="str">
        <f>"81457"</f>
        <v>81457</v>
      </c>
      <c r="D1609" t="s">
        <v>807</v>
      </c>
      <c r="E1609">
        <v>353.16</v>
      </c>
      <c r="F1609">
        <v>20130912</v>
      </c>
      <c r="G1609" t="s">
        <v>810</v>
      </c>
      <c r="H1609" t="s">
        <v>809</v>
      </c>
      <c r="I1609" t="s">
        <v>66</v>
      </c>
    </row>
    <row r="1610" spans="1:9" x14ac:dyDescent="0.25">
      <c r="A1610">
        <v>20130919</v>
      </c>
      <c r="B1610" t="str">
        <f>"111636"</f>
        <v>111636</v>
      </c>
      <c r="C1610" t="str">
        <f>"81457"</f>
        <v>81457</v>
      </c>
      <c r="D1610" t="s">
        <v>807</v>
      </c>
      <c r="E1610">
        <v>353.16</v>
      </c>
      <c r="F1610">
        <v>20130912</v>
      </c>
      <c r="G1610" t="s">
        <v>810</v>
      </c>
      <c r="H1610" t="s">
        <v>809</v>
      </c>
      <c r="I1610" t="s">
        <v>66</v>
      </c>
    </row>
    <row r="1611" spans="1:9" x14ac:dyDescent="0.25">
      <c r="A1611">
        <v>20130919</v>
      </c>
      <c r="B1611" t="str">
        <f t="shared" ref="B1611:B1617" si="134">"111637"</f>
        <v>111637</v>
      </c>
      <c r="C1611" t="str">
        <f t="shared" ref="C1611:C1617" si="135">"23827"</f>
        <v>23827</v>
      </c>
      <c r="D1611" t="s">
        <v>528</v>
      </c>
      <c r="E1611" s="1">
        <v>1184.0999999999999</v>
      </c>
      <c r="F1611">
        <v>20130917</v>
      </c>
      <c r="G1611" t="s">
        <v>289</v>
      </c>
      <c r="H1611" t="s">
        <v>811</v>
      </c>
      <c r="I1611" t="s">
        <v>38</v>
      </c>
    </row>
    <row r="1612" spans="1:9" x14ac:dyDescent="0.25">
      <c r="A1612">
        <v>20130919</v>
      </c>
      <c r="B1612" t="str">
        <f t="shared" si="134"/>
        <v>111637</v>
      </c>
      <c r="C1612" t="str">
        <f t="shared" si="135"/>
        <v>23827</v>
      </c>
      <c r="D1612" t="s">
        <v>528</v>
      </c>
      <c r="E1612">
        <v>113.6</v>
      </c>
      <c r="F1612">
        <v>20130917</v>
      </c>
      <c r="G1612" t="s">
        <v>150</v>
      </c>
      <c r="H1612" t="s">
        <v>513</v>
      </c>
      <c r="I1612" t="s">
        <v>25</v>
      </c>
    </row>
    <row r="1613" spans="1:9" x14ac:dyDescent="0.25">
      <c r="A1613">
        <v>20130919</v>
      </c>
      <c r="B1613" t="str">
        <f t="shared" si="134"/>
        <v>111637</v>
      </c>
      <c r="C1613" t="str">
        <f t="shared" si="135"/>
        <v>23827</v>
      </c>
      <c r="D1613" t="s">
        <v>528</v>
      </c>
      <c r="E1613">
        <v>359.1</v>
      </c>
      <c r="F1613">
        <v>20130917</v>
      </c>
      <c r="G1613" t="s">
        <v>150</v>
      </c>
      <c r="H1613" t="s">
        <v>513</v>
      </c>
      <c r="I1613" t="s">
        <v>25</v>
      </c>
    </row>
    <row r="1614" spans="1:9" x14ac:dyDescent="0.25">
      <c r="A1614">
        <v>20130919</v>
      </c>
      <c r="B1614" t="str">
        <f t="shared" si="134"/>
        <v>111637</v>
      </c>
      <c r="C1614" t="str">
        <f t="shared" si="135"/>
        <v>23827</v>
      </c>
      <c r="D1614" t="s">
        <v>528</v>
      </c>
      <c r="E1614" s="1">
        <v>1200</v>
      </c>
      <c r="F1614">
        <v>20130917</v>
      </c>
      <c r="G1614" t="s">
        <v>150</v>
      </c>
      <c r="H1614" t="s">
        <v>513</v>
      </c>
      <c r="I1614" t="s">
        <v>25</v>
      </c>
    </row>
    <row r="1615" spans="1:9" x14ac:dyDescent="0.25">
      <c r="A1615">
        <v>20130919</v>
      </c>
      <c r="B1615" t="str">
        <f t="shared" si="134"/>
        <v>111637</v>
      </c>
      <c r="C1615" t="str">
        <f t="shared" si="135"/>
        <v>23827</v>
      </c>
      <c r="D1615" t="s">
        <v>528</v>
      </c>
      <c r="E1615">
        <v>502.6</v>
      </c>
      <c r="F1615">
        <v>20130913</v>
      </c>
      <c r="G1615" t="s">
        <v>184</v>
      </c>
      <c r="H1615" t="s">
        <v>513</v>
      </c>
      <c r="I1615" t="s">
        <v>25</v>
      </c>
    </row>
    <row r="1616" spans="1:9" x14ac:dyDescent="0.25">
      <c r="A1616">
        <v>20130919</v>
      </c>
      <c r="B1616" t="str">
        <f t="shared" si="134"/>
        <v>111637</v>
      </c>
      <c r="C1616" t="str">
        <f t="shared" si="135"/>
        <v>23827</v>
      </c>
      <c r="D1616" t="s">
        <v>528</v>
      </c>
      <c r="E1616">
        <v>120.4</v>
      </c>
      <c r="F1616">
        <v>20130913</v>
      </c>
      <c r="G1616" t="s">
        <v>184</v>
      </c>
      <c r="H1616" t="s">
        <v>513</v>
      </c>
      <c r="I1616" t="s">
        <v>25</v>
      </c>
    </row>
    <row r="1617" spans="1:9" x14ac:dyDescent="0.25">
      <c r="A1617">
        <v>20130919</v>
      </c>
      <c r="B1617" t="str">
        <f t="shared" si="134"/>
        <v>111637</v>
      </c>
      <c r="C1617" t="str">
        <f t="shared" si="135"/>
        <v>23827</v>
      </c>
      <c r="D1617" t="s">
        <v>528</v>
      </c>
      <c r="E1617">
        <v>429.5</v>
      </c>
      <c r="F1617">
        <v>20130917</v>
      </c>
      <c r="G1617" t="s">
        <v>812</v>
      </c>
      <c r="H1617" t="s">
        <v>513</v>
      </c>
      <c r="I1617" t="s">
        <v>25</v>
      </c>
    </row>
    <row r="1618" spans="1:9" x14ac:dyDescent="0.25">
      <c r="A1618">
        <v>20130919</v>
      </c>
      <c r="B1618" t="str">
        <f>"111638"</f>
        <v>111638</v>
      </c>
      <c r="C1618" t="str">
        <f>"83353"</f>
        <v>83353</v>
      </c>
      <c r="D1618" t="s">
        <v>813</v>
      </c>
      <c r="E1618">
        <v>70.22</v>
      </c>
      <c r="F1618">
        <v>20130913</v>
      </c>
      <c r="G1618" t="s">
        <v>789</v>
      </c>
      <c r="H1618" t="s">
        <v>790</v>
      </c>
      <c r="I1618" t="s">
        <v>61</v>
      </c>
    </row>
    <row r="1619" spans="1:9" x14ac:dyDescent="0.25">
      <c r="A1619">
        <v>20130919</v>
      </c>
      <c r="B1619" t="str">
        <f>"111639"</f>
        <v>111639</v>
      </c>
      <c r="C1619" t="str">
        <f>"87501"</f>
        <v>87501</v>
      </c>
      <c r="D1619" t="s">
        <v>814</v>
      </c>
      <c r="E1619" s="1">
        <v>1401.45</v>
      </c>
      <c r="F1619">
        <v>20130917</v>
      </c>
      <c r="G1619" t="s">
        <v>48</v>
      </c>
      <c r="H1619" t="s">
        <v>815</v>
      </c>
      <c r="I1619" t="s">
        <v>25</v>
      </c>
    </row>
    <row r="1620" spans="1:9" x14ac:dyDescent="0.25">
      <c r="A1620">
        <v>20130919</v>
      </c>
      <c r="B1620" t="str">
        <f>"111640"</f>
        <v>111640</v>
      </c>
      <c r="C1620" t="str">
        <f>"81027"</f>
        <v>81027</v>
      </c>
      <c r="D1620" t="s">
        <v>816</v>
      </c>
      <c r="E1620">
        <v>235.44</v>
      </c>
      <c r="F1620">
        <v>20130912</v>
      </c>
      <c r="G1620" t="s">
        <v>817</v>
      </c>
      <c r="H1620" t="s">
        <v>809</v>
      </c>
      <c r="I1620" t="s">
        <v>66</v>
      </c>
    </row>
    <row r="1621" spans="1:9" x14ac:dyDescent="0.25">
      <c r="A1621">
        <v>20130919</v>
      </c>
      <c r="B1621" t="str">
        <f>"111641"</f>
        <v>111641</v>
      </c>
      <c r="C1621" t="str">
        <f>"25680"</f>
        <v>25680</v>
      </c>
      <c r="D1621" t="s">
        <v>818</v>
      </c>
      <c r="E1621">
        <v>296</v>
      </c>
      <c r="F1621">
        <v>20130913</v>
      </c>
      <c r="G1621" t="s">
        <v>819</v>
      </c>
      <c r="H1621" t="s">
        <v>820</v>
      </c>
      <c r="I1621" t="s">
        <v>63</v>
      </c>
    </row>
    <row r="1622" spans="1:9" x14ac:dyDescent="0.25">
      <c r="A1622">
        <v>20130919</v>
      </c>
      <c r="B1622" t="str">
        <f>"111641"</f>
        <v>111641</v>
      </c>
      <c r="C1622" t="str">
        <f>"25680"</f>
        <v>25680</v>
      </c>
      <c r="D1622" t="s">
        <v>818</v>
      </c>
      <c r="E1622">
        <v>342</v>
      </c>
      <c r="F1622">
        <v>20130913</v>
      </c>
      <c r="G1622" t="s">
        <v>819</v>
      </c>
      <c r="H1622" t="s">
        <v>820</v>
      </c>
      <c r="I1622" t="s">
        <v>63</v>
      </c>
    </row>
    <row r="1623" spans="1:9" x14ac:dyDescent="0.25">
      <c r="A1623">
        <v>20130919</v>
      </c>
      <c r="B1623" t="str">
        <f>"111642"</f>
        <v>111642</v>
      </c>
      <c r="C1623" t="str">
        <f>"86094"</f>
        <v>86094</v>
      </c>
      <c r="D1623" t="s">
        <v>821</v>
      </c>
      <c r="E1623">
        <v>128.31</v>
      </c>
      <c r="F1623">
        <v>20130912</v>
      </c>
      <c r="G1623" t="s">
        <v>774</v>
      </c>
      <c r="H1623" t="s">
        <v>765</v>
      </c>
      <c r="I1623" t="s">
        <v>61</v>
      </c>
    </row>
    <row r="1624" spans="1:9" x14ac:dyDescent="0.25">
      <c r="A1624">
        <v>20130919</v>
      </c>
      <c r="B1624" t="str">
        <f>"111643"</f>
        <v>111643</v>
      </c>
      <c r="C1624" t="str">
        <f>"26425"</f>
        <v>26425</v>
      </c>
      <c r="D1624" t="s">
        <v>822</v>
      </c>
      <c r="E1624" s="1">
        <v>1700.21</v>
      </c>
      <c r="F1624">
        <v>20130917</v>
      </c>
      <c r="G1624" t="s">
        <v>407</v>
      </c>
      <c r="H1624" t="s">
        <v>525</v>
      </c>
      <c r="I1624" t="s">
        <v>12</v>
      </c>
    </row>
    <row r="1625" spans="1:9" x14ac:dyDescent="0.25">
      <c r="A1625">
        <v>20130919</v>
      </c>
      <c r="B1625" t="str">
        <f>"111644"</f>
        <v>111644</v>
      </c>
      <c r="C1625" t="str">
        <f>"27962"</f>
        <v>27962</v>
      </c>
      <c r="D1625" t="s">
        <v>823</v>
      </c>
      <c r="E1625">
        <v>785.4</v>
      </c>
      <c r="F1625">
        <v>20130912</v>
      </c>
      <c r="G1625" t="s">
        <v>415</v>
      </c>
      <c r="H1625" t="s">
        <v>414</v>
      </c>
      <c r="I1625" t="s">
        <v>21</v>
      </c>
    </row>
    <row r="1626" spans="1:9" x14ac:dyDescent="0.25">
      <c r="A1626">
        <v>20130919</v>
      </c>
      <c r="B1626" t="str">
        <f>"111645"</f>
        <v>111645</v>
      </c>
      <c r="C1626" t="str">
        <f>"87494"</f>
        <v>87494</v>
      </c>
      <c r="D1626" t="s">
        <v>824</v>
      </c>
      <c r="E1626">
        <v>95.7</v>
      </c>
      <c r="F1626">
        <v>20130913</v>
      </c>
      <c r="G1626" t="s">
        <v>48</v>
      </c>
      <c r="H1626" t="s">
        <v>825</v>
      </c>
      <c r="I1626" t="s">
        <v>25</v>
      </c>
    </row>
    <row r="1627" spans="1:9" x14ac:dyDescent="0.25">
      <c r="A1627">
        <v>20130919</v>
      </c>
      <c r="B1627" t="str">
        <f t="shared" ref="B1627:B1655" si="136">"111646"</f>
        <v>111646</v>
      </c>
      <c r="C1627" t="str">
        <f t="shared" ref="C1627:C1655" si="137">"30000"</f>
        <v>30000</v>
      </c>
      <c r="D1627" t="s">
        <v>556</v>
      </c>
      <c r="E1627">
        <v>218.99</v>
      </c>
      <c r="F1627">
        <v>20130918</v>
      </c>
      <c r="G1627" t="s">
        <v>186</v>
      </c>
      <c r="H1627" t="s">
        <v>826</v>
      </c>
      <c r="I1627" t="s">
        <v>61</v>
      </c>
    </row>
    <row r="1628" spans="1:9" x14ac:dyDescent="0.25">
      <c r="A1628">
        <v>20130919</v>
      </c>
      <c r="B1628" t="str">
        <f t="shared" si="136"/>
        <v>111646</v>
      </c>
      <c r="C1628" t="str">
        <f t="shared" si="137"/>
        <v>30000</v>
      </c>
      <c r="D1628" t="s">
        <v>556</v>
      </c>
      <c r="E1628" s="1">
        <v>16978.52</v>
      </c>
      <c r="F1628">
        <v>20130918</v>
      </c>
      <c r="G1628" t="s">
        <v>577</v>
      </c>
      <c r="H1628" t="s">
        <v>826</v>
      </c>
      <c r="I1628" t="s">
        <v>21</v>
      </c>
    </row>
    <row r="1629" spans="1:9" x14ac:dyDescent="0.25">
      <c r="A1629">
        <v>20130919</v>
      </c>
      <c r="B1629" t="str">
        <f t="shared" si="136"/>
        <v>111646</v>
      </c>
      <c r="C1629" t="str">
        <f t="shared" si="137"/>
        <v>30000</v>
      </c>
      <c r="D1629" t="s">
        <v>556</v>
      </c>
      <c r="E1629" s="1">
        <v>1485.77</v>
      </c>
      <c r="F1629">
        <v>20130918</v>
      </c>
      <c r="G1629" t="s">
        <v>579</v>
      </c>
      <c r="H1629" t="s">
        <v>826</v>
      </c>
      <c r="I1629" t="s">
        <v>21</v>
      </c>
    </row>
    <row r="1630" spans="1:9" x14ac:dyDescent="0.25">
      <c r="A1630">
        <v>20130919</v>
      </c>
      <c r="B1630" t="str">
        <f t="shared" si="136"/>
        <v>111646</v>
      </c>
      <c r="C1630" t="str">
        <f t="shared" si="137"/>
        <v>30000</v>
      </c>
      <c r="D1630" t="s">
        <v>556</v>
      </c>
      <c r="E1630">
        <v>209.95</v>
      </c>
      <c r="F1630">
        <v>20130918</v>
      </c>
      <c r="G1630" t="s">
        <v>579</v>
      </c>
      <c r="H1630" t="s">
        <v>827</v>
      </c>
      <c r="I1630" t="s">
        <v>21</v>
      </c>
    </row>
    <row r="1631" spans="1:9" x14ac:dyDescent="0.25">
      <c r="A1631">
        <v>20130919</v>
      </c>
      <c r="B1631" t="str">
        <f t="shared" si="136"/>
        <v>111646</v>
      </c>
      <c r="C1631" t="str">
        <f t="shared" si="137"/>
        <v>30000</v>
      </c>
      <c r="D1631" t="s">
        <v>556</v>
      </c>
      <c r="E1631" s="1">
        <v>6164.62</v>
      </c>
      <c r="F1631">
        <v>20130918</v>
      </c>
      <c r="G1631" t="s">
        <v>580</v>
      </c>
      <c r="H1631" t="s">
        <v>826</v>
      </c>
      <c r="I1631" t="s">
        <v>21</v>
      </c>
    </row>
    <row r="1632" spans="1:9" x14ac:dyDescent="0.25">
      <c r="A1632">
        <v>20130919</v>
      </c>
      <c r="B1632" t="str">
        <f t="shared" si="136"/>
        <v>111646</v>
      </c>
      <c r="C1632" t="str">
        <f t="shared" si="137"/>
        <v>30000</v>
      </c>
      <c r="D1632" t="s">
        <v>556</v>
      </c>
      <c r="E1632" s="1">
        <v>5161.88</v>
      </c>
      <c r="F1632">
        <v>20130918</v>
      </c>
      <c r="G1632" t="s">
        <v>581</v>
      </c>
      <c r="H1632" t="s">
        <v>826</v>
      </c>
      <c r="I1632" t="s">
        <v>21</v>
      </c>
    </row>
    <row r="1633" spans="1:9" x14ac:dyDescent="0.25">
      <c r="A1633">
        <v>20130919</v>
      </c>
      <c r="B1633" t="str">
        <f t="shared" si="136"/>
        <v>111646</v>
      </c>
      <c r="C1633" t="str">
        <f t="shared" si="137"/>
        <v>30000</v>
      </c>
      <c r="D1633" t="s">
        <v>556</v>
      </c>
      <c r="E1633" s="1">
        <v>1793.91</v>
      </c>
      <c r="F1633">
        <v>20130918</v>
      </c>
      <c r="G1633" t="s">
        <v>828</v>
      </c>
      <c r="H1633" t="s">
        <v>826</v>
      </c>
      <c r="I1633" t="s">
        <v>21</v>
      </c>
    </row>
    <row r="1634" spans="1:9" x14ac:dyDescent="0.25">
      <c r="A1634">
        <v>20130919</v>
      </c>
      <c r="B1634" t="str">
        <f t="shared" si="136"/>
        <v>111646</v>
      </c>
      <c r="C1634" t="str">
        <f t="shared" si="137"/>
        <v>30000</v>
      </c>
      <c r="D1634" t="s">
        <v>556</v>
      </c>
      <c r="E1634" s="1">
        <v>6738.75</v>
      </c>
      <c r="F1634">
        <v>20130918</v>
      </c>
      <c r="G1634" t="s">
        <v>582</v>
      </c>
      <c r="H1634" t="s">
        <v>826</v>
      </c>
      <c r="I1634" t="s">
        <v>21</v>
      </c>
    </row>
    <row r="1635" spans="1:9" x14ac:dyDescent="0.25">
      <c r="A1635">
        <v>20130919</v>
      </c>
      <c r="B1635" t="str">
        <f t="shared" si="136"/>
        <v>111646</v>
      </c>
      <c r="C1635" t="str">
        <f t="shared" si="137"/>
        <v>30000</v>
      </c>
      <c r="D1635" t="s">
        <v>556</v>
      </c>
      <c r="E1635" s="1">
        <v>2446.16</v>
      </c>
      <c r="F1635">
        <v>20130918</v>
      </c>
      <c r="G1635" t="s">
        <v>583</v>
      </c>
      <c r="H1635" t="s">
        <v>826</v>
      </c>
      <c r="I1635" t="s">
        <v>21</v>
      </c>
    </row>
    <row r="1636" spans="1:9" x14ac:dyDescent="0.25">
      <c r="A1636">
        <v>20130919</v>
      </c>
      <c r="B1636" t="str">
        <f t="shared" si="136"/>
        <v>111646</v>
      </c>
      <c r="C1636" t="str">
        <f t="shared" si="137"/>
        <v>30000</v>
      </c>
      <c r="D1636" t="s">
        <v>556</v>
      </c>
      <c r="E1636">
        <v>162.56</v>
      </c>
      <c r="F1636">
        <v>20130918</v>
      </c>
      <c r="G1636" t="s">
        <v>583</v>
      </c>
      <c r="H1636" t="s">
        <v>829</v>
      </c>
      <c r="I1636" t="s">
        <v>21</v>
      </c>
    </row>
    <row r="1637" spans="1:9" x14ac:dyDescent="0.25">
      <c r="A1637">
        <v>20130919</v>
      </c>
      <c r="B1637" t="str">
        <f t="shared" si="136"/>
        <v>111646</v>
      </c>
      <c r="C1637" t="str">
        <f t="shared" si="137"/>
        <v>30000</v>
      </c>
      <c r="D1637" t="s">
        <v>556</v>
      </c>
      <c r="E1637" s="1">
        <v>4304.08</v>
      </c>
      <c r="F1637">
        <v>20130918</v>
      </c>
      <c r="G1637" t="s">
        <v>830</v>
      </c>
      <c r="H1637" t="s">
        <v>826</v>
      </c>
      <c r="I1637" t="s">
        <v>21</v>
      </c>
    </row>
    <row r="1638" spans="1:9" x14ac:dyDescent="0.25">
      <c r="A1638">
        <v>20130919</v>
      </c>
      <c r="B1638" t="str">
        <f t="shared" si="136"/>
        <v>111646</v>
      </c>
      <c r="C1638" t="str">
        <f t="shared" si="137"/>
        <v>30000</v>
      </c>
      <c r="D1638" t="s">
        <v>556</v>
      </c>
      <c r="E1638">
        <v>97.64</v>
      </c>
      <c r="F1638">
        <v>20130918</v>
      </c>
      <c r="G1638" t="s">
        <v>831</v>
      </c>
      <c r="H1638" t="s">
        <v>826</v>
      </c>
      <c r="I1638" t="s">
        <v>21</v>
      </c>
    </row>
    <row r="1639" spans="1:9" x14ac:dyDescent="0.25">
      <c r="A1639">
        <v>20130919</v>
      </c>
      <c r="B1639" t="str">
        <f t="shared" si="136"/>
        <v>111646</v>
      </c>
      <c r="C1639" t="str">
        <f t="shared" si="137"/>
        <v>30000</v>
      </c>
      <c r="D1639" t="s">
        <v>556</v>
      </c>
      <c r="E1639">
        <v>79.959999999999994</v>
      </c>
      <c r="F1639">
        <v>20130918</v>
      </c>
      <c r="G1639" t="s">
        <v>832</v>
      </c>
      <c r="H1639" t="s">
        <v>833</v>
      </c>
      <c r="I1639" t="s">
        <v>21</v>
      </c>
    </row>
    <row r="1640" spans="1:9" x14ac:dyDescent="0.25">
      <c r="A1640">
        <v>20130919</v>
      </c>
      <c r="B1640" t="str">
        <f t="shared" si="136"/>
        <v>111646</v>
      </c>
      <c r="C1640" t="str">
        <f t="shared" si="137"/>
        <v>30000</v>
      </c>
      <c r="D1640" t="s">
        <v>556</v>
      </c>
      <c r="E1640">
        <v>651.85</v>
      </c>
      <c r="F1640">
        <v>20130918</v>
      </c>
      <c r="G1640" t="s">
        <v>834</v>
      </c>
      <c r="H1640" t="s">
        <v>826</v>
      </c>
      <c r="I1640" t="s">
        <v>21</v>
      </c>
    </row>
    <row r="1641" spans="1:9" x14ac:dyDescent="0.25">
      <c r="A1641">
        <v>20130919</v>
      </c>
      <c r="B1641" t="str">
        <f t="shared" si="136"/>
        <v>111646</v>
      </c>
      <c r="C1641" t="str">
        <f t="shared" si="137"/>
        <v>30000</v>
      </c>
      <c r="D1641" t="s">
        <v>556</v>
      </c>
      <c r="E1641" s="1">
        <v>2423.81</v>
      </c>
      <c r="F1641">
        <v>20130918</v>
      </c>
      <c r="G1641" t="s">
        <v>584</v>
      </c>
      <c r="H1641" t="s">
        <v>826</v>
      </c>
      <c r="I1641" t="s">
        <v>21</v>
      </c>
    </row>
    <row r="1642" spans="1:9" x14ac:dyDescent="0.25">
      <c r="A1642">
        <v>20130919</v>
      </c>
      <c r="B1642" t="str">
        <f t="shared" si="136"/>
        <v>111646</v>
      </c>
      <c r="C1642" t="str">
        <f t="shared" si="137"/>
        <v>30000</v>
      </c>
      <c r="D1642" t="s">
        <v>556</v>
      </c>
      <c r="E1642" s="1">
        <v>1188.25</v>
      </c>
      <c r="F1642">
        <v>20130918</v>
      </c>
      <c r="G1642" t="s">
        <v>557</v>
      </c>
      <c r="H1642" t="s">
        <v>826</v>
      </c>
      <c r="I1642" t="s">
        <v>21</v>
      </c>
    </row>
    <row r="1643" spans="1:9" x14ac:dyDescent="0.25">
      <c r="A1643">
        <v>20130919</v>
      </c>
      <c r="B1643" t="str">
        <f t="shared" si="136"/>
        <v>111646</v>
      </c>
      <c r="C1643" t="str">
        <f t="shared" si="137"/>
        <v>30000</v>
      </c>
      <c r="D1643" t="s">
        <v>556</v>
      </c>
      <c r="E1643" s="1">
        <v>1474.82</v>
      </c>
      <c r="F1643">
        <v>20130918</v>
      </c>
      <c r="G1643" t="s">
        <v>585</v>
      </c>
      <c r="H1643" t="s">
        <v>826</v>
      </c>
      <c r="I1643" t="s">
        <v>21</v>
      </c>
    </row>
    <row r="1644" spans="1:9" x14ac:dyDescent="0.25">
      <c r="A1644">
        <v>20130919</v>
      </c>
      <c r="B1644" t="str">
        <f t="shared" si="136"/>
        <v>111646</v>
      </c>
      <c r="C1644" t="str">
        <f t="shared" si="137"/>
        <v>30000</v>
      </c>
      <c r="D1644" t="s">
        <v>556</v>
      </c>
      <c r="E1644">
        <v>223.47</v>
      </c>
      <c r="F1644">
        <v>20130918</v>
      </c>
      <c r="G1644" t="s">
        <v>585</v>
      </c>
      <c r="H1644" t="s">
        <v>835</v>
      </c>
      <c r="I1644" t="s">
        <v>21</v>
      </c>
    </row>
    <row r="1645" spans="1:9" x14ac:dyDescent="0.25">
      <c r="A1645">
        <v>20130919</v>
      </c>
      <c r="B1645" t="str">
        <f t="shared" si="136"/>
        <v>111646</v>
      </c>
      <c r="C1645" t="str">
        <f t="shared" si="137"/>
        <v>30000</v>
      </c>
      <c r="D1645" t="s">
        <v>556</v>
      </c>
      <c r="E1645" s="1">
        <v>1807.84</v>
      </c>
      <c r="F1645">
        <v>20130918</v>
      </c>
      <c r="G1645" t="s">
        <v>137</v>
      </c>
      <c r="H1645" t="s">
        <v>826</v>
      </c>
      <c r="I1645" t="s">
        <v>21</v>
      </c>
    </row>
    <row r="1646" spans="1:9" x14ac:dyDescent="0.25">
      <c r="A1646">
        <v>20130919</v>
      </c>
      <c r="B1646" t="str">
        <f t="shared" si="136"/>
        <v>111646</v>
      </c>
      <c r="C1646" t="str">
        <f t="shared" si="137"/>
        <v>30000</v>
      </c>
      <c r="D1646" t="s">
        <v>556</v>
      </c>
      <c r="E1646">
        <v>345.81</v>
      </c>
      <c r="F1646">
        <v>20130918</v>
      </c>
      <c r="G1646" t="s">
        <v>137</v>
      </c>
      <c r="H1646" t="s">
        <v>836</v>
      </c>
      <c r="I1646" t="s">
        <v>21</v>
      </c>
    </row>
    <row r="1647" spans="1:9" x14ac:dyDescent="0.25">
      <c r="A1647">
        <v>20130919</v>
      </c>
      <c r="B1647" t="str">
        <f t="shared" si="136"/>
        <v>111646</v>
      </c>
      <c r="C1647" t="str">
        <f t="shared" si="137"/>
        <v>30000</v>
      </c>
      <c r="D1647" t="s">
        <v>556</v>
      </c>
      <c r="E1647">
        <v>318.16000000000003</v>
      </c>
      <c r="F1647">
        <v>20130918</v>
      </c>
      <c r="G1647" t="s">
        <v>837</v>
      </c>
      <c r="H1647" t="s">
        <v>838</v>
      </c>
      <c r="I1647" t="s">
        <v>21</v>
      </c>
    </row>
    <row r="1648" spans="1:9" x14ac:dyDescent="0.25">
      <c r="A1648">
        <v>20130919</v>
      </c>
      <c r="B1648" t="str">
        <f t="shared" si="136"/>
        <v>111646</v>
      </c>
      <c r="C1648" t="str">
        <f t="shared" si="137"/>
        <v>30000</v>
      </c>
      <c r="D1648" t="s">
        <v>556</v>
      </c>
      <c r="E1648" s="1">
        <v>4523.58</v>
      </c>
      <c r="F1648">
        <v>20130918</v>
      </c>
      <c r="G1648" t="s">
        <v>837</v>
      </c>
      <c r="H1648" t="s">
        <v>839</v>
      </c>
      <c r="I1648" t="s">
        <v>21</v>
      </c>
    </row>
    <row r="1649" spans="1:9" x14ac:dyDescent="0.25">
      <c r="A1649">
        <v>20130919</v>
      </c>
      <c r="B1649" t="str">
        <f t="shared" si="136"/>
        <v>111646</v>
      </c>
      <c r="C1649" t="str">
        <f t="shared" si="137"/>
        <v>30000</v>
      </c>
      <c r="D1649" t="s">
        <v>556</v>
      </c>
      <c r="E1649">
        <v>26.57</v>
      </c>
      <c r="F1649">
        <v>20130918</v>
      </c>
      <c r="G1649" t="s">
        <v>840</v>
      </c>
      <c r="H1649" t="s">
        <v>826</v>
      </c>
      <c r="I1649" t="s">
        <v>21</v>
      </c>
    </row>
    <row r="1650" spans="1:9" x14ac:dyDescent="0.25">
      <c r="A1650">
        <v>20130919</v>
      </c>
      <c r="B1650" t="str">
        <f t="shared" si="136"/>
        <v>111646</v>
      </c>
      <c r="C1650" t="str">
        <f t="shared" si="137"/>
        <v>30000</v>
      </c>
      <c r="D1650" t="s">
        <v>556</v>
      </c>
      <c r="E1650">
        <v>174.05</v>
      </c>
      <c r="F1650">
        <v>20130918</v>
      </c>
      <c r="G1650" t="s">
        <v>840</v>
      </c>
      <c r="H1650" t="s">
        <v>841</v>
      </c>
      <c r="I1650" t="s">
        <v>21</v>
      </c>
    </row>
    <row r="1651" spans="1:9" x14ac:dyDescent="0.25">
      <c r="A1651">
        <v>20130919</v>
      </c>
      <c r="B1651" t="str">
        <f t="shared" si="136"/>
        <v>111646</v>
      </c>
      <c r="C1651" t="str">
        <f t="shared" si="137"/>
        <v>30000</v>
      </c>
      <c r="D1651" t="s">
        <v>556</v>
      </c>
      <c r="E1651" s="1">
        <v>3038.75</v>
      </c>
      <c r="F1651">
        <v>20130918</v>
      </c>
      <c r="G1651" t="s">
        <v>842</v>
      </c>
      <c r="H1651" t="s">
        <v>826</v>
      </c>
      <c r="I1651" t="s">
        <v>66</v>
      </c>
    </row>
    <row r="1652" spans="1:9" x14ac:dyDescent="0.25">
      <c r="A1652">
        <v>20130919</v>
      </c>
      <c r="B1652" t="str">
        <f t="shared" si="136"/>
        <v>111646</v>
      </c>
      <c r="C1652" t="str">
        <f t="shared" si="137"/>
        <v>30000</v>
      </c>
      <c r="D1652" t="s">
        <v>556</v>
      </c>
      <c r="E1652">
        <v>240.91</v>
      </c>
      <c r="F1652">
        <v>20130918</v>
      </c>
      <c r="G1652" t="s">
        <v>843</v>
      </c>
      <c r="H1652" t="s">
        <v>844</v>
      </c>
      <c r="I1652" t="s">
        <v>68</v>
      </c>
    </row>
    <row r="1653" spans="1:9" x14ac:dyDescent="0.25">
      <c r="A1653">
        <v>20130919</v>
      </c>
      <c r="B1653" t="str">
        <f t="shared" si="136"/>
        <v>111646</v>
      </c>
      <c r="C1653" t="str">
        <f t="shared" si="137"/>
        <v>30000</v>
      </c>
      <c r="D1653" t="s">
        <v>556</v>
      </c>
      <c r="E1653" s="1">
        <v>2065.89</v>
      </c>
      <c r="F1653">
        <v>20130918</v>
      </c>
      <c r="G1653" t="s">
        <v>331</v>
      </c>
      <c r="H1653" t="s">
        <v>826</v>
      </c>
      <c r="I1653" t="s">
        <v>12</v>
      </c>
    </row>
    <row r="1654" spans="1:9" x14ac:dyDescent="0.25">
      <c r="A1654">
        <v>20130919</v>
      </c>
      <c r="B1654" t="str">
        <f t="shared" si="136"/>
        <v>111646</v>
      </c>
      <c r="C1654" t="str">
        <f t="shared" si="137"/>
        <v>30000</v>
      </c>
      <c r="D1654" t="s">
        <v>556</v>
      </c>
      <c r="E1654">
        <v>411.73</v>
      </c>
      <c r="F1654">
        <v>20130918</v>
      </c>
      <c r="G1654" t="s">
        <v>845</v>
      </c>
      <c r="H1654" t="s">
        <v>846</v>
      </c>
      <c r="I1654" t="s">
        <v>73</v>
      </c>
    </row>
    <row r="1655" spans="1:9" x14ac:dyDescent="0.25">
      <c r="A1655">
        <v>20130919</v>
      </c>
      <c r="B1655" t="str">
        <f t="shared" si="136"/>
        <v>111646</v>
      </c>
      <c r="C1655" t="str">
        <f t="shared" si="137"/>
        <v>30000</v>
      </c>
      <c r="D1655" t="s">
        <v>556</v>
      </c>
      <c r="E1655">
        <v>411.48</v>
      </c>
      <c r="F1655">
        <v>20130918</v>
      </c>
      <c r="G1655" t="s">
        <v>847</v>
      </c>
      <c r="H1655" t="s">
        <v>826</v>
      </c>
      <c r="I1655" t="s">
        <v>79</v>
      </c>
    </row>
    <row r="1656" spans="1:9" x14ac:dyDescent="0.25">
      <c r="A1656">
        <v>20130919</v>
      </c>
      <c r="B1656" t="str">
        <f>"111647"</f>
        <v>111647</v>
      </c>
      <c r="C1656" t="str">
        <f>"87153"</f>
        <v>87153</v>
      </c>
      <c r="D1656" t="s">
        <v>848</v>
      </c>
      <c r="E1656">
        <v>19.95</v>
      </c>
      <c r="F1656">
        <v>20130913</v>
      </c>
      <c r="G1656" t="s">
        <v>789</v>
      </c>
      <c r="H1656" t="s">
        <v>354</v>
      </c>
      <c r="I1656" t="s">
        <v>61</v>
      </c>
    </row>
    <row r="1657" spans="1:9" x14ac:dyDescent="0.25">
      <c r="A1657">
        <v>20130919</v>
      </c>
      <c r="B1657" t="str">
        <f>"111647"</f>
        <v>111647</v>
      </c>
      <c r="C1657" t="str">
        <f>"87153"</f>
        <v>87153</v>
      </c>
      <c r="D1657" t="s">
        <v>848</v>
      </c>
      <c r="E1657">
        <v>129.75</v>
      </c>
      <c r="F1657">
        <v>20130913</v>
      </c>
      <c r="G1657" t="s">
        <v>789</v>
      </c>
      <c r="H1657" t="s">
        <v>790</v>
      </c>
      <c r="I1657" t="s">
        <v>61</v>
      </c>
    </row>
    <row r="1658" spans="1:9" x14ac:dyDescent="0.25">
      <c r="A1658">
        <v>20130919</v>
      </c>
      <c r="B1658" t="str">
        <f>"111648"</f>
        <v>111648</v>
      </c>
      <c r="C1658" t="str">
        <f>"86479"</f>
        <v>86479</v>
      </c>
      <c r="D1658" t="s">
        <v>849</v>
      </c>
      <c r="E1658">
        <v>80.430000000000007</v>
      </c>
      <c r="F1658">
        <v>20130912</v>
      </c>
      <c r="G1658" t="s">
        <v>774</v>
      </c>
      <c r="H1658" t="s">
        <v>765</v>
      </c>
      <c r="I1658" t="s">
        <v>61</v>
      </c>
    </row>
    <row r="1659" spans="1:9" x14ac:dyDescent="0.25">
      <c r="A1659">
        <v>20130919</v>
      </c>
      <c r="B1659" t="str">
        <f>"111649"</f>
        <v>111649</v>
      </c>
      <c r="C1659" t="str">
        <f>"31032"</f>
        <v>31032</v>
      </c>
      <c r="D1659" t="s">
        <v>850</v>
      </c>
      <c r="E1659">
        <v>50</v>
      </c>
      <c r="F1659">
        <v>20130917</v>
      </c>
      <c r="G1659" t="s">
        <v>764</v>
      </c>
      <c r="H1659" t="s">
        <v>765</v>
      </c>
      <c r="I1659" t="s">
        <v>61</v>
      </c>
    </row>
    <row r="1660" spans="1:9" x14ac:dyDescent="0.25">
      <c r="A1660">
        <v>20130919</v>
      </c>
      <c r="B1660" t="str">
        <f>"111650"</f>
        <v>111650</v>
      </c>
      <c r="C1660" t="str">
        <f>"87474"</f>
        <v>87474</v>
      </c>
      <c r="D1660" t="s">
        <v>353</v>
      </c>
      <c r="E1660">
        <v>35</v>
      </c>
      <c r="F1660">
        <v>20130913</v>
      </c>
      <c r="G1660" t="s">
        <v>789</v>
      </c>
      <c r="H1660" t="s">
        <v>354</v>
      </c>
      <c r="I1660" t="s">
        <v>61</v>
      </c>
    </row>
    <row r="1661" spans="1:9" x14ac:dyDescent="0.25">
      <c r="A1661">
        <v>20130919</v>
      </c>
      <c r="B1661" t="str">
        <f>"111651"</f>
        <v>111651</v>
      </c>
      <c r="C1661" t="str">
        <f>"86490"</f>
        <v>86490</v>
      </c>
      <c r="D1661" t="s">
        <v>851</v>
      </c>
      <c r="E1661">
        <v>116.44</v>
      </c>
      <c r="F1661">
        <v>20130912</v>
      </c>
      <c r="G1661" t="s">
        <v>774</v>
      </c>
      <c r="H1661" t="s">
        <v>765</v>
      </c>
      <c r="I1661" t="s">
        <v>61</v>
      </c>
    </row>
    <row r="1662" spans="1:9" x14ac:dyDescent="0.25">
      <c r="A1662">
        <v>20130919</v>
      </c>
      <c r="B1662" t="str">
        <f>"111652"</f>
        <v>111652</v>
      </c>
      <c r="C1662" t="str">
        <f>"83641"</f>
        <v>83641</v>
      </c>
      <c r="D1662" t="s">
        <v>852</v>
      </c>
      <c r="E1662">
        <v>90</v>
      </c>
      <c r="F1662">
        <v>20130912</v>
      </c>
      <c r="G1662" t="s">
        <v>764</v>
      </c>
      <c r="H1662" t="s">
        <v>765</v>
      </c>
      <c r="I1662" t="s">
        <v>61</v>
      </c>
    </row>
    <row r="1663" spans="1:9" x14ac:dyDescent="0.25">
      <c r="A1663">
        <v>20130919</v>
      </c>
      <c r="B1663" t="str">
        <f>"111653"</f>
        <v>111653</v>
      </c>
      <c r="C1663" t="str">
        <f>"87380"</f>
        <v>87380</v>
      </c>
      <c r="D1663" t="s">
        <v>355</v>
      </c>
      <c r="E1663">
        <v>42.8</v>
      </c>
      <c r="F1663">
        <v>20130917</v>
      </c>
      <c r="G1663" t="s">
        <v>271</v>
      </c>
      <c r="H1663" t="s">
        <v>354</v>
      </c>
      <c r="I1663" t="s">
        <v>25</v>
      </c>
    </row>
    <row r="1664" spans="1:9" x14ac:dyDescent="0.25">
      <c r="A1664">
        <v>20130919</v>
      </c>
      <c r="B1664" t="str">
        <f>"111654"</f>
        <v>111654</v>
      </c>
      <c r="C1664" t="str">
        <f>"82808"</f>
        <v>82808</v>
      </c>
      <c r="D1664" t="s">
        <v>853</v>
      </c>
      <c r="E1664">
        <v>51.5</v>
      </c>
      <c r="F1664">
        <v>20130918</v>
      </c>
      <c r="G1664" t="s">
        <v>830</v>
      </c>
      <c r="H1664" t="s">
        <v>354</v>
      </c>
      <c r="I1664" t="s">
        <v>21</v>
      </c>
    </row>
    <row r="1665" spans="1:9" x14ac:dyDescent="0.25">
      <c r="A1665">
        <v>20130919</v>
      </c>
      <c r="B1665" t="str">
        <f>"111655"</f>
        <v>111655</v>
      </c>
      <c r="C1665" t="str">
        <f>"32779"</f>
        <v>32779</v>
      </c>
      <c r="D1665" t="s">
        <v>854</v>
      </c>
      <c r="E1665">
        <v>90</v>
      </c>
      <c r="F1665">
        <v>20130912</v>
      </c>
      <c r="G1665" t="s">
        <v>764</v>
      </c>
      <c r="H1665" t="s">
        <v>765</v>
      </c>
      <c r="I1665" t="s">
        <v>61</v>
      </c>
    </row>
    <row r="1666" spans="1:9" x14ac:dyDescent="0.25">
      <c r="A1666">
        <v>20130919</v>
      </c>
      <c r="B1666" t="str">
        <f>"111656"</f>
        <v>111656</v>
      </c>
      <c r="C1666" t="str">
        <f>"84980"</f>
        <v>84980</v>
      </c>
      <c r="D1666" t="s">
        <v>591</v>
      </c>
      <c r="E1666">
        <v>84.31</v>
      </c>
      <c r="F1666">
        <v>20130917</v>
      </c>
      <c r="G1666" t="s">
        <v>855</v>
      </c>
      <c r="H1666" t="s">
        <v>856</v>
      </c>
      <c r="I1666" t="s">
        <v>857</v>
      </c>
    </row>
    <row r="1667" spans="1:9" x14ac:dyDescent="0.25">
      <c r="A1667">
        <v>20130919</v>
      </c>
      <c r="B1667" t="str">
        <f>"111656"</f>
        <v>111656</v>
      </c>
      <c r="C1667" t="str">
        <f>"84980"</f>
        <v>84980</v>
      </c>
      <c r="D1667" t="s">
        <v>591</v>
      </c>
      <c r="E1667" s="1">
        <v>1664.77</v>
      </c>
      <c r="F1667">
        <v>20130917</v>
      </c>
      <c r="G1667" t="s">
        <v>855</v>
      </c>
      <c r="H1667" t="s">
        <v>858</v>
      </c>
      <c r="I1667" t="s">
        <v>857</v>
      </c>
    </row>
    <row r="1668" spans="1:9" x14ac:dyDescent="0.25">
      <c r="A1668">
        <v>20130919</v>
      </c>
      <c r="B1668" t="str">
        <f>"111657"</f>
        <v>111657</v>
      </c>
      <c r="C1668" t="str">
        <f>"87495"</f>
        <v>87495</v>
      </c>
      <c r="D1668" t="s">
        <v>859</v>
      </c>
      <c r="E1668">
        <v>65.62</v>
      </c>
      <c r="F1668">
        <v>20130913</v>
      </c>
      <c r="G1668" t="s">
        <v>191</v>
      </c>
      <c r="H1668" t="s">
        <v>354</v>
      </c>
      <c r="I1668" t="s">
        <v>25</v>
      </c>
    </row>
    <row r="1669" spans="1:9" x14ac:dyDescent="0.25">
      <c r="A1669">
        <v>20130919</v>
      </c>
      <c r="B1669" t="str">
        <f>"111658"</f>
        <v>111658</v>
      </c>
      <c r="C1669" t="str">
        <f>"85468"</f>
        <v>85468</v>
      </c>
      <c r="D1669" t="s">
        <v>860</v>
      </c>
      <c r="E1669">
        <v>35.979999999999997</v>
      </c>
      <c r="F1669">
        <v>20130917</v>
      </c>
      <c r="G1669" t="s">
        <v>861</v>
      </c>
      <c r="H1669" t="s">
        <v>862</v>
      </c>
      <c r="I1669" t="s">
        <v>21</v>
      </c>
    </row>
    <row r="1670" spans="1:9" x14ac:dyDescent="0.25">
      <c r="A1670">
        <v>20130919</v>
      </c>
      <c r="B1670" t="str">
        <f>"111659"</f>
        <v>111659</v>
      </c>
      <c r="C1670" t="str">
        <f>"33200"</f>
        <v>33200</v>
      </c>
      <c r="D1670" t="s">
        <v>863</v>
      </c>
      <c r="E1670">
        <v>62.74</v>
      </c>
      <c r="F1670">
        <v>20130913</v>
      </c>
      <c r="G1670" t="s">
        <v>864</v>
      </c>
      <c r="H1670" t="s">
        <v>354</v>
      </c>
      <c r="I1670" t="s">
        <v>21</v>
      </c>
    </row>
    <row r="1671" spans="1:9" x14ac:dyDescent="0.25">
      <c r="A1671">
        <v>20130919</v>
      </c>
      <c r="B1671" t="str">
        <f>"111660"</f>
        <v>111660</v>
      </c>
      <c r="C1671" t="str">
        <f>"83880"</f>
        <v>83880</v>
      </c>
      <c r="D1671" t="s">
        <v>865</v>
      </c>
      <c r="E1671">
        <v>51.14</v>
      </c>
      <c r="F1671">
        <v>20130917</v>
      </c>
      <c r="G1671" t="s">
        <v>41</v>
      </c>
      <c r="H1671" t="s">
        <v>354</v>
      </c>
      <c r="I1671" t="s">
        <v>38</v>
      </c>
    </row>
    <row r="1672" spans="1:9" x14ac:dyDescent="0.25">
      <c r="A1672">
        <v>20130919</v>
      </c>
      <c r="B1672" t="str">
        <f>"111660"</f>
        <v>111660</v>
      </c>
      <c r="C1672" t="str">
        <f>"83880"</f>
        <v>83880</v>
      </c>
      <c r="D1672" t="s">
        <v>865</v>
      </c>
      <c r="E1672">
        <v>433.76</v>
      </c>
      <c r="F1672">
        <v>20130917</v>
      </c>
      <c r="G1672" t="s">
        <v>866</v>
      </c>
      <c r="H1672" t="s">
        <v>354</v>
      </c>
      <c r="I1672" t="s">
        <v>25</v>
      </c>
    </row>
    <row r="1673" spans="1:9" x14ac:dyDescent="0.25">
      <c r="A1673">
        <v>20130919</v>
      </c>
      <c r="B1673" t="str">
        <f>"111661"</f>
        <v>111661</v>
      </c>
      <c r="C1673" t="str">
        <f>"34625"</f>
        <v>34625</v>
      </c>
      <c r="D1673" t="s">
        <v>867</v>
      </c>
      <c r="E1673">
        <v>91.44</v>
      </c>
      <c r="F1673">
        <v>20130917</v>
      </c>
      <c r="G1673" t="s">
        <v>774</v>
      </c>
      <c r="H1673" t="s">
        <v>765</v>
      </c>
      <c r="I1673" t="s">
        <v>61</v>
      </c>
    </row>
    <row r="1674" spans="1:9" x14ac:dyDescent="0.25">
      <c r="A1674">
        <v>20130919</v>
      </c>
      <c r="B1674" t="str">
        <f>"111662"</f>
        <v>111662</v>
      </c>
      <c r="C1674" t="str">
        <f>"86265"</f>
        <v>86265</v>
      </c>
      <c r="D1674" t="s">
        <v>868</v>
      </c>
      <c r="E1674">
        <v>61.67</v>
      </c>
      <c r="F1674">
        <v>20130913</v>
      </c>
      <c r="G1674" t="s">
        <v>789</v>
      </c>
      <c r="H1674" t="s">
        <v>790</v>
      </c>
      <c r="I1674" t="s">
        <v>61</v>
      </c>
    </row>
    <row r="1675" spans="1:9" x14ac:dyDescent="0.25">
      <c r="A1675">
        <v>20130919</v>
      </c>
      <c r="B1675" t="str">
        <f>"111663"</f>
        <v>111663</v>
      </c>
      <c r="C1675" t="str">
        <f>"36020"</f>
        <v>36020</v>
      </c>
      <c r="D1675" t="s">
        <v>869</v>
      </c>
      <c r="E1675">
        <v>58.73</v>
      </c>
      <c r="F1675">
        <v>20130913</v>
      </c>
      <c r="G1675" t="s">
        <v>789</v>
      </c>
      <c r="H1675" t="s">
        <v>790</v>
      </c>
      <c r="I1675" t="s">
        <v>61</v>
      </c>
    </row>
    <row r="1676" spans="1:9" x14ac:dyDescent="0.25">
      <c r="A1676">
        <v>20130919</v>
      </c>
      <c r="B1676" t="str">
        <f>"111664"</f>
        <v>111664</v>
      </c>
      <c r="C1676" t="str">
        <f>"00198"</f>
        <v>00198</v>
      </c>
      <c r="D1676" t="s">
        <v>605</v>
      </c>
      <c r="E1676" s="1">
        <v>11509.68</v>
      </c>
      <c r="F1676">
        <v>20130918</v>
      </c>
      <c r="G1676" t="s">
        <v>870</v>
      </c>
      <c r="I1676" t="s">
        <v>21</v>
      </c>
    </row>
    <row r="1677" spans="1:9" x14ac:dyDescent="0.25">
      <c r="A1677">
        <v>20130919</v>
      </c>
      <c r="B1677" t="str">
        <f>"111665"</f>
        <v>111665</v>
      </c>
      <c r="C1677" t="str">
        <f>"36960"</f>
        <v>36960</v>
      </c>
      <c r="D1677" t="s">
        <v>871</v>
      </c>
      <c r="E1677" s="1">
        <v>2283.5</v>
      </c>
      <c r="F1677">
        <v>20130917</v>
      </c>
      <c r="G1677" t="s">
        <v>407</v>
      </c>
      <c r="H1677" t="s">
        <v>525</v>
      </c>
      <c r="I1677" t="s">
        <v>12</v>
      </c>
    </row>
    <row r="1678" spans="1:9" x14ac:dyDescent="0.25">
      <c r="A1678">
        <v>20130919</v>
      </c>
      <c r="B1678" t="str">
        <f>"111666"</f>
        <v>111666</v>
      </c>
      <c r="C1678" t="str">
        <f>"37565"</f>
        <v>37565</v>
      </c>
      <c r="D1678" t="s">
        <v>609</v>
      </c>
      <c r="E1678">
        <v>121.75</v>
      </c>
      <c r="F1678">
        <v>20130918</v>
      </c>
      <c r="G1678" t="s">
        <v>872</v>
      </c>
      <c r="H1678" t="s">
        <v>873</v>
      </c>
      <c r="I1678" t="s">
        <v>21</v>
      </c>
    </row>
    <row r="1679" spans="1:9" x14ac:dyDescent="0.25">
      <c r="A1679">
        <v>20130919</v>
      </c>
      <c r="B1679" t="str">
        <f>"111667"</f>
        <v>111667</v>
      </c>
      <c r="C1679" t="str">
        <f>"00308"</f>
        <v>00308</v>
      </c>
      <c r="D1679" t="s">
        <v>874</v>
      </c>
      <c r="E1679">
        <v>175</v>
      </c>
      <c r="F1679">
        <v>20130912</v>
      </c>
      <c r="G1679" t="s">
        <v>875</v>
      </c>
      <c r="H1679" t="s">
        <v>876</v>
      </c>
      <c r="I1679" t="s">
        <v>21</v>
      </c>
    </row>
    <row r="1680" spans="1:9" x14ac:dyDescent="0.25">
      <c r="A1680">
        <v>20130919</v>
      </c>
      <c r="B1680" t="str">
        <f>"111667"</f>
        <v>111667</v>
      </c>
      <c r="C1680" t="str">
        <f>"00308"</f>
        <v>00308</v>
      </c>
      <c r="D1680" t="s">
        <v>874</v>
      </c>
      <c r="E1680">
        <v>301.19</v>
      </c>
      <c r="F1680">
        <v>20130912</v>
      </c>
      <c r="G1680" t="s">
        <v>877</v>
      </c>
      <c r="H1680" t="s">
        <v>876</v>
      </c>
      <c r="I1680" t="s">
        <v>66</v>
      </c>
    </row>
    <row r="1681" spans="1:9" x14ac:dyDescent="0.25">
      <c r="A1681">
        <v>20130919</v>
      </c>
      <c r="B1681" t="str">
        <f>"111668"</f>
        <v>111668</v>
      </c>
      <c r="C1681" t="str">
        <f>"37900"</f>
        <v>37900</v>
      </c>
      <c r="D1681" t="s">
        <v>878</v>
      </c>
      <c r="E1681">
        <v>31.88</v>
      </c>
      <c r="F1681">
        <v>20130917</v>
      </c>
      <c r="G1681" t="s">
        <v>879</v>
      </c>
      <c r="H1681" t="s">
        <v>880</v>
      </c>
      <c r="I1681" t="s">
        <v>21</v>
      </c>
    </row>
    <row r="1682" spans="1:9" x14ac:dyDescent="0.25">
      <c r="A1682">
        <v>20130919</v>
      </c>
      <c r="B1682" t="str">
        <f>"111669"</f>
        <v>111669</v>
      </c>
      <c r="C1682" t="str">
        <f>"86459"</f>
        <v>86459</v>
      </c>
      <c r="D1682" t="s">
        <v>881</v>
      </c>
      <c r="E1682" s="1">
        <v>2142</v>
      </c>
      <c r="F1682">
        <v>20130917</v>
      </c>
      <c r="G1682" t="s">
        <v>271</v>
      </c>
      <c r="H1682" t="s">
        <v>882</v>
      </c>
      <c r="I1682" t="s">
        <v>25</v>
      </c>
    </row>
    <row r="1683" spans="1:9" x14ac:dyDescent="0.25">
      <c r="A1683">
        <v>20130919</v>
      </c>
      <c r="B1683" t="str">
        <f>"111670"</f>
        <v>111670</v>
      </c>
      <c r="C1683" t="str">
        <f>"80936"</f>
        <v>80936</v>
      </c>
      <c r="D1683" t="s">
        <v>883</v>
      </c>
      <c r="E1683">
        <v>55.44</v>
      </c>
      <c r="F1683">
        <v>20130916</v>
      </c>
      <c r="G1683" t="s">
        <v>619</v>
      </c>
      <c r="H1683" t="s">
        <v>365</v>
      </c>
      <c r="I1683" t="s">
        <v>21</v>
      </c>
    </row>
    <row r="1684" spans="1:9" x14ac:dyDescent="0.25">
      <c r="A1684">
        <v>20130919</v>
      </c>
      <c r="B1684" t="str">
        <f>"111671"</f>
        <v>111671</v>
      </c>
      <c r="C1684" t="str">
        <f>"82671"</f>
        <v>82671</v>
      </c>
      <c r="D1684" t="s">
        <v>884</v>
      </c>
      <c r="E1684">
        <v>85</v>
      </c>
      <c r="F1684">
        <v>20130917</v>
      </c>
      <c r="G1684" t="s">
        <v>764</v>
      </c>
      <c r="H1684" t="s">
        <v>765</v>
      </c>
      <c r="I1684" t="s">
        <v>61</v>
      </c>
    </row>
    <row r="1685" spans="1:9" x14ac:dyDescent="0.25">
      <c r="A1685">
        <v>20130919</v>
      </c>
      <c r="B1685" t="str">
        <f>"111672"</f>
        <v>111672</v>
      </c>
      <c r="C1685" t="str">
        <f>"85507"</f>
        <v>85507</v>
      </c>
      <c r="D1685" t="s">
        <v>885</v>
      </c>
      <c r="E1685">
        <v>85</v>
      </c>
      <c r="F1685">
        <v>20130917</v>
      </c>
      <c r="G1685" t="s">
        <v>764</v>
      </c>
      <c r="H1685" t="s">
        <v>765</v>
      </c>
      <c r="I1685" t="s">
        <v>61</v>
      </c>
    </row>
    <row r="1686" spans="1:9" x14ac:dyDescent="0.25">
      <c r="A1686">
        <v>20130919</v>
      </c>
      <c r="B1686" t="str">
        <f>"111673"</f>
        <v>111673</v>
      </c>
      <c r="C1686" t="str">
        <f>"80969"</f>
        <v>80969</v>
      </c>
      <c r="D1686" t="s">
        <v>886</v>
      </c>
      <c r="E1686">
        <v>200.85</v>
      </c>
      <c r="F1686">
        <v>20130912</v>
      </c>
      <c r="G1686" t="s">
        <v>774</v>
      </c>
      <c r="H1686" t="s">
        <v>765</v>
      </c>
      <c r="I1686" t="s">
        <v>61</v>
      </c>
    </row>
    <row r="1687" spans="1:9" x14ac:dyDescent="0.25">
      <c r="A1687">
        <v>20130919</v>
      </c>
      <c r="B1687" t="str">
        <f>"111674"</f>
        <v>111674</v>
      </c>
      <c r="C1687" t="str">
        <f>"86485"</f>
        <v>86485</v>
      </c>
      <c r="D1687" t="s">
        <v>887</v>
      </c>
      <c r="E1687">
        <v>142.55000000000001</v>
      </c>
      <c r="F1687">
        <v>20130912</v>
      </c>
      <c r="G1687" t="s">
        <v>774</v>
      </c>
      <c r="H1687" t="s">
        <v>765</v>
      </c>
      <c r="I1687" t="s">
        <v>61</v>
      </c>
    </row>
    <row r="1688" spans="1:9" x14ac:dyDescent="0.25">
      <c r="A1688">
        <v>20130919</v>
      </c>
      <c r="B1688" t="str">
        <f>"111675"</f>
        <v>111675</v>
      </c>
      <c r="C1688" t="str">
        <f>"42750"</f>
        <v>42750</v>
      </c>
      <c r="D1688" t="s">
        <v>888</v>
      </c>
      <c r="E1688">
        <v>59.63</v>
      </c>
      <c r="F1688">
        <v>20130913</v>
      </c>
      <c r="G1688" t="s">
        <v>579</v>
      </c>
      <c r="H1688" t="s">
        <v>354</v>
      </c>
      <c r="I1688" t="s">
        <v>21</v>
      </c>
    </row>
    <row r="1689" spans="1:9" x14ac:dyDescent="0.25">
      <c r="A1689">
        <v>20130919</v>
      </c>
      <c r="B1689" t="str">
        <f>"111675"</f>
        <v>111675</v>
      </c>
      <c r="C1689" t="str">
        <f>"42750"</f>
        <v>42750</v>
      </c>
      <c r="D1689" t="s">
        <v>888</v>
      </c>
      <c r="E1689">
        <v>14.18</v>
      </c>
      <c r="F1689">
        <v>20130913</v>
      </c>
      <c r="G1689" t="s">
        <v>181</v>
      </c>
      <c r="H1689" t="s">
        <v>354</v>
      </c>
      <c r="I1689" t="s">
        <v>38</v>
      </c>
    </row>
    <row r="1690" spans="1:9" x14ac:dyDescent="0.25">
      <c r="A1690">
        <v>20130919</v>
      </c>
      <c r="B1690" t="str">
        <f>"111676"</f>
        <v>111676</v>
      </c>
      <c r="C1690" t="str">
        <f>"43090"</f>
        <v>43090</v>
      </c>
      <c r="D1690" t="s">
        <v>889</v>
      </c>
      <c r="E1690">
        <v>57.51</v>
      </c>
      <c r="F1690">
        <v>20130917</v>
      </c>
      <c r="G1690" t="s">
        <v>890</v>
      </c>
      <c r="H1690" t="s">
        <v>365</v>
      </c>
      <c r="I1690" t="s">
        <v>21</v>
      </c>
    </row>
    <row r="1691" spans="1:9" x14ac:dyDescent="0.25">
      <c r="A1691">
        <v>20130919</v>
      </c>
      <c r="B1691" t="str">
        <f>"111677"</f>
        <v>111677</v>
      </c>
      <c r="C1691" t="str">
        <f>"43125"</f>
        <v>43125</v>
      </c>
      <c r="D1691" t="s">
        <v>891</v>
      </c>
      <c r="E1691">
        <v>13.14</v>
      </c>
      <c r="F1691">
        <v>20130918</v>
      </c>
      <c r="G1691" t="s">
        <v>892</v>
      </c>
      <c r="H1691" t="s">
        <v>563</v>
      </c>
      <c r="I1691" t="s">
        <v>79</v>
      </c>
    </row>
    <row r="1692" spans="1:9" x14ac:dyDescent="0.25">
      <c r="A1692">
        <v>20130919</v>
      </c>
      <c r="B1692" t="str">
        <f>"111678"</f>
        <v>111678</v>
      </c>
      <c r="C1692" t="str">
        <f>"87503"</f>
        <v>87503</v>
      </c>
      <c r="D1692" t="s">
        <v>893</v>
      </c>
      <c r="E1692">
        <v>57.57</v>
      </c>
      <c r="F1692">
        <v>20130917</v>
      </c>
      <c r="G1692" t="s">
        <v>562</v>
      </c>
      <c r="H1692" t="s">
        <v>365</v>
      </c>
      <c r="I1692" t="s">
        <v>21</v>
      </c>
    </row>
    <row r="1693" spans="1:9" x14ac:dyDescent="0.25">
      <c r="A1693">
        <v>20130919</v>
      </c>
      <c r="B1693" t="str">
        <f>"111679"</f>
        <v>111679</v>
      </c>
      <c r="C1693" t="str">
        <f>"86050"</f>
        <v>86050</v>
      </c>
      <c r="D1693" t="s">
        <v>894</v>
      </c>
      <c r="E1693">
        <v>130.85</v>
      </c>
      <c r="F1693">
        <v>20130917</v>
      </c>
      <c r="G1693" t="s">
        <v>774</v>
      </c>
      <c r="H1693" t="s">
        <v>765</v>
      </c>
      <c r="I1693" t="s">
        <v>61</v>
      </c>
    </row>
    <row r="1694" spans="1:9" x14ac:dyDescent="0.25">
      <c r="A1694">
        <v>20130919</v>
      </c>
      <c r="B1694" t="str">
        <f>"111680"</f>
        <v>111680</v>
      </c>
      <c r="C1694" t="str">
        <f>"45760"</f>
        <v>45760</v>
      </c>
      <c r="D1694" t="s">
        <v>895</v>
      </c>
      <c r="E1694">
        <v>90</v>
      </c>
      <c r="F1694">
        <v>20130917</v>
      </c>
      <c r="G1694" t="s">
        <v>764</v>
      </c>
      <c r="H1694" t="s">
        <v>765</v>
      </c>
      <c r="I1694" t="s">
        <v>61</v>
      </c>
    </row>
    <row r="1695" spans="1:9" x14ac:dyDescent="0.25">
      <c r="A1695">
        <v>20130919</v>
      </c>
      <c r="B1695" t="str">
        <f>"111681"</f>
        <v>111681</v>
      </c>
      <c r="C1695" t="str">
        <f>"87497"</f>
        <v>87497</v>
      </c>
      <c r="D1695" t="s">
        <v>896</v>
      </c>
      <c r="E1695">
        <v>74.95</v>
      </c>
      <c r="F1695">
        <v>20130913</v>
      </c>
      <c r="G1695" t="s">
        <v>789</v>
      </c>
      <c r="H1695" t="s">
        <v>354</v>
      </c>
      <c r="I1695" t="s">
        <v>61</v>
      </c>
    </row>
    <row r="1696" spans="1:9" x14ac:dyDescent="0.25">
      <c r="A1696">
        <v>20130919</v>
      </c>
      <c r="B1696" t="str">
        <f>"111682"</f>
        <v>111682</v>
      </c>
      <c r="C1696" t="str">
        <f>"87506"</f>
        <v>87506</v>
      </c>
      <c r="D1696" t="s">
        <v>897</v>
      </c>
      <c r="E1696">
        <v>138.06</v>
      </c>
      <c r="F1696">
        <v>20130918</v>
      </c>
      <c r="G1696" t="s">
        <v>789</v>
      </c>
      <c r="H1696" t="s">
        <v>365</v>
      </c>
      <c r="I1696" t="s">
        <v>61</v>
      </c>
    </row>
    <row r="1697" spans="1:9" x14ac:dyDescent="0.25">
      <c r="A1697">
        <v>20130919</v>
      </c>
      <c r="B1697" t="str">
        <f>"111683"</f>
        <v>111683</v>
      </c>
      <c r="C1697" t="str">
        <f>"87500"</f>
        <v>87500</v>
      </c>
      <c r="D1697" t="s">
        <v>898</v>
      </c>
      <c r="E1697">
        <v>105.85</v>
      </c>
      <c r="F1697">
        <v>20130917</v>
      </c>
      <c r="G1697" t="s">
        <v>774</v>
      </c>
      <c r="H1697" t="s">
        <v>765</v>
      </c>
      <c r="I1697" t="s">
        <v>61</v>
      </c>
    </row>
    <row r="1698" spans="1:9" x14ac:dyDescent="0.25">
      <c r="A1698">
        <v>20130919</v>
      </c>
      <c r="B1698" t="str">
        <f>"111684"</f>
        <v>111684</v>
      </c>
      <c r="C1698" t="str">
        <f>"48525"</f>
        <v>48525</v>
      </c>
      <c r="D1698" t="s">
        <v>899</v>
      </c>
      <c r="E1698">
        <v>350</v>
      </c>
      <c r="F1698">
        <v>20130913</v>
      </c>
      <c r="G1698" t="s">
        <v>900</v>
      </c>
      <c r="H1698" t="s">
        <v>361</v>
      </c>
      <c r="I1698" t="s">
        <v>21</v>
      </c>
    </row>
    <row r="1699" spans="1:9" x14ac:dyDescent="0.25">
      <c r="A1699">
        <v>20130919</v>
      </c>
      <c r="B1699" t="str">
        <f>"111685"</f>
        <v>111685</v>
      </c>
      <c r="C1699" t="str">
        <f>"85601"</f>
        <v>85601</v>
      </c>
      <c r="D1699" t="s">
        <v>901</v>
      </c>
      <c r="E1699" s="1">
        <v>1659.16</v>
      </c>
      <c r="F1699">
        <v>20130918</v>
      </c>
      <c r="G1699" t="s">
        <v>902</v>
      </c>
      <c r="H1699" t="s">
        <v>903</v>
      </c>
      <c r="I1699" t="s">
        <v>21</v>
      </c>
    </row>
    <row r="1700" spans="1:9" x14ac:dyDescent="0.25">
      <c r="A1700">
        <v>20130919</v>
      </c>
      <c r="B1700" t="str">
        <f>"111686"</f>
        <v>111686</v>
      </c>
      <c r="C1700" t="str">
        <f>"82598"</f>
        <v>82598</v>
      </c>
      <c r="D1700" t="s">
        <v>635</v>
      </c>
      <c r="E1700">
        <v>378.68</v>
      </c>
      <c r="F1700">
        <v>20130917</v>
      </c>
      <c r="G1700" t="s">
        <v>904</v>
      </c>
      <c r="H1700" t="s">
        <v>365</v>
      </c>
      <c r="I1700" t="s">
        <v>75</v>
      </c>
    </row>
    <row r="1701" spans="1:9" x14ac:dyDescent="0.25">
      <c r="A1701">
        <v>20130919</v>
      </c>
      <c r="B1701" t="str">
        <f>"111687"</f>
        <v>111687</v>
      </c>
      <c r="C1701" t="str">
        <f>"86578"</f>
        <v>86578</v>
      </c>
      <c r="D1701" t="s">
        <v>905</v>
      </c>
      <c r="E1701">
        <v>35.92</v>
      </c>
      <c r="F1701">
        <v>20130913</v>
      </c>
      <c r="G1701" t="s">
        <v>181</v>
      </c>
      <c r="H1701" t="s">
        <v>354</v>
      </c>
      <c r="I1701" t="s">
        <v>38</v>
      </c>
    </row>
    <row r="1702" spans="1:9" x14ac:dyDescent="0.25">
      <c r="A1702">
        <v>20130919</v>
      </c>
      <c r="B1702" t="str">
        <f>"111688"</f>
        <v>111688</v>
      </c>
      <c r="C1702" t="str">
        <f>"85998"</f>
        <v>85998</v>
      </c>
      <c r="D1702" t="s">
        <v>906</v>
      </c>
      <c r="E1702">
        <v>122.74</v>
      </c>
      <c r="F1702">
        <v>20130917</v>
      </c>
      <c r="G1702" t="s">
        <v>774</v>
      </c>
      <c r="H1702" t="s">
        <v>765</v>
      </c>
      <c r="I1702" t="s">
        <v>61</v>
      </c>
    </row>
    <row r="1703" spans="1:9" x14ac:dyDescent="0.25">
      <c r="A1703">
        <v>20130919</v>
      </c>
      <c r="B1703" t="str">
        <f>"111689"</f>
        <v>111689</v>
      </c>
      <c r="C1703" t="str">
        <f>"86058"</f>
        <v>86058</v>
      </c>
      <c r="D1703" t="s">
        <v>907</v>
      </c>
      <c r="E1703">
        <v>62.95</v>
      </c>
      <c r="F1703">
        <v>20130912</v>
      </c>
      <c r="G1703" t="s">
        <v>908</v>
      </c>
      <c r="H1703" t="s">
        <v>365</v>
      </c>
      <c r="I1703" t="s">
        <v>66</v>
      </c>
    </row>
    <row r="1704" spans="1:9" x14ac:dyDescent="0.25">
      <c r="A1704">
        <v>20130919</v>
      </c>
      <c r="B1704" t="str">
        <f>"111690"</f>
        <v>111690</v>
      </c>
      <c r="C1704" t="str">
        <f>"87012"</f>
        <v>87012</v>
      </c>
      <c r="D1704" t="s">
        <v>909</v>
      </c>
      <c r="E1704" s="1">
        <v>3820</v>
      </c>
      <c r="F1704">
        <v>20130917</v>
      </c>
      <c r="G1704" t="s">
        <v>910</v>
      </c>
      <c r="H1704" t="s">
        <v>911</v>
      </c>
      <c r="I1704" t="s">
        <v>25</v>
      </c>
    </row>
    <row r="1705" spans="1:9" x14ac:dyDescent="0.25">
      <c r="A1705">
        <v>20130919</v>
      </c>
      <c r="B1705" t="str">
        <f>"111691"</f>
        <v>111691</v>
      </c>
      <c r="C1705" t="str">
        <f>"87489"</f>
        <v>87489</v>
      </c>
      <c r="D1705" t="s">
        <v>912</v>
      </c>
      <c r="E1705">
        <v>848.16</v>
      </c>
      <c r="F1705">
        <v>20130917</v>
      </c>
      <c r="G1705" t="s">
        <v>404</v>
      </c>
      <c r="H1705" t="s">
        <v>913</v>
      </c>
      <c r="I1705" t="s">
        <v>12</v>
      </c>
    </row>
    <row r="1706" spans="1:9" x14ac:dyDescent="0.25">
      <c r="A1706">
        <v>20130919</v>
      </c>
      <c r="B1706" t="str">
        <f>"111692"</f>
        <v>111692</v>
      </c>
      <c r="C1706" t="str">
        <f>"85231"</f>
        <v>85231</v>
      </c>
      <c r="D1706" t="s">
        <v>914</v>
      </c>
      <c r="E1706">
        <v>187.95</v>
      </c>
      <c r="F1706">
        <v>20130917</v>
      </c>
      <c r="G1706" t="s">
        <v>194</v>
      </c>
      <c r="H1706" t="s">
        <v>354</v>
      </c>
      <c r="I1706" t="s">
        <v>25</v>
      </c>
    </row>
    <row r="1707" spans="1:9" x14ac:dyDescent="0.25">
      <c r="A1707">
        <v>20130919</v>
      </c>
      <c r="B1707" t="str">
        <f>"111693"</f>
        <v>111693</v>
      </c>
      <c r="C1707" t="str">
        <f>"86271"</f>
        <v>86271</v>
      </c>
      <c r="D1707" t="s">
        <v>915</v>
      </c>
      <c r="E1707">
        <v>64.58</v>
      </c>
      <c r="F1707">
        <v>20130913</v>
      </c>
      <c r="G1707" t="s">
        <v>789</v>
      </c>
      <c r="H1707" t="s">
        <v>354</v>
      </c>
      <c r="I1707" t="s">
        <v>61</v>
      </c>
    </row>
    <row r="1708" spans="1:9" x14ac:dyDescent="0.25">
      <c r="A1708">
        <v>20130919</v>
      </c>
      <c r="B1708" t="str">
        <f>"111694"</f>
        <v>111694</v>
      </c>
      <c r="C1708" t="str">
        <f>"86137"</f>
        <v>86137</v>
      </c>
      <c r="D1708" t="s">
        <v>916</v>
      </c>
      <c r="E1708">
        <v>130.85</v>
      </c>
      <c r="F1708">
        <v>20130917</v>
      </c>
      <c r="G1708" t="s">
        <v>774</v>
      </c>
      <c r="H1708" t="s">
        <v>765</v>
      </c>
      <c r="I1708" t="s">
        <v>61</v>
      </c>
    </row>
    <row r="1709" spans="1:9" x14ac:dyDescent="0.25">
      <c r="A1709">
        <v>20130919</v>
      </c>
      <c r="B1709" t="str">
        <f>"111695"</f>
        <v>111695</v>
      </c>
      <c r="C1709" t="str">
        <f>"87491"</f>
        <v>87491</v>
      </c>
      <c r="D1709" t="s">
        <v>917</v>
      </c>
      <c r="E1709">
        <v>142.55000000000001</v>
      </c>
      <c r="F1709">
        <v>20130912</v>
      </c>
      <c r="G1709" t="s">
        <v>774</v>
      </c>
      <c r="H1709" t="s">
        <v>765</v>
      </c>
      <c r="I1709" t="s">
        <v>61</v>
      </c>
    </row>
    <row r="1710" spans="1:9" x14ac:dyDescent="0.25">
      <c r="A1710">
        <v>20130919</v>
      </c>
      <c r="B1710" t="str">
        <f>"111696"</f>
        <v>111696</v>
      </c>
      <c r="C1710" t="str">
        <f>"87505"</f>
        <v>87505</v>
      </c>
      <c r="D1710" t="s">
        <v>918</v>
      </c>
      <c r="E1710">
        <v>800</v>
      </c>
      <c r="F1710">
        <v>20130918</v>
      </c>
      <c r="G1710" t="s">
        <v>761</v>
      </c>
      <c r="H1710" t="s">
        <v>919</v>
      </c>
      <c r="I1710" t="s">
        <v>21</v>
      </c>
    </row>
    <row r="1711" spans="1:9" x14ac:dyDescent="0.25">
      <c r="A1711">
        <v>20130919</v>
      </c>
      <c r="B1711" t="str">
        <f>"111697"</f>
        <v>111697</v>
      </c>
      <c r="C1711" t="str">
        <f t="shared" ref="C1711:C1716" si="138">"00760"</f>
        <v>00760</v>
      </c>
      <c r="D1711" t="s">
        <v>920</v>
      </c>
      <c r="E1711">
        <v>104.64</v>
      </c>
      <c r="F1711">
        <v>20130918</v>
      </c>
      <c r="G1711" t="s">
        <v>808</v>
      </c>
      <c r="H1711" t="s">
        <v>921</v>
      </c>
      <c r="I1711" t="s">
        <v>21</v>
      </c>
    </row>
    <row r="1712" spans="1:9" x14ac:dyDescent="0.25">
      <c r="A1712">
        <v>20130919</v>
      </c>
      <c r="B1712" t="str">
        <f>"111697"</f>
        <v>111697</v>
      </c>
      <c r="C1712" t="str">
        <f t="shared" si="138"/>
        <v>00760</v>
      </c>
      <c r="D1712" t="s">
        <v>920</v>
      </c>
      <c r="E1712">
        <v>235.44</v>
      </c>
      <c r="F1712">
        <v>20130918</v>
      </c>
      <c r="G1712" t="s">
        <v>922</v>
      </c>
      <c r="H1712" t="s">
        <v>921</v>
      </c>
      <c r="I1712" t="s">
        <v>66</v>
      </c>
    </row>
    <row r="1713" spans="1:9" x14ac:dyDescent="0.25">
      <c r="A1713">
        <v>20130919</v>
      </c>
      <c r="B1713" t="str">
        <f>"111697"</f>
        <v>111697</v>
      </c>
      <c r="C1713" t="str">
        <f t="shared" si="138"/>
        <v>00760</v>
      </c>
      <c r="D1713" t="s">
        <v>920</v>
      </c>
      <c r="E1713">
        <v>235.44</v>
      </c>
      <c r="F1713">
        <v>20130918</v>
      </c>
      <c r="G1713" t="s">
        <v>923</v>
      </c>
      <c r="H1713" t="s">
        <v>921</v>
      </c>
      <c r="I1713" t="s">
        <v>66</v>
      </c>
    </row>
    <row r="1714" spans="1:9" x14ac:dyDescent="0.25">
      <c r="A1714">
        <v>20130919</v>
      </c>
      <c r="B1714" t="str">
        <f>"111697"</f>
        <v>111697</v>
      </c>
      <c r="C1714" t="str">
        <f t="shared" si="138"/>
        <v>00760</v>
      </c>
      <c r="D1714" t="s">
        <v>920</v>
      </c>
      <c r="E1714">
        <v>235.44</v>
      </c>
      <c r="F1714">
        <v>20130918</v>
      </c>
      <c r="G1714" t="s">
        <v>924</v>
      </c>
      <c r="H1714" t="s">
        <v>921</v>
      </c>
      <c r="I1714" t="s">
        <v>66</v>
      </c>
    </row>
    <row r="1715" spans="1:9" x14ac:dyDescent="0.25">
      <c r="A1715">
        <v>20130919</v>
      </c>
      <c r="B1715" t="str">
        <f>"111697"</f>
        <v>111697</v>
      </c>
      <c r="C1715" t="str">
        <f t="shared" si="138"/>
        <v>00760</v>
      </c>
      <c r="D1715" t="s">
        <v>920</v>
      </c>
      <c r="E1715">
        <v>235.44</v>
      </c>
      <c r="F1715">
        <v>20130918</v>
      </c>
      <c r="G1715" t="s">
        <v>925</v>
      </c>
      <c r="H1715" t="s">
        <v>921</v>
      </c>
      <c r="I1715" t="s">
        <v>66</v>
      </c>
    </row>
    <row r="1716" spans="1:9" x14ac:dyDescent="0.25">
      <c r="A1716">
        <v>20130919</v>
      </c>
      <c r="B1716" t="str">
        <f>"111698"</f>
        <v>111698</v>
      </c>
      <c r="C1716" t="str">
        <f t="shared" si="138"/>
        <v>00760</v>
      </c>
      <c r="D1716" t="s">
        <v>920</v>
      </c>
      <c r="E1716">
        <v>627</v>
      </c>
      <c r="F1716">
        <v>20130918</v>
      </c>
      <c r="G1716" t="s">
        <v>926</v>
      </c>
      <c r="H1716" t="s">
        <v>921</v>
      </c>
      <c r="I1716" t="s">
        <v>21</v>
      </c>
    </row>
    <row r="1717" spans="1:9" x14ac:dyDescent="0.25">
      <c r="A1717">
        <v>20130919</v>
      </c>
      <c r="B1717" t="str">
        <f>"111699"</f>
        <v>111699</v>
      </c>
      <c r="C1717" t="str">
        <f>"86968"</f>
        <v>86968</v>
      </c>
      <c r="D1717" t="s">
        <v>927</v>
      </c>
      <c r="E1717">
        <v>330.75</v>
      </c>
      <c r="F1717">
        <v>20130918</v>
      </c>
      <c r="G1717" t="s">
        <v>843</v>
      </c>
      <c r="H1717" t="s">
        <v>928</v>
      </c>
      <c r="I1717" t="s">
        <v>68</v>
      </c>
    </row>
    <row r="1718" spans="1:9" x14ac:dyDescent="0.25">
      <c r="A1718">
        <v>20130919</v>
      </c>
      <c r="B1718" t="str">
        <f>"111700"</f>
        <v>111700</v>
      </c>
      <c r="C1718" t="str">
        <f>"55570"</f>
        <v>55570</v>
      </c>
      <c r="D1718" t="s">
        <v>929</v>
      </c>
      <c r="E1718" s="1">
        <v>6368.78</v>
      </c>
      <c r="F1718">
        <v>20130918</v>
      </c>
      <c r="G1718" t="s">
        <v>606</v>
      </c>
      <c r="H1718" t="s">
        <v>930</v>
      </c>
      <c r="I1718" t="s">
        <v>608</v>
      </c>
    </row>
    <row r="1719" spans="1:9" x14ac:dyDescent="0.25">
      <c r="A1719">
        <v>20130919</v>
      </c>
      <c r="B1719" t="str">
        <f>"111701"</f>
        <v>111701</v>
      </c>
      <c r="C1719" t="str">
        <f>"55795"</f>
        <v>55795</v>
      </c>
      <c r="D1719" t="s">
        <v>931</v>
      </c>
      <c r="E1719">
        <v>27.94</v>
      </c>
      <c r="F1719">
        <v>20130918</v>
      </c>
      <c r="G1719" t="s">
        <v>932</v>
      </c>
      <c r="H1719" t="s">
        <v>354</v>
      </c>
      <c r="I1719" t="s">
        <v>77</v>
      </c>
    </row>
    <row r="1720" spans="1:9" x14ac:dyDescent="0.25">
      <c r="A1720">
        <v>20130919</v>
      </c>
      <c r="B1720" t="str">
        <f>"111702"</f>
        <v>111702</v>
      </c>
      <c r="C1720" t="str">
        <f>"86946"</f>
        <v>86946</v>
      </c>
      <c r="D1720" t="s">
        <v>933</v>
      </c>
      <c r="E1720">
        <v>212.47</v>
      </c>
      <c r="F1720">
        <v>20130918</v>
      </c>
      <c r="G1720" t="s">
        <v>36</v>
      </c>
      <c r="H1720" t="s">
        <v>354</v>
      </c>
      <c r="I1720" t="s">
        <v>38</v>
      </c>
    </row>
    <row r="1721" spans="1:9" x14ac:dyDescent="0.25">
      <c r="A1721">
        <v>20130919</v>
      </c>
      <c r="B1721" t="str">
        <f>"111703"</f>
        <v>111703</v>
      </c>
      <c r="C1721" t="str">
        <f>"58772"</f>
        <v>58772</v>
      </c>
      <c r="D1721" t="s">
        <v>934</v>
      </c>
      <c r="E1721">
        <v>87.95</v>
      </c>
      <c r="F1721">
        <v>20130912</v>
      </c>
      <c r="G1721" t="s">
        <v>935</v>
      </c>
      <c r="H1721" t="s">
        <v>414</v>
      </c>
      <c r="I1721" t="s">
        <v>21</v>
      </c>
    </row>
    <row r="1722" spans="1:9" x14ac:dyDescent="0.25">
      <c r="A1722">
        <v>20130919</v>
      </c>
      <c r="B1722" t="str">
        <f>"111704"</f>
        <v>111704</v>
      </c>
      <c r="C1722" t="str">
        <f>"86760"</f>
        <v>86760</v>
      </c>
      <c r="D1722" t="s">
        <v>936</v>
      </c>
      <c r="E1722">
        <v>41.81</v>
      </c>
      <c r="F1722">
        <v>20130913</v>
      </c>
      <c r="G1722" t="s">
        <v>789</v>
      </c>
      <c r="H1722" t="s">
        <v>354</v>
      </c>
      <c r="I1722" t="s">
        <v>61</v>
      </c>
    </row>
    <row r="1723" spans="1:9" x14ac:dyDescent="0.25">
      <c r="A1723">
        <v>20130919</v>
      </c>
      <c r="B1723" t="str">
        <f>"111705"</f>
        <v>111705</v>
      </c>
      <c r="C1723" t="str">
        <f>"00609"</f>
        <v>00609</v>
      </c>
      <c r="D1723" t="s">
        <v>937</v>
      </c>
      <c r="E1723">
        <v>117.8</v>
      </c>
      <c r="F1723">
        <v>20130917</v>
      </c>
      <c r="G1723" t="s">
        <v>764</v>
      </c>
      <c r="H1723" t="s">
        <v>765</v>
      </c>
      <c r="I1723" t="s">
        <v>61</v>
      </c>
    </row>
    <row r="1724" spans="1:9" x14ac:dyDescent="0.25">
      <c r="A1724">
        <v>20130919</v>
      </c>
      <c r="B1724" t="str">
        <f>"111706"</f>
        <v>111706</v>
      </c>
      <c r="C1724" t="str">
        <f>"86796"</f>
        <v>86796</v>
      </c>
      <c r="D1724" t="s">
        <v>938</v>
      </c>
      <c r="E1724" s="1">
        <v>3000</v>
      </c>
      <c r="F1724">
        <v>20130913</v>
      </c>
      <c r="G1724" t="s">
        <v>761</v>
      </c>
      <c r="H1724" t="s">
        <v>939</v>
      </c>
      <c r="I1724" t="s">
        <v>21</v>
      </c>
    </row>
    <row r="1725" spans="1:9" x14ac:dyDescent="0.25">
      <c r="A1725">
        <v>20130919</v>
      </c>
      <c r="B1725" t="str">
        <f>"111707"</f>
        <v>111707</v>
      </c>
      <c r="C1725" t="str">
        <f>"87496"</f>
        <v>87496</v>
      </c>
      <c r="D1725" t="s">
        <v>940</v>
      </c>
      <c r="E1725">
        <v>70.25</v>
      </c>
      <c r="F1725">
        <v>20130913</v>
      </c>
      <c r="G1725" t="s">
        <v>789</v>
      </c>
      <c r="H1725" t="s">
        <v>354</v>
      </c>
      <c r="I1725" t="s">
        <v>61</v>
      </c>
    </row>
    <row r="1726" spans="1:9" x14ac:dyDescent="0.25">
      <c r="A1726">
        <v>20130919</v>
      </c>
      <c r="B1726" t="str">
        <f>"111708"</f>
        <v>111708</v>
      </c>
      <c r="C1726" t="str">
        <f>"87027"</f>
        <v>87027</v>
      </c>
      <c r="D1726" t="s">
        <v>941</v>
      </c>
      <c r="E1726">
        <v>130.85</v>
      </c>
      <c r="F1726">
        <v>20130912</v>
      </c>
      <c r="G1726" t="s">
        <v>774</v>
      </c>
      <c r="H1726" t="s">
        <v>765</v>
      </c>
      <c r="I1726" t="s">
        <v>61</v>
      </c>
    </row>
    <row r="1727" spans="1:9" x14ac:dyDescent="0.25">
      <c r="A1727">
        <v>20130919</v>
      </c>
      <c r="B1727" t="str">
        <f>"111709"</f>
        <v>111709</v>
      </c>
      <c r="C1727" t="str">
        <f>"61999"</f>
        <v>61999</v>
      </c>
      <c r="D1727" t="s">
        <v>942</v>
      </c>
      <c r="E1727">
        <v>240</v>
      </c>
      <c r="F1727">
        <v>20130917</v>
      </c>
      <c r="G1727" t="s">
        <v>943</v>
      </c>
      <c r="H1727" t="s">
        <v>361</v>
      </c>
      <c r="I1727" t="s">
        <v>21</v>
      </c>
    </row>
    <row r="1728" spans="1:9" x14ac:dyDescent="0.25">
      <c r="A1728">
        <v>20130919</v>
      </c>
      <c r="B1728" t="str">
        <f>"111710"</f>
        <v>111710</v>
      </c>
      <c r="C1728" t="str">
        <f>"62000"</f>
        <v>62000</v>
      </c>
      <c r="D1728" t="s">
        <v>944</v>
      </c>
      <c r="E1728">
        <v>655.28</v>
      </c>
      <c r="F1728">
        <v>20130917</v>
      </c>
      <c r="G1728" t="s">
        <v>577</v>
      </c>
      <c r="H1728" t="s">
        <v>945</v>
      </c>
      <c r="I1728" t="s">
        <v>21</v>
      </c>
    </row>
    <row r="1729" spans="1:9" x14ac:dyDescent="0.25">
      <c r="A1729">
        <v>20130919</v>
      </c>
      <c r="B1729" t="str">
        <f>"111711"</f>
        <v>111711</v>
      </c>
      <c r="C1729" t="str">
        <f>"87320"</f>
        <v>87320</v>
      </c>
      <c r="D1729" t="s">
        <v>946</v>
      </c>
      <c r="E1729" s="1">
        <v>4500</v>
      </c>
      <c r="F1729">
        <v>20130913</v>
      </c>
      <c r="G1729" t="s">
        <v>378</v>
      </c>
      <c r="H1729" t="s">
        <v>947</v>
      </c>
      <c r="I1729" t="s">
        <v>21</v>
      </c>
    </row>
    <row r="1730" spans="1:9" x14ac:dyDescent="0.25">
      <c r="A1730">
        <v>20130919</v>
      </c>
      <c r="B1730" t="str">
        <f>"111712"</f>
        <v>111712</v>
      </c>
      <c r="C1730" t="str">
        <f>"85768"</f>
        <v>85768</v>
      </c>
      <c r="D1730" t="s">
        <v>948</v>
      </c>
      <c r="E1730">
        <v>92.79</v>
      </c>
      <c r="F1730">
        <v>20130913</v>
      </c>
      <c r="G1730" t="s">
        <v>789</v>
      </c>
      <c r="H1730" t="s">
        <v>790</v>
      </c>
      <c r="I1730" t="s">
        <v>61</v>
      </c>
    </row>
    <row r="1731" spans="1:9" x14ac:dyDescent="0.25">
      <c r="A1731">
        <v>20130919</v>
      </c>
      <c r="B1731" t="str">
        <f>"111713"</f>
        <v>111713</v>
      </c>
      <c r="C1731" t="str">
        <f>"64500"</f>
        <v>64500</v>
      </c>
      <c r="D1731" t="s">
        <v>949</v>
      </c>
      <c r="E1731">
        <v>186.99</v>
      </c>
      <c r="F1731">
        <v>20130912</v>
      </c>
      <c r="G1731" t="s">
        <v>950</v>
      </c>
      <c r="H1731" t="s">
        <v>414</v>
      </c>
      <c r="I1731" t="s">
        <v>21</v>
      </c>
    </row>
    <row r="1732" spans="1:9" x14ac:dyDescent="0.25">
      <c r="A1732">
        <v>20130919</v>
      </c>
      <c r="B1732" t="str">
        <f>"111714"</f>
        <v>111714</v>
      </c>
      <c r="C1732" t="str">
        <f>"65506"</f>
        <v>65506</v>
      </c>
      <c r="D1732" t="s">
        <v>951</v>
      </c>
      <c r="E1732">
        <v>55.88</v>
      </c>
      <c r="F1732">
        <v>20130918</v>
      </c>
      <c r="G1732" t="s">
        <v>364</v>
      </c>
      <c r="H1732" t="s">
        <v>365</v>
      </c>
      <c r="I1732" t="s">
        <v>21</v>
      </c>
    </row>
    <row r="1733" spans="1:9" x14ac:dyDescent="0.25">
      <c r="A1733">
        <v>20130919</v>
      </c>
      <c r="B1733" t="str">
        <f>"111715"</f>
        <v>111715</v>
      </c>
      <c r="C1733" t="str">
        <f>"67571"</f>
        <v>67571</v>
      </c>
      <c r="D1733" t="s">
        <v>952</v>
      </c>
      <c r="E1733">
        <v>85</v>
      </c>
      <c r="F1733">
        <v>20130917</v>
      </c>
      <c r="G1733" t="s">
        <v>764</v>
      </c>
      <c r="H1733" t="s">
        <v>765</v>
      </c>
      <c r="I1733" t="s">
        <v>61</v>
      </c>
    </row>
    <row r="1734" spans="1:9" x14ac:dyDescent="0.25">
      <c r="A1734">
        <v>20130919</v>
      </c>
      <c r="B1734" t="str">
        <f>"111716"</f>
        <v>111716</v>
      </c>
      <c r="C1734" t="str">
        <f>"69330"</f>
        <v>69330</v>
      </c>
      <c r="D1734" t="s">
        <v>953</v>
      </c>
      <c r="E1734">
        <v>440</v>
      </c>
      <c r="F1734">
        <v>20130912</v>
      </c>
      <c r="G1734" t="s">
        <v>875</v>
      </c>
      <c r="H1734" t="s">
        <v>954</v>
      </c>
      <c r="I1734" t="s">
        <v>21</v>
      </c>
    </row>
    <row r="1735" spans="1:9" x14ac:dyDescent="0.25">
      <c r="A1735">
        <v>20130919</v>
      </c>
      <c r="B1735" t="str">
        <f>"111716"</f>
        <v>111716</v>
      </c>
      <c r="C1735" t="str">
        <f>"69330"</f>
        <v>69330</v>
      </c>
      <c r="D1735" t="s">
        <v>953</v>
      </c>
      <c r="E1735">
        <v>385</v>
      </c>
      <c r="F1735">
        <v>20130912</v>
      </c>
      <c r="G1735" t="s">
        <v>875</v>
      </c>
      <c r="H1735" t="s">
        <v>954</v>
      </c>
      <c r="I1735" t="s">
        <v>21</v>
      </c>
    </row>
    <row r="1736" spans="1:9" x14ac:dyDescent="0.25">
      <c r="A1736">
        <v>20130919</v>
      </c>
      <c r="B1736" t="str">
        <f>"111717"</f>
        <v>111717</v>
      </c>
      <c r="C1736" t="str">
        <f>"69331"</f>
        <v>69331</v>
      </c>
      <c r="D1736" t="s">
        <v>383</v>
      </c>
      <c r="E1736">
        <v>400</v>
      </c>
      <c r="F1736">
        <v>20130912</v>
      </c>
      <c r="G1736" t="s">
        <v>955</v>
      </c>
      <c r="H1736" t="s">
        <v>956</v>
      </c>
      <c r="I1736" t="s">
        <v>73</v>
      </c>
    </row>
    <row r="1737" spans="1:9" x14ac:dyDescent="0.25">
      <c r="A1737">
        <v>20130919</v>
      </c>
      <c r="B1737" t="str">
        <f>"111717"</f>
        <v>111717</v>
      </c>
      <c r="C1737" t="str">
        <f>"69331"</f>
        <v>69331</v>
      </c>
      <c r="D1737" t="s">
        <v>383</v>
      </c>
      <c r="E1737" s="1">
        <v>1300</v>
      </c>
      <c r="F1737">
        <v>20130912</v>
      </c>
      <c r="G1737" t="s">
        <v>957</v>
      </c>
      <c r="H1737" t="s">
        <v>956</v>
      </c>
      <c r="I1737" t="s">
        <v>73</v>
      </c>
    </row>
    <row r="1738" spans="1:9" x14ac:dyDescent="0.25">
      <c r="A1738">
        <v>20130919</v>
      </c>
      <c r="B1738" t="str">
        <f>"111718"</f>
        <v>111718</v>
      </c>
      <c r="C1738" t="str">
        <f>"69335"</f>
        <v>69335</v>
      </c>
      <c r="D1738" t="s">
        <v>958</v>
      </c>
      <c r="E1738">
        <v>195</v>
      </c>
      <c r="F1738">
        <v>20130913</v>
      </c>
      <c r="G1738" t="s">
        <v>959</v>
      </c>
      <c r="H1738" t="s">
        <v>960</v>
      </c>
      <c r="I1738" t="s">
        <v>21</v>
      </c>
    </row>
    <row r="1739" spans="1:9" x14ac:dyDescent="0.25">
      <c r="A1739">
        <v>20130919</v>
      </c>
      <c r="B1739" t="str">
        <f>"111718"</f>
        <v>111718</v>
      </c>
      <c r="C1739" t="str">
        <f>"69335"</f>
        <v>69335</v>
      </c>
      <c r="D1739" t="s">
        <v>958</v>
      </c>
      <c r="E1739">
        <v>145</v>
      </c>
      <c r="F1739">
        <v>20130912</v>
      </c>
      <c r="G1739" t="s">
        <v>817</v>
      </c>
      <c r="H1739" t="s">
        <v>954</v>
      </c>
      <c r="I1739" t="s">
        <v>66</v>
      </c>
    </row>
    <row r="1740" spans="1:9" x14ac:dyDescent="0.25">
      <c r="A1740">
        <v>20130919</v>
      </c>
      <c r="B1740" t="str">
        <f>"111719"</f>
        <v>111719</v>
      </c>
      <c r="C1740" t="str">
        <f>"87490"</f>
        <v>87490</v>
      </c>
      <c r="D1740" t="s">
        <v>961</v>
      </c>
      <c r="E1740">
        <v>142.55000000000001</v>
      </c>
      <c r="F1740">
        <v>20130912</v>
      </c>
      <c r="G1740" t="s">
        <v>774</v>
      </c>
      <c r="H1740" t="s">
        <v>765</v>
      </c>
      <c r="I1740" t="s">
        <v>61</v>
      </c>
    </row>
    <row r="1741" spans="1:9" x14ac:dyDescent="0.25">
      <c r="A1741">
        <v>20130919</v>
      </c>
      <c r="B1741" t="str">
        <f>"111720"</f>
        <v>111720</v>
      </c>
      <c r="C1741" t="str">
        <f>"83644"</f>
        <v>83644</v>
      </c>
      <c r="D1741" t="s">
        <v>962</v>
      </c>
      <c r="E1741">
        <v>122.34</v>
      </c>
      <c r="F1741">
        <v>20130912</v>
      </c>
      <c r="G1741" t="s">
        <v>764</v>
      </c>
      <c r="H1741" t="s">
        <v>765</v>
      </c>
      <c r="I1741" t="s">
        <v>61</v>
      </c>
    </row>
    <row r="1742" spans="1:9" x14ac:dyDescent="0.25">
      <c r="A1742">
        <v>20130919</v>
      </c>
      <c r="B1742" t="str">
        <f t="shared" ref="B1742:B1749" si="139">"111721"</f>
        <v>111721</v>
      </c>
      <c r="C1742" t="str">
        <f t="shared" ref="C1742:C1749" si="140">"70760"</f>
        <v>70760</v>
      </c>
      <c r="D1742" t="s">
        <v>963</v>
      </c>
      <c r="E1742">
        <v>202</v>
      </c>
      <c r="F1742">
        <v>20130918</v>
      </c>
      <c r="G1742" t="s">
        <v>922</v>
      </c>
      <c r="H1742" t="s">
        <v>954</v>
      </c>
      <c r="I1742" t="s">
        <v>66</v>
      </c>
    </row>
    <row r="1743" spans="1:9" x14ac:dyDescent="0.25">
      <c r="A1743">
        <v>20130919</v>
      </c>
      <c r="B1743" t="str">
        <f t="shared" si="139"/>
        <v>111721</v>
      </c>
      <c r="C1743" t="str">
        <f t="shared" si="140"/>
        <v>70760</v>
      </c>
      <c r="D1743" t="s">
        <v>963</v>
      </c>
      <c r="E1743">
        <v>318</v>
      </c>
      <c r="F1743">
        <v>20130918</v>
      </c>
      <c r="G1743" t="s">
        <v>923</v>
      </c>
      <c r="H1743" t="s">
        <v>388</v>
      </c>
      <c r="I1743" t="s">
        <v>66</v>
      </c>
    </row>
    <row r="1744" spans="1:9" x14ac:dyDescent="0.25">
      <c r="A1744">
        <v>20130919</v>
      </c>
      <c r="B1744" t="str">
        <f t="shared" si="139"/>
        <v>111721</v>
      </c>
      <c r="C1744" t="str">
        <f t="shared" si="140"/>
        <v>70760</v>
      </c>
      <c r="D1744" t="s">
        <v>963</v>
      </c>
      <c r="E1744">
        <v>202</v>
      </c>
      <c r="F1744">
        <v>20130918</v>
      </c>
      <c r="G1744" t="s">
        <v>923</v>
      </c>
      <c r="H1744" t="s">
        <v>954</v>
      </c>
      <c r="I1744" t="s">
        <v>66</v>
      </c>
    </row>
    <row r="1745" spans="1:9" x14ac:dyDescent="0.25">
      <c r="A1745">
        <v>20130919</v>
      </c>
      <c r="B1745" t="str">
        <f t="shared" si="139"/>
        <v>111721</v>
      </c>
      <c r="C1745" t="str">
        <f t="shared" si="140"/>
        <v>70760</v>
      </c>
      <c r="D1745" t="s">
        <v>963</v>
      </c>
      <c r="E1745">
        <v>318</v>
      </c>
      <c r="F1745">
        <v>20130918</v>
      </c>
      <c r="G1745" t="s">
        <v>924</v>
      </c>
      <c r="H1745" t="s">
        <v>388</v>
      </c>
      <c r="I1745" t="s">
        <v>66</v>
      </c>
    </row>
    <row r="1746" spans="1:9" x14ac:dyDescent="0.25">
      <c r="A1746">
        <v>20130919</v>
      </c>
      <c r="B1746" t="str">
        <f t="shared" si="139"/>
        <v>111721</v>
      </c>
      <c r="C1746" t="str">
        <f t="shared" si="140"/>
        <v>70760</v>
      </c>
      <c r="D1746" t="s">
        <v>963</v>
      </c>
      <c r="E1746">
        <v>202</v>
      </c>
      <c r="F1746">
        <v>20130918</v>
      </c>
      <c r="G1746" t="s">
        <v>924</v>
      </c>
      <c r="H1746" t="s">
        <v>954</v>
      </c>
      <c r="I1746" t="s">
        <v>66</v>
      </c>
    </row>
    <row r="1747" spans="1:9" x14ac:dyDescent="0.25">
      <c r="A1747">
        <v>20130919</v>
      </c>
      <c r="B1747" t="str">
        <f t="shared" si="139"/>
        <v>111721</v>
      </c>
      <c r="C1747" t="str">
        <f t="shared" si="140"/>
        <v>70760</v>
      </c>
      <c r="D1747" t="s">
        <v>963</v>
      </c>
      <c r="E1747">
        <v>367</v>
      </c>
      <c r="F1747">
        <v>20130912</v>
      </c>
      <c r="G1747" t="s">
        <v>925</v>
      </c>
      <c r="H1747" t="s">
        <v>388</v>
      </c>
      <c r="I1747" t="s">
        <v>66</v>
      </c>
    </row>
    <row r="1748" spans="1:9" x14ac:dyDescent="0.25">
      <c r="A1748">
        <v>20130919</v>
      </c>
      <c r="B1748" t="str">
        <f t="shared" si="139"/>
        <v>111721</v>
      </c>
      <c r="C1748" t="str">
        <f t="shared" si="140"/>
        <v>70760</v>
      </c>
      <c r="D1748" t="s">
        <v>963</v>
      </c>
      <c r="E1748">
        <v>318</v>
      </c>
      <c r="F1748">
        <v>20130918</v>
      </c>
      <c r="G1748" t="s">
        <v>925</v>
      </c>
      <c r="H1748" t="s">
        <v>388</v>
      </c>
      <c r="I1748" t="s">
        <v>66</v>
      </c>
    </row>
    <row r="1749" spans="1:9" x14ac:dyDescent="0.25">
      <c r="A1749">
        <v>20130919</v>
      </c>
      <c r="B1749" t="str">
        <f t="shared" si="139"/>
        <v>111721</v>
      </c>
      <c r="C1749" t="str">
        <f t="shared" si="140"/>
        <v>70760</v>
      </c>
      <c r="D1749" t="s">
        <v>963</v>
      </c>
      <c r="E1749">
        <v>202</v>
      </c>
      <c r="F1749">
        <v>20130918</v>
      </c>
      <c r="G1749" t="s">
        <v>925</v>
      </c>
      <c r="H1749" t="s">
        <v>954</v>
      </c>
      <c r="I1749" t="s">
        <v>66</v>
      </c>
    </row>
    <row r="1750" spans="1:9" x14ac:dyDescent="0.25">
      <c r="A1750">
        <v>20130919</v>
      </c>
      <c r="B1750" t="str">
        <f>"111722"</f>
        <v>111722</v>
      </c>
      <c r="C1750" t="str">
        <f>"87502"</f>
        <v>87502</v>
      </c>
      <c r="D1750" t="s">
        <v>964</v>
      </c>
      <c r="E1750">
        <v>50</v>
      </c>
      <c r="F1750">
        <v>20130917</v>
      </c>
      <c r="G1750" t="s">
        <v>965</v>
      </c>
      <c r="H1750" t="s">
        <v>388</v>
      </c>
      <c r="I1750" t="s">
        <v>21</v>
      </c>
    </row>
    <row r="1751" spans="1:9" x14ac:dyDescent="0.25">
      <c r="A1751">
        <v>20130919</v>
      </c>
      <c r="B1751" t="str">
        <f>"111723"</f>
        <v>111723</v>
      </c>
      <c r="C1751" t="str">
        <f>"71500"</f>
        <v>71500</v>
      </c>
      <c r="D1751" t="s">
        <v>966</v>
      </c>
      <c r="E1751">
        <v>140</v>
      </c>
      <c r="F1751">
        <v>20130918</v>
      </c>
      <c r="G1751" t="s">
        <v>965</v>
      </c>
      <c r="H1751" t="s">
        <v>954</v>
      </c>
      <c r="I1751" t="s">
        <v>21</v>
      </c>
    </row>
    <row r="1752" spans="1:9" x14ac:dyDescent="0.25">
      <c r="A1752">
        <v>20130919</v>
      </c>
      <c r="B1752" t="str">
        <f>"111723"</f>
        <v>111723</v>
      </c>
      <c r="C1752" t="str">
        <f>"71500"</f>
        <v>71500</v>
      </c>
      <c r="D1752" t="s">
        <v>966</v>
      </c>
      <c r="E1752">
        <v>140</v>
      </c>
      <c r="F1752">
        <v>20130918</v>
      </c>
      <c r="G1752" t="s">
        <v>965</v>
      </c>
      <c r="H1752" t="s">
        <v>954</v>
      </c>
      <c r="I1752" t="s">
        <v>21</v>
      </c>
    </row>
    <row r="1753" spans="1:9" x14ac:dyDescent="0.25">
      <c r="A1753">
        <v>20130919</v>
      </c>
      <c r="B1753" t="str">
        <f>"111723"</f>
        <v>111723</v>
      </c>
      <c r="C1753" t="str">
        <f>"71500"</f>
        <v>71500</v>
      </c>
      <c r="D1753" t="s">
        <v>966</v>
      </c>
      <c r="E1753">
        <v>140</v>
      </c>
      <c r="F1753">
        <v>20130918</v>
      </c>
      <c r="G1753" t="s">
        <v>965</v>
      </c>
      <c r="H1753" t="s">
        <v>954</v>
      </c>
      <c r="I1753" t="s">
        <v>21</v>
      </c>
    </row>
    <row r="1754" spans="1:9" x14ac:dyDescent="0.25">
      <c r="A1754">
        <v>20130919</v>
      </c>
      <c r="B1754" t="str">
        <f>"111723"</f>
        <v>111723</v>
      </c>
      <c r="C1754" t="str">
        <f>"71500"</f>
        <v>71500</v>
      </c>
      <c r="D1754" t="s">
        <v>966</v>
      </c>
      <c r="E1754">
        <v>140</v>
      </c>
      <c r="F1754">
        <v>20130918</v>
      </c>
      <c r="G1754" t="s">
        <v>965</v>
      </c>
      <c r="H1754" t="s">
        <v>954</v>
      </c>
      <c r="I1754" t="s">
        <v>21</v>
      </c>
    </row>
    <row r="1755" spans="1:9" x14ac:dyDescent="0.25">
      <c r="A1755">
        <v>20130919</v>
      </c>
      <c r="B1755" t="str">
        <f>"111724"</f>
        <v>111724</v>
      </c>
      <c r="C1755" t="str">
        <f>"83921"</f>
        <v>83921</v>
      </c>
      <c r="D1755" t="s">
        <v>967</v>
      </c>
      <c r="E1755">
        <v>10.199999999999999</v>
      </c>
      <c r="F1755">
        <v>20130917</v>
      </c>
      <c r="G1755" t="s">
        <v>426</v>
      </c>
      <c r="H1755" t="s">
        <v>968</v>
      </c>
      <c r="I1755" t="s">
        <v>21</v>
      </c>
    </row>
    <row r="1756" spans="1:9" x14ac:dyDescent="0.25">
      <c r="A1756">
        <v>20130919</v>
      </c>
      <c r="B1756" t="str">
        <f>"111725"</f>
        <v>111725</v>
      </c>
      <c r="C1756" t="str">
        <f>"87504"</f>
        <v>87504</v>
      </c>
      <c r="D1756" t="s">
        <v>969</v>
      </c>
      <c r="E1756" s="1">
        <v>1079</v>
      </c>
      <c r="F1756">
        <v>20130918</v>
      </c>
      <c r="G1756" t="s">
        <v>150</v>
      </c>
      <c r="H1756" t="s">
        <v>354</v>
      </c>
      <c r="I1756" t="s">
        <v>25</v>
      </c>
    </row>
    <row r="1757" spans="1:9" x14ac:dyDescent="0.25">
      <c r="A1757">
        <v>20130919</v>
      </c>
      <c r="B1757" t="str">
        <f>"111726"</f>
        <v>111726</v>
      </c>
      <c r="C1757" t="str">
        <f>"00378"</f>
        <v>00378</v>
      </c>
      <c r="D1757" t="s">
        <v>970</v>
      </c>
      <c r="E1757">
        <v>210</v>
      </c>
      <c r="F1757">
        <v>20130918</v>
      </c>
      <c r="G1757" t="s">
        <v>971</v>
      </c>
      <c r="H1757" t="s">
        <v>361</v>
      </c>
      <c r="I1757" t="s">
        <v>21</v>
      </c>
    </row>
    <row r="1758" spans="1:9" x14ac:dyDescent="0.25">
      <c r="A1758">
        <v>20130919</v>
      </c>
      <c r="B1758" t="str">
        <f>"111727"</f>
        <v>111727</v>
      </c>
      <c r="C1758" t="str">
        <f>"00389"</f>
        <v>00389</v>
      </c>
      <c r="D1758" t="s">
        <v>972</v>
      </c>
      <c r="E1758" s="1">
        <v>1395</v>
      </c>
      <c r="F1758">
        <v>20130916</v>
      </c>
      <c r="G1758" t="s">
        <v>973</v>
      </c>
      <c r="H1758" t="s">
        <v>974</v>
      </c>
      <c r="I1758" t="s">
        <v>21</v>
      </c>
    </row>
    <row r="1759" spans="1:9" x14ac:dyDescent="0.25">
      <c r="A1759">
        <v>20130919</v>
      </c>
      <c r="B1759" t="str">
        <f>"111727"</f>
        <v>111727</v>
      </c>
      <c r="C1759" t="str">
        <f>"00389"</f>
        <v>00389</v>
      </c>
      <c r="D1759" t="s">
        <v>972</v>
      </c>
      <c r="E1759">
        <v>525</v>
      </c>
      <c r="F1759">
        <v>20130913</v>
      </c>
      <c r="G1759" t="s">
        <v>975</v>
      </c>
      <c r="H1759" t="s">
        <v>976</v>
      </c>
      <c r="I1759" t="s">
        <v>21</v>
      </c>
    </row>
    <row r="1760" spans="1:9" x14ac:dyDescent="0.25">
      <c r="A1760">
        <v>20130919</v>
      </c>
      <c r="B1760" t="str">
        <f>"111728"</f>
        <v>111728</v>
      </c>
      <c r="C1760" t="str">
        <f>"69310"</f>
        <v>69310</v>
      </c>
      <c r="D1760" t="s">
        <v>716</v>
      </c>
      <c r="E1760" s="1">
        <v>1426.78</v>
      </c>
      <c r="F1760">
        <v>20130917</v>
      </c>
      <c r="G1760" t="s">
        <v>718</v>
      </c>
      <c r="H1760" t="s">
        <v>488</v>
      </c>
      <c r="I1760" t="s">
        <v>21</v>
      </c>
    </row>
    <row r="1761" spans="1:9" x14ac:dyDescent="0.25">
      <c r="A1761">
        <v>20130919</v>
      </c>
      <c r="B1761" t="str">
        <f>"111729"</f>
        <v>111729</v>
      </c>
      <c r="C1761" t="str">
        <f>"86951"</f>
        <v>86951</v>
      </c>
      <c r="D1761" t="s">
        <v>394</v>
      </c>
      <c r="E1761">
        <v>236.91</v>
      </c>
      <c r="F1761">
        <v>20130917</v>
      </c>
      <c r="G1761" t="s">
        <v>337</v>
      </c>
      <c r="H1761" t="s">
        <v>338</v>
      </c>
      <c r="I1761" t="s">
        <v>21</v>
      </c>
    </row>
    <row r="1762" spans="1:9" x14ac:dyDescent="0.25">
      <c r="A1762">
        <v>20130919</v>
      </c>
      <c r="B1762" t="str">
        <f>"111730"</f>
        <v>111730</v>
      </c>
      <c r="C1762" t="str">
        <f>"00242"</f>
        <v>00242</v>
      </c>
      <c r="D1762" t="s">
        <v>977</v>
      </c>
      <c r="E1762">
        <v>118.3</v>
      </c>
      <c r="F1762">
        <v>20130918</v>
      </c>
      <c r="G1762" t="s">
        <v>637</v>
      </c>
      <c r="H1762" t="s">
        <v>978</v>
      </c>
      <c r="I1762" t="s">
        <v>38</v>
      </c>
    </row>
    <row r="1763" spans="1:9" x14ac:dyDescent="0.25">
      <c r="A1763">
        <v>20130919</v>
      </c>
      <c r="B1763" t="str">
        <f>"111731"</f>
        <v>111731</v>
      </c>
      <c r="C1763" t="str">
        <f>"00372"</f>
        <v>00372</v>
      </c>
      <c r="D1763" t="s">
        <v>979</v>
      </c>
      <c r="E1763">
        <v>270</v>
      </c>
      <c r="F1763">
        <v>20130917</v>
      </c>
      <c r="G1763" t="s">
        <v>965</v>
      </c>
      <c r="H1763" t="s">
        <v>361</v>
      </c>
      <c r="I1763" t="s">
        <v>21</v>
      </c>
    </row>
    <row r="1764" spans="1:9" x14ac:dyDescent="0.25">
      <c r="A1764">
        <v>20130919</v>
      </c>
      <c r="B1764" t="str">
        <f>"111732"</f>
        <v>111732</v>
      </c>
      <c r="C1764" t="str">
        <f>"85109"</f>
        <v>85109</v>
      </c>
      <c r="D1764" t="s">
        <v>980</v>
      </c>
      <c r="E1764">
        <v>56.68</v>
      </c>
      <c r="F1764">
        <v>20130913</v>
      </c>
      <c r="G1764" t="s">
        <v>789</v>
      </c>
      <c r="H1764" t="s">
        <v>354</v>
      </c>
      <c r="I1764" t="s">
        <v>61</v>
      </c>
    </row>
    <row r="1765" spans="1:9" x14ac:dyDescent="0.25">
      <c r="A1765">
        <v>20130919</v>
      </c>
      <c r="B1765" t="str">
        <f>"111732"</f>
        <v>111732</v>
      </c>
      <c r="C1765" t="str">
        <f>"85109"</f>
        <v>85109</v>
      </c>
      <c r="D1765" t="s">
        <v>980</v>
      </c>
      <c r="E1765">
        <v>71.22</v>
      </c>
      <c r="F1765">
        <v>20130913</v>
      </c>
      <c r="G1765" t="s">
        <v>789</v>
      </c>
      <c r="H1765" t="s">
        <v>365</v>
      </c>
      <c r="I1765" t="s">
        <v>61</v>
      </c>
    </row>
    <row r="1766" spans="1:9" x14ac:dyDescent="0.25">
      <c r="A1766">
        <v>20130919</v>
      </c>
      <c r="B1766" t="str">
        <f>"111733"</f>
        <v>111733</v>
      </c>
      <c r="C1766" t="str">
        <f>"76856"</f>
        <v>76856</v>
      </c>
      <c r="D1766" t="s">
        <v>981</v>
      </c>
      <c r="E1766">
        <v>55.46</v>
      </c>
      <c r="F1766">
        <v>20130913</v>
      </c>
      <c r="G1766" t="s">
        <v>982</v>
      </c>
      <c r="H1766" t="s">
        <v>365</v>
      </c>
      <c r="I1766" t="s">
        <v>21</v>
      </c>
    </row>
    <row r="1767" spans="1:9" x14ac:dyDescent="0.25">
      <c r="A1767">
        <v>20130919</v>
      </c>
      <c r="B1767" t="str">
        <f>"111734"</f>
        <v>111734</v>
      </c>
      <c r="C1767" t="str">
        <f>"86502"</f>
        <v>86502</v>
      </c>
      <c r="D1767" t="s">
        <v>983</v>
      </c>
      <c r="E1767">
        <v>39.97</v>
      </c>
      <c r="F1767">
        <v>20130913</v>
      </c>
      <c r="G1767" t="s">
        <v>789</v>
      </c>
      <c r="H1767" t="s">
        <v>790</v>
      </c>
      <c r="I1767" t="s">
        <v>61</v>
      </c>
    </row>
    <row r="1768" spans="1:9" x14ac:dyDescent="0.25">
      <c r="A1768">
        <v>20130919</v>
      </c>
      <c r="B1768" t="str">
        <f>"111735"</f>
        <v>111735</v>
      </c>
      <c r="C1768" t="str">
        <f>"87493"</f>
        <v>87493</v>
      </c>
      <c r="D1768" t="s">
        <v>984</v>
      </c>
      <c r="E1768">
        <v>600</v>
      </c>
      <c r="F1768">
        <v>20130913</v>
      </c>
      <c r="G1768" t="s">
        <v>347</v>
      </c>
      <c r="H1768" t="s">
        <v>361</v>
      </c>
      <c r="I1768" t="s">
        <v>61</v>
      </c>
    </row>
    <row r="1769" spans="1:9" x14ac:dyDescent="0.25">
      <c r="A1769">
        <v>20130919</v>
      </c>
      <c r="B1769" t="str">
        <f>"111736"</f>
        <v>111736</v>
      </c>
      <c r="C1769" t="str">
        <f>"78385"</f>
        <v>78385</v>
      </c>
      <c r="D1769" t="s">
        <v>985</v>
      </c>
      <c r="E1769">
        <v>57.57</v>
      </c>
      <c r="F1769">
        <v>20130913</v>
      </c>
      <c r="G1769" t="s">
        <v>986</v>
      </c>
      <c r="H1769" t="s">
        <v>365</v>
      </c>
      <c r="I1769" t="s">
        <v>21</v>
      </c>
    </row>
    <row r="1770" spans="1:9" x14ac:dyDescent="0.25">
      <c r="A1770">
        <v>20130919</v>
      </c>
      <c r="B1770" t="str">
        <f>"111737"</f>
        <v>111737</v>
      </c>
      <c r="C1770" t="str">
        <f>"79500"</f>
        <v>79500</v>
      </c>
      <c r="D1770" t="s">
        <v>987</v>
      </c>
      <c r="E1770">
        <v>77.11</v>
      </c>
      <c r="F1770">
        <v>20130913</v>
      </c>
      <c r="G1770" t="s">
        <v>789</v>
      </c>
      <c r="H1770" t="s">
        <v>790</v>
      </c>
      <c r="I1770" t="s">
        <v>61</v>
      </c>
    </row>
    <row r="1771" spans="1:9" x14ac:dyDescent="0.25">
      <c r="A1771">
        <v>20130919</v>
      </c>
      <c r="B1771" t="str">
        <f>"111737"</f>
        <v>111737</v>
      </c>
      <c r="C1771" t="str">
        <f>"79500"</f>
        <v>79500</v>
      </c>
      <c r="D1771" t="s">
        <v>987</v>
      </c>
      <c r="E1771">
        <v>71.48</v>
      </c>
      <c r="F1771">
        <v>20130913</v>
      </c>
      <c r="G1771" t="s">
        <v>181</v>
      </c>
      <c r="H1771" t="s">
        <v>354</v>
      </c>
      <c r="I1771" t="s">
        <v>38</v>
      </c>
    </row>
    <row r="1772" spans="1:9" x14ac:dyDescent="0.25">
      <c r="A1772">
        <v>20130919</v>
      </c>
      <c r="B1772" t="str">
        <f>"111738"</f>
        <v>111738</v>
      </c>
      <c r="C1772" t="str">
        <f>"86521"</f>
        <v>86521</v>
      </c>
      <c r="D1772" t="s">
        <v>988</v>
      </c>
      <c r="E1772">
        <v>122.5</v>
      </c>
      <c r="F1772">
        <v>20130917</v>
      </c>
      <c r="G1772" t="s">
        <v>764</v>
      </c>
      <c r="H1772" t="s">
        <v>765</v>
      </c>
      <c r="I1772" t="s">
        <v>61</v>
      </c>
    </row>
    <row r="1773" spans="1:9" x14ac:dyDescent="0.25">
      <c r="A1773">
        <v>20130919</v>
      </c>
      <c r="B1773" t="str">
        <f>"111739"</f>
        <v>111739</v>
      </c>
      <c r="C1773" t="str">
        <f>"80825"</f>
        <v>80825</v>
      </c>
      <c r="D1773" t="s">
        <v>747</v>
      </c>
      <c r="E1773">
        <v>323.44</v>
      </c>
      <c r="F1773">
        <v>20130916</v>
      </c>
      <c r="G1773" t="s">
        <v>989</v>
      </c>
      <c r="H1773" t="s">
        <v>749</v>
      </c>
      <c r="I1773" t="s">
        <v>61</v>
      </c>
    </row>
    <row r="1774" spans="1:9" x14ac:dyDescent="0.25">
      <c r="A1774">
        <v>20130919</v>
      </c>
      <c r="B1774" t="str">
        <f>"111739"</f>
        <v>111739</v>
      </c>
      <c r="C1774" t="str">
        <f>"80825"</f>
        <v>80825</v>
      </c>
      <c r="D1774" t="s">
        <v>747</v>
      </c>
      <c r="E1774">
        <v>193.48</v>
      </c>
      <c r="F1774">
        <v>20130917</v>
      </c>
      <c r="G1774" t="s">
        <v>989</v>
      </c>
      <c r="H1774" t="s">
        <v>749</v>
      </c>
      <c r="I1774" t="s">
        <v>61</v>
      </c>
    </row>
    <row r="1775" spans="1:9" x14ac:dyDescent="0.25">
      <c r="A1775">
        <v>20130919</v>
      </c>
      <c r="B1775" t="str">
        <f>"111739"</f>
        <v>111739</v>
      </c>
      <c r="C1775" t="str">
        <f>"80825"</f>
        <v>80825</v>
      </c>
      <c r="D1775" t="s">
        <v>747</v>
      </c>
      <c r="E1775">
        <v>582.95000000000005</v>
      </c>
      <c r="F1775">
        <v>20130917</v>
      </c>
      <c r="G1775" t="s">
        <v>990</v>
      </c>
      <c r="H1775" t="s">
        <v>749</v>
      </c>
      <c r="I1775" t="s">
        <v>21</v>
      </c>
    </row>
    <row r="1776" spans="1:9" x14ac:dyDescent="0.25">
      <c r="A1776">
        <v>20130919</v>
      </c>
      <c r="B1776" t="str">
        <f>"111739"</f>
        <v>111739</v>
      </c>
      <c r="C1776" t="str">
        <f>"80825"</f>
        <v>80825</v>
      </c>
      <c r="D1776" t="s">
        <v>747</v>
      </c>
      <c r="E1776">
        <v>582.95000000000005</v>
      </c>
      <c r="F1776">
        <v>20130917</v>
      </c>
      <c r="G1776" t="s">
        <v>990</v>
      </c>
      <c r="H1776" t="s">
        <v>749</v>
      </c>
      <c r="I1776" t="s">
        <v>21</v>
      </c>
    </row>
    <row r="1777" spans="1:9" x14ac:dyDescent="0.25">
      <c r="A1777">
        <v>20130926</v>
      </c>
      <c r="B1777" t="str">
        <f>"111740"</f>
        <v>111740</v>
      </c>
      <c r="C1777" t="str">
        <f>"00474"</f>
        <v>00474</v>
      </c>
      <c r="D1777" t="s">
        <v>991</v>
      </c>
      <c r="E1777">
        <v>385</v>
      </c>
      <c r="F1777">
        <v>20130925</v>
      </c>
      <c r="G1777" t="s">
        <v>843</v>
      </c>
      <c r="H1777" t="s">
        <v>992</v>
      </c>
      <c r="I1777" t="s">
        <v>68</v>
      </c>
    </row>
    <row r="1778" spans="1:9" x14ac:dyDescent="0.25">
      <c r="A1778">
        <v>20130926</v>
      </c>
      <c r="B1778" t="str">
        <f>"111741"</f>
        <v>111741</v>
      </c>
      <c r="C1778" t="str">
        <f>"00954"</f>
        <v>00954</v>
      </c>
      <c r="D1778" t="s">
        <v>445</v>
      </c>
      <c r="E1778">
        <v>97.75</v>
      </c>
      <c r="F1778">
        <v>20130923</v>
      </c>
      <c r="G1778" t="s">
        <v>680</v>
      </c>
      <c r="H1778" t="s">
        <v>993</v>
      </c>
      <c r="I1778" t="s">
        <v>38</v>
      </c>
    </row>
    <row r="1779" spans="1:9" x14ac:dyDescent="0.25">
      <c r="A1779">
        <v>20130926</v>
      </c>
      <c r="B1779" t="str">
        <f>"111742"</f>
        <v>111742</v>
      </c>
      <c r="C1779" t="str">
        <f>"86870"</f>
        <v>86870</v>
      </c>
      <c r="D1779" t="s">
        <v>994</v>
      </c>
      <c r="E1779" s="1">
        <v>3700</v>
      </c>
      <c r="F1779">
        <v>20130925</v>
      </c>
      <c r="G1779" t="s">
        <v>995</v>
      </c>
      <c r="H1779" t="s">
        <v>839</v>
      </c>
      <c r="I1779" t="s">
        <v>61</v>
      </c>
    </row>
    <row r="1780" spans="1:9" x14ac:dyDescent="0.25">
      <c r="A1780">
        <v>20130926</v>
      </c>
      <c r="B1780" t="str">
        <f>"111743"</f>
        <v>111743</v>
      </c>
      <c r="C1780" t="str">
        <f>"87526"</f>
        <v>87526</v>
      </c>
      <c r="D1780" t="s">
        <v>996</v>
      </c>
      <c r="E1780">
        <v>69</v>
      </c>
      <c r="F1780">
        <v>20130924</v>
      </c>
      <c r="G1780" t="s">
        <v>426</v>
      </c>
      <c r="H1780" t="s">
        <v>427</v>
      </c>
      <c r="I1780" t="s">
        <v>21</v>
      </c>
    </row>
    <row r="1781" spans="1:9" x14ac:dyDescent="0.25">
      <c r="A1781">
        <v>20130926</v>
      </c>
      <c r="B1781" t="str">
        <f>"111744"</f>
        <v>111744</v>
      </c>
      <c r="C1781" t="str">
        <f>"52460"</f>
        <v>52460</v>
      </c>
      <c r="D1781" t="s">
        <v>452</v>
      </c>
      <c r="E1781">
        <v>29.56</v>
      </c>
      <c r="F1781">
        <v>20130923</v>
      </c>
      <c r="G1781" t="s">
        <v>145</v>
      </c>
      <c r="H1781" t="s">
        <v>997</v>
      </c>
      <c r="I1781" t="s">
        <v>38</v>
      </c>
    </row>
    <row r="1782" spans="1:9" x14ac:dyDescent="0.25">
      <c r="A1782">
        <v>20130926</v>
      </c>
      <c r="B1782" t="str">
        <f>"111745"</f>
        <v>111745</v>
      </c>
      <c r="C1782" t="str">
        <f>"87466"</f>
        <v>87466</v>
      </c>
      <c r="D1782" t="s">
        <v>468</v>
      </c>
      <c r="E1782">
        <v>250</v>
      </c>
      <c r="F1782">
        <v>20130924</v>
      </c>
      <c r="G1782" t="s">
        <v>469</v>
      </c>
      <c r="H1782" t="s">
        <v>470</v>
      </c>
      <c r="I1782" t="s">
        <v>21</v>
      </c>
    </row>
    <row r="1783" spans="1:9" x14ac:dyDescent="0.25">
      <c r="A1783">
        <v>20130926</v>
      </c>
      <c r="B1783" t="str">
        <f>"111746"</f>
        <v>111746</v>
      </c>
      <c r="C1783" t="str">
        <f>"05800"</f>
        <v>05800</v>
      </c>
      <c r="D1783" t="s">
        <v>998</v>
      </c>
      <c r="E1783">
        <v>799</v>
      </c>
      <c r="F1783">
        <v>20130925</v>
      </c>
      <c r="G1783" t="s">
        <v>574</v>
      </c>
      <c r="H1783" t="s">
        <v>999</v>
      </c>
      <c r="I1783" t="s">
        <v>21</v>
      </c>
    </row>
    <row r="1784" spans="1:9" x14ac:dyDescent="0.25">
      <c r="A1784">
        <v>20130926</v>
      </c>
      <c r="B1784" t="str">
        <f>"111747"</f>
        <v>111747</v>
      </c>
      <c r="C1784" t="str">
        <f>"87509"</f>
        <v>87509</v>
      </c>
      <c r="D1784" t="s">
        <v>1000</v>
      </c>
      <c r="E1784">
        <v>304</v>
      </c>
      <c r="F1784">
        <v>20130925</v>
      </c>
      <c r="G1784" t="s">
        <v>935</v>
      </c>
      <c r="H1784" t="s">
        <v>1001</v>
      </c>
      <c r="I1784" t="s">
        <v>21</v>
      </c>
    </row>
    <row r="1785" spans="1:9" x14ac:dyDescent="0.25">
      <c r="A1785">
        <v>20130926</v>
      </c>
      <c r="B1785" t="str">
        <f>"111748"</f>
        <v>111748</v>
      </c>
      <c r="C1785" t="str">
        <f>"86164"</f>
        <v>86164</v>
      </c>
      <c r="D1785" t="s">
        <v>1002</v>
      </c>
      <c r="E1785">
        <v>98.31</v>
      </c>
      <c r="F1785">
        <v>20130923</v>
      </c>
      <c r="G1785" t="s">
        <v>1003</v>
      </c>
      <c r="H1785" t="s">
        <v>1004</v>
      </c>
      <c r="I1785" t="s">
        <v>61</v>
      </c>
    </row>
    <row r="1786" spans="1:9" x14ac:dyDescent="0.25">
      <c r="A1786">
        <v>20130926</v>
      </c>
      <c r="B1786" t="str">
        <f>"111749"</f>
        <v>111749</v>
      </c>
      <c r="C1786" t="str">
        <f>"00130"</f>
        <v>00130</v>
      </c>
      <c r="D1786" t="s">
        <v>1005</v>
      </c>
      <c r="E1786">
        <v>200</v>
      </c>
      <c r="F1786">
        <v>20130925</v>
      </c>
      <c r="G1786" t="s">
        <v>347</v>
      </c>
      <c r="H1786" t="s">
        <v>361</v>
      </c>
      <c r="I1786" t="s">
        <v>61</v>
      </c>
    </row>
    <row r="1787" spans="1:9" x14ac:dyDescent="0.25">
      <c r="A1787">
        <v>20130926</v>
      </c>
      <c r="B1787" t="str">
        <f>"111750"</f>
        <v>111750</v>
      </c>
      <c r="C1787" t="str">
        <f>"00213"</f>
        <v>00213</v>
      </c>
      <c r="D1787" t="s">
        <v>1006</v>
      </c>
      <c r="E1787" s="1">
        <v>1562.7</v>
      </c>
      <c r="F1787">
        <v>20130925</v>
      </c>
      <c r="G1787" t="s">
        <v>506</v>
      </c>
      <c r="H1787" t="s">
        <v>1007</v>
      </c>
      <c r="I1787" t="s">
        <v>21</v>
      </c>
    </row>
    <row r="1788" spans="1:9" x14ac:dyDescent="0.25">
      <c r="A1788">
        <v>20130926</v>
      </c>
      <c r="B1788" t="str">
        <f>"111751"</f>
        <v>111751</v>
      </c>
      <c r="C1788" t="str">
        <f>"83193"</f>
        <v>83193</v>
      </c>
      <c r="D1788" t="s">
        <v>1008</v>
      </c>
      <c r="E1788">
        <v>425</v>
      </c>
      <c r="F1788">
        <v>20130925</v>
      </c>
      <c r="G1788" t="s">
        <v>636</v>
      </c>
      <c r="H1788" t="s">
        <v>1009</v>
      </c>
      <c r="I1788" t="s">
        <v>21</v>
      </c>
    </row>
    <row r="1789" spans="1:9" x14ac:dyDescent="0.25">
      <c r="A1789">
        <v>20130926</v>
      </c>
      <c r="B1789" t="str">
        <f>"111752"</f>
        <v>111752</v>
      </c>
      <c r="C1789" t="str">
        <f>"86528"</f>
        <v>86528</v>
      </c>
      <c r="D1789" t="s">
        <v>785</v>
      </c>
      <c r="E1789">
        <v>102.88</v>
      </c>
      <c r="F1789">
        <v>20130920</v>
      </c>
      <c r="G1789" t="s">
        <v>774</v>
      </c>
      <c r="H1789" t="s">
        <v>765</v>
      </c>
      <c r="I1789" t="s">
        <v>61</v>
      </c>
    </row>
    <row r="1790" spans="1:9" x14ac:dyDescent="0.25">
      <c r="A1790">
        <v>20130926</v>
      </c>
      <c r="B1790" t="str">
        <f>"111752"</f>
        <v>111752</v>
      </c>
      <c r="C1790" t="str">
        <f>"86528"</f>
        <v>86528</v>
      </c>
      <c r="D1790" t="s">
        <v>785</v>
      </c>
      <c r="E1790">
        <v>70.34</v>
      </c>
      <c r="F1790">
        <v>20130923</v>
      </c>
      <c r="G1790" t="s">
        <v>1003</v>
      </c>
      <c r="H1790" t="s">
        <v>765</v>
      </c>
      <c r="I1790" t="s">
        <v>61</v>
      </c>
    </row>
    <row r="1791" spans="1:9" x14ac:dyDescent="0.25">
      <c r="A1791">
        <v>20130926</v>
      </c>
      <c r="B1791" t="str">
        <f>"111753"</f>
        <v>111753</v>
      </c>
      <c r="C1791" t="str">
        <f>"87228"</f>
        <v>87228</v>
      </c>
      <c r="D1791" t="s">
        <v>792</v>
      </c>
      <c r="E1791">
        <v>169.89</v>
      </c>
      <c r="F1791">
        <v>20130925</v>
      </c>
      <c r="G1791" t="s">
        <v>1010</v>
      </c>
      <c r="H1791" t="s">
        <v>354</v>
      </c>
      <c r="I1791" t="s">
        <v>21</v>
      </c>
    </row>
    <row r="1792" spans="1:9" x14ac:dyDescent="0.25">
      <c r="A1792">
        <v>20130926</v>
      </c>
      <c r="B1792" t="str">
        <f>"111754"</f>
        <v>111754</v>
      </c>
      <c r="C1792" t="str">
        <f>"87516"</f>
        <v>87516</v>
      </c>
      <c r="D1792" t="s">
        <v>1011</v>
      </c>
      <c r="E1792">
        <v>97.38</v>
      </c>
      <c r="F1792">
        <v>20130920</v>
      </c>
      <c r="G1792" t="s">
        <v>774</v>
      </c>
      <c r="H1792" t="s">
        <v>765</v>
      </c>
      <c r="I1792" t="s">
        <v>61</v>
      </c>
    </row>
    <row r="1793" spans="1:9" x14ac:dyDescent="0.25">
      <c r="A1793">
        <v>20130926</v>
      </c>
      <c r="B1793" t="str">
        <f>"111755"</f>
        <v>111755</v>
      </c>
      <c r="C1793" t="str">
        <f>"15897"</f>
        <v>15897</v>
      </c>
      <c r="D1793" t="s">
        <v>1012</v>
      </c>
      <c r="E1793" s="1">
        <v>5077.88</v>
      </c>
      <c r="F1793">
        <v>20130923</v>
      </c>
      <c r="G1793" t="s">
        <v>1013</v>
      </c>
      <c r="H1793" t="s">
        <v>354</v>
      </c>
      <c r="I1793" t="s">
        <v>38</v>
      </c>
    </row>
    <row r="1794" spans="1:9" x14ac:dyDescent="0.25">
      <c r="A1794">
        <v>20130926</v>
      </c>
      <c r="B1794" t="str">
        <f>"111756"</f>
        <v>111756</v>
      </c>
      <c r="C1794" t="str">
        <f>"81296"</f>
        <v>81296</v>
      </c>
      <c r="D1794" t="s">
        <v>1014</v>
      </c>
      <c r="E1794">
        <v>995</v>
      </c>
      <c r="F1794">
        <v>20130925</v>
      </c>
      <c r="G1794" t="s">
        <v>828</v>
      </c>
      <c r="H1794" t="s">
        <v>1015</v>
      </c>
      <c r="I1794" t="s">
        <v>21</v>
      </c>
    </row>
    <row r="1795" spans="1:9" x14ac:dyDescent="0.25">
      <c r="A1795">
        <v>20130926</v>
      </c>
      <c r="B1795" t="str">
        <f t="shared" ref="B1795:B1826" si="141">"111757"</f>
        <v>111757</v>
      </c>
      <c r="C1795" t="str">
        <f t="shared" ref="C1795:C1826" si="142">"83878"</f>
        <v>83878</v>
      </c>
      <c r="D1795" t="s">
        <v>1016</v>
      </c>
      <c r="E1795" s="1">
        <v>1185.1500000000001</v>
      </c>
      <c r="F1795">
        <v>20130925</v>
      </c>
      <c r="G1795" t="s">
        <v>1017</v>
      </c>
      <c r="H1795" t="s">
        <v>1018</v>
      </c>
      <c r="I1795" t="s">
        <v>63</v>
      </c>
    </row>
    <row r="1796" spans="1:9" x14ac:dyDescent="0.25">
      <c r="A1796">
        <v>20130926</v>
      </c>
      <c r="B1796" t="str">
        <f t="shared" si="141"/>
        <v>111757</v>
      </c>
      <c r="C1796" t="str">
        <f t="shared" si="142"/>
        <v>83878</v>
      </c>
      <c r="D1796" t="s">
        <v>1016</v>
      </c>
      <c r="E1796">
        <v>98.86</v>
      </c>
      <c r="F1796">
        <v>20130925</v>
      </c>
      <c r="G1796" t="s">
        <v>1019</v>
      </c>
      <c r="H1796" t="s">
        <v>1018</v>
      </c>
      <c r="I1796" t="s">
        <v>131</v>
      </c>
    </row>
    <row r="1797" spans="1:9" x14ac:dyDescent="0.25">
      <c r="A1797">
        <v>20130926</v>
      </c>
      <c r="B1797" t="str">
        <f t="shared" si="141"/>
        <v>111757</v>
      </c>
      <c r="C1797" t="str">
        <f t="shared" si="142"/>
        <v>83878</v>
      </c>
      <c r="D1797" t="s">
        <v>1016</v>
      </c>
      <c r="E1797">
        <v>79.260000000000005</v>
      </c>
      <c r="F1797">
        <v>20130925</v>
      </c>
      <c r="G1797" t="s">
        <v>870</v>
      </c>
      <c r="H1797" t="s">
        <v>1018</v>
      </c>
      <c r="I1797" t="s">
        <v>21</v>
      </c>
    </row>
    <row r="1798" spans="1:9" x14ac:dyDescent="0.25">
      <c r="A1798">
        <v>20130926</v>
      </c>
      <c r="B1798" t="str">
        <f t="shared" si="141"/>
        <v>111757</v>
      </c>
      <c r="C1798" t="str">
        <f t="shared" si="142"/>
        <v>83878</v>
      </c>
      <c r="D1798" t="s">
        <v>1016</v>
      </c>
      <c r="E1798">
        <v>486.2</v>
      </c>
      <c r="F1798">
        <v>20130925</v>
      </c>
      <c r="G1798" t="s">
        <v>579</v>
      </c>
      <c r="H1798" t="s">
        <v>1018</v>
      </c>
      <c r="I1798" t="s">
        <v>21</v>
      </c>
    </row>
    <row r="1799" spans="1:9" x14ac:dyDescent="0.25">
      <c r="A1799">
        <v>20130926</v>
      </c>
      <c r="B1799" t="str">
        <f t="shared" si="141"/>
        <v>111757</v>
      </c>
      <c r="C1799" t="str">
        <f t="shared" si="142"/>
        <v>83878</v>
      </c>
      <c r="D1799" t="s">
        <v>1016</v>
      </c>
      <c r="E1799">
        <v>95.94</v>
      </c>
      <c r="F1799">
        <v>20130925</v>
      </c>
      <c r="G1799" t="s">
        <v>1020</v>
      </c>
      <c r="H1799" t="s">
        <v>1021</v>
      </c>
      <c r="I1799" t="s">
        <v>21</v>
      </c>
    </row>
    <row r="1800" spans="1:9" x14ac:dyDescent="0.25">
      <c r="A1800">
        <v>20130926</v>
      </c>
      <c r="B1800" t="str">
        <f t="shared" si="141"/>
        <v>111757</v>
      </c>
      <c r="C1800" t="str">
        <f t="shared" si="142"/>
        <v>83878</v>
      </c>
      <c r="D1800" t="s">
        <v>1016</v>
      </c>
      <c r="E1800">
        <v>152.87</v>
      </c>
      <c r="F1800">
        <v>20130925</v>
      </c>
      <c r="G1800" t="s">
        <v>1020</v>
      </c>
      <c r="H1800" t="s">
        <v>1022</v>
      </c>
      <c r="I1800" t="s">
        <v>21</v>
      </c>
    </row>
    <row r="1801" spans="1:9" x14ac:dyDescent="0.25">
      <c r="A1801">
        <v>20130926</v>
      </c>
      <c r="B1801" t="str">
        <f t="shared" si="141"/>
        <v>111757</v>
      </c>
      <c r="C1801" t="str">
        <f t="shared" si="142"/>
        <v>83878</v>
      </c>
      <c r="D1801" t="s">
        <v>1016</v>
      </c>
      <c r="E1801">
        <v>236</v>
      </c>
      <c r="F1801">
        <v>20130925</v>
      </c>
      <c r="G1801" t="s">
        <v>128</v>
      </c>
      <c r="H1801" t="s">
        <v>1018</v>
      </c>
      <c r="I1801" t="s">
        <v>21</v>
      </c>
    </row>
    <row r="1802" spans="1:9" x14ac:dyDescent="0.25">
      <c r="A1802">
        <v>20130926</v>
      </c>
      <c r="B1802" t="str">
        <f t="shared" si="141"/>
        <v>111757</v>
      </c>
      <c r="C1802" t="str">
        <f t="shared" si="142"/>
        <v>83878</v>
      </c>
      <c r="D1802" t="s">
        <v>1016</v>
      </c>
      <c r="E1802">
        <v>399.6</v>
      </c>
      <c r="F1802">
        <v>20130925</v>
      </c>
      <c r="G1802" t="s">
        <v>1023</v>
      </c>
      <c r="H1802" t="s">
        <v>1018</v>
      </c>
      <c r="I1802" t="s">
        <v>21</v>
      </c>
    </row>
    <row r="1803" spans="1:9" x14ac:dyDescent="0.25">
      <c r="A1803">
        <v>20130926</v>
      </c>
      <c r="B1803" t="str">
        <f t="shared" si="141"/>
        <v>111757</v>
      </c>
      <c r="C1803" t="str">
        <f t="shared" si="142"/>
        <v>83878</v>
      </c>
      <c r="D1803" t="s">
        <v>1016</v>
      </c>
      <c r="E1803">
        <v>43.86</v>
      </c>
      <c r="F1803">
        <v>20130925</v>
      </c>
      <c r="G1803" t="s">
        <v>834</v>
      </c>
      <c r="H1803" t="s">
        <v>1018</v>
      </c>
      <c r="I1803" t="s">
        <v>21</v>
      </c>
    </row>
    <row r="1804" spans="1:9" x14ac:dyDescent="0.25">
      <c r="A1804">
        <v>20130926</v>
      </c>
      <c r="B1804" t="str">
        <f t="shared" si="141"/>
        <v>111757</v>
      </c>
      <c r="C1804" t="str">
        <f t="shared" si="142"/>
        <v>83878</v>
      </c>
      <c r="D1804" t="s">
        <v>1016</v>
      </c>
      <c r="E1804">
        <v>257</v>
      </c>
      <c r="F1804">
        <v>20130925</v>
      </c>
      <c r="G1804" t="s">
        <v>808</v>
      </c>
      <c r="H1804" t="s">
        <v>1018</v>
      </c>
      <c r="I1804" t="s">
        <v>21</v>
      </c>
    </row>
    <row r="1805" spans="1:9" x14ac:dyDescent="0.25">
      <c r="A1805">
        <v>20130926</v>
      </c>
      <c r="B1805" t="str">
        <f t="shared" si="141"/>
        <v>111757</v>
      </c>
      <c r="C1805" t="str">
        <f t="shared" si="142"/>
        <v>83878</v>
      </c>
      <c r="D1805" t="s">
        <v>1016</v>
      </c>
      <c r="E1805">
        <v>260.7</v>
      </c>
      <c r="F1805">
        <v>20130925</v>
      </c>
      <c r="G1805" t="s">
        <v>584</v>
      </c>
      <c r="H1805" t="s">
        <v>1018</v>
      </c>
      <c r="I1805" t="s">
        <v>21</v>
      </c>
    </row>
    <row r="1806" spans="1:9" x14ac:dyDescent="0.25">
      <c r="A1806">
        <v>20130926</v>
      </c>
      <c r="B1806" t="str">
        <f t="shared" si="141"/>
        <v>111757</v>
      </c>
      <c r="C1806" t="str">
        <f t="shared" si="142"/>
        <v>83878</v>
      </c>
      <c r="D1806" t="s">
        <v>1016</v>
      </c>
      <c r="E1806">
        <v>28.12</v>
      </c>
      <c r="F1806">
        <v>20130925</v>
      </c>
      <c r="G1806" t="s">
        <v>503</v>
      </c>
      <c r="H1806" t="s">
        <v>1018</v>
      </c>
      <c r="I1806" t="s">
        <v>21</v>
      </c>
    </row>
    <row r="1807" spans="1:9" x14ac:dyDescent="0.25">
      <c r="A1807">
        <v>20130926</v>
      </c>
      <c r="B1807" t="str">
        <f t="shared" si="141"/>
        <v>111757</v>
      </c>
      <c r="C1807" t="str">
        <f t="shared" si="142"/>
        <v>83878</v>
      </c>
      <c r="D1807" t="s">
        <v>1016</v>
      </c>
      <c r="E1807">
        <v>74.25</v>
      </c>
      <c r="F1807">
        <v>20130925</v>
      </c>
      <c r="G1807" t="s">
        <v>1024</v>
      </c>
      <c r="H1807" t="s">
        <v>1018</v>
      </c>
      <c r="I1807" t="s">
        <v>21</v>
      </c>
    </row>
    <row r="1808" spans="1:9" x14ac:dyDescent="0.25">
      <c r="A1808">
        <v>20130926</v>
      </c>
      <c r="B1808" t="str">
        <f t="shared" si="141"/>
        <v>111757</v>
      </c>
      <c r="C1808" t="str">
        <f t="shared" si="142"/>
        <v>83878</v>
      </c>
      <c r="D1808" t="s">
        <v>1016</v>
      </c>
      <c r="E1808">
        <v>617.05999999999995</v>
      </c>
      <c r="F1808">
        <v>20130925</v>
      </c>
      <c r="G1808" t="s">
        <v>496</v>
      </c>
      <c r="H1808" t="s">
        <v>1018</v>
      </c>
      <c r="I1808" t="s">
        <v>21</v>
      </c>
    </row>
    <row r="1809" spans="1:9" x14ac:dyDescent="0.25">
      <c r="A1809">
        <v>20130926</v>
      </c>
      <c r="B1809" t="str">
        <f t="shared" si="141"/>
        <v>111757</v>
      </c>
      <c r="C1809" t="str">
        <f t="shared" si="142"/>
        <v>83878</v>
      </c>
      <c r="D1809" t="s">
        <v>1016</v>
      </c>
      <c r="E1809">
        <v>253.24</v>
      </c>
      <c r="F1809">
        <v>20130925</v>
      </c>
      <c r="G1809" t="s">
        <v>1025</v>
      </c>
      <c r="H1809" t="s">
        <v>1018</v>
      </c>
      <c r="I1809" t="s">
        <v>21</v>
      </c>
    </row>
    <row r="1810" spans="1:9" x14ac:dyDescent="0.25">
      <c r="A1810">
        <v>20130926</v>
      </c>
      <c r="B1810" t="str">
        <f t="shared" si="141"/>
        <v>111757</v>
      </c>
      <c r="C1810" t="str">
        <f t="shared" si="142"/>
        <v>83878</v>
      </c>
      <c r="D1810" t="s">
        <v>1016</v>
      </c>
      <c r="E1810">
        <v>962.32</v>
      </c>
      <c r="F1810">
        <v>20130925</v>
      </c>
      <c r="G1810" t="s">
        <v>585</v>
      </c>
      <c r="H1810" t="s">
        <v>1018</v>
      </c>
      <c r="I1810" t="s">
        <v>21</v>
      </c>
    </row>
    <row r="1811" spans="1:9" x14ac:dyDescent="0.25">
      <c r="A1811">
        <v>20130926</v>
      </c>
      <c r="B1811" t="str">
        <f t="shared" si="141"/>
        <v>111757</v>
      </c>
      <c r="C1811" t="str">
        <f t="shared" si="142"/>
        <v>83878</v>
      </c>
      <c r="D1811" t="s">
        <v>1016</v>
      </c>
      <c r="E1811">
        <v>301.77</v>
      </c>
      <c r="F1811">
        <v>20130925</v>
      </c>
      <c r="G1811" t="s">
        <v>837</v>
      </c>
      <c r="H1811" t="s">
        <v>1018</v>
      </c>
      <c r="I1811" t="s">
        <v>21</v>
      </c>
    </row>
    <row r="1812" spans="1:9" x14ac:dyDescent="0.25">
      <c r="A1812">
        <v>20130926</v>
      </c>
      <c r="B1812" t="str">
        <f t="shared" si="141"/>
        <v>111757</v>
      </c>
      <c r="C1812" t="str">
        <f t="shared" si="142"/>
        <v>83878</v>
      </c>
      <c r="D1812" t="s">
        <v>1016</v>
      </c>
      <c r="E1812">
        <v>95.23</v>
      </c>
      <c r="F1812">
        <v>20130925</v>
      </c>
      <c r="G1812" t="s">
        <v>1026</v>
      </c>
      <c r="H1812" t="s">
        <v>1018</v>
      </c>
      <c r="I1812" t="s">
        <v>21</v>
      </c>
    </row>
    <row r="1813" spans="1:9" x14ac:dyDescent="0.25">
      <c r="A1813">
        <v>20130926</v>
      </c>
      <c r="B1813" t="str">
        <f t="shared" si="141"/>
        <v>111757</v>
      </c>
      <c r="C1813" t="str">
        <f t="shared" si="142"/>
        <v>83878</v>
      </c>
      <c r="D1813" t="s">
        <v>1016</v>
      </c>
      <c r="E1813">
        <v>153</v>
      </c>
      <c r="F1813">
        <v>20130925</v>
      </c>
      <c r="G1813" t="s">
        <v>367</v>
      </c>
      <c r="H1813" t="s">
        <v>1018</v>
      </c>
      <c r="I1813" t="s">
        <v>21</v>
      </c>
    </row>
    <row r="1814" spans="1:9" x14ac:dyDescent="0.25">
      <c r="A1814">
        <v>20130926</v>
      </c>
      <c r="B1814" t="str">
        <f t="shared" si="141"/>
        <v>111757</v>
      </c>
      <c r="C1814" t="str">
        <f t="shared" si="142"/>
        <v>83878</v>
      </c>
      <c r="D1814" t="s">
        <v>1016</v>
      </c>
      <c r="E1814">
        <v>260.32</v>
      </c>
      <c r="F1814">
        <v>20130925</v>
      </c>
      <c r="G1814" t="s">
        <v>413</v>
      </c>
      <c r="H1814" t="s">
        <v>1018</v>
      </c>
      <c r="I1814" t="s">
        <v>21</v>
      </c>
    </row>
    <row r="1815" spans="1:9" x14ac:dyDescent="0.25">
      <c r="A1815">
        <v>20130926</v>
      </c>
      <c r="B1815" t="str">
        <f t="shared" si="141"/>
        <v>111757</v>
      </c>
      <c r="C1815" t="str">
        <f t="shared" si="142"/>
        <v>83878</v>
      </c>
      <c r="D1815" t="s">
        <v>1016</v>
      </c>
      <c r="E1815" s="1">
        <v>1427.41</v>
      </c>
      <c r="F1815">
        <v>20130925</v>
      </c>
      <c r="G1815" t="s">
        <v>392</v>
      </c>
      <c r="H1815" t="s">
        <v>1018</v>
      </c>
      <c r="I1815" t="s">
        <v>21</v>
      </c>
    </row>
    <row r="1816" spans="1:9" x14ac:dyDescent="0.25">
      <c r="A1816">
        <v>20130926</v>
      </c>
      <c r="B1816" t="str">
        <f t="shared" si="141"/>
        <v>111757</v>
      </c>
      <c r="C1816" t="str">
        <f t="shared" si="142"/>
        <v>83878</v>
      </c>
      <c r="D1816" t="s">
        <v>1016</v>
      </c>
      <c r="E1816">
        <v>179.4</v>
      </c>
      <c r="F1816">
        <v>20130925</v>
      </c>
      <c r="G1816" t="s">
        <v>1027</v>
      </c>
      <c r="H1816" t="s">
        <v>1018</v>
      </c>
      <c r="I1816" t="s">
        <v>21</v>
      </c>
    </row>
    <row r="1817" spans="1:9" x14ac:dyDescent="0.25">
      <c r="A1817">
        <v>20130926</v>
      </c>
      <c r="B1817" t="str">
        <f t="shared" si="141"/>
        <v>111757</v>
      </c>
      <c r="C1817" t="str">
        <f t="shared" si="142"/>
        <v>83878</v>
      </c>
      <c r="D1817" t="s">
        <v>1016</v>
      </c>
      <c r="E1817">
        <v>343.29</v>
      </c>
      <c r="F1817">
        <v>20130925</v>
      </c>
      <c r="G1817" t="s">
        <v>840</v>
      </c>
      <c r="H1817" t="s">
        <v>1018</v>
      </c>
      <c r="I1817" t="s">
        <v>21</v>
      </c>
    </row>
    <row r="1818" spans="1:9" x14ac:dyDescent="0.25">
      <c r="A1818">
        <v>20130926</v>
      </c>
      <c r="B1818" t="str">
        <f t="shared" si="141"/>
        <v>111757</v>
      </c>
      <c r="C1818" t="str">
        <f t="shared" si="142"/>
        <v>83878</v>
      </c>
      <c r="D1818" t="s">
        <v>1016</v>
      </c>
      <c r="E1818">
        <v>77.87</v>
      </c>
      <c r="F1818">
        <v>20130925</v>
      </c>
      <c r="G1818" t="s">
        <v>842</v>
      </c>
      <c r="H1818" t="s">
        <v>1018</v>
      </c>
      <c r="I1818" t="s">
        <v>66</v>
      </c>
    </row>
    <row r="1819" spans="1:9" x14ac:dyDescent="0.25">
      <c r="A1819">
        <v>20130926</v>
      </c>
      <c r="B1819" t="str">
        <f t="shared" si="141"/>
        <v>111757</v>
      </c>
      <c r="C1819" t="str">
        <f t="shared" si="142"/>
        <v>83878</v>
      </c>
      <c r="D1819" t="s">
        <v>1016</v>
      </c>
      <c r="E1819">
        <v>375</v>
      </c>
      <c r="F1819">
        <v>20130925</v>
      </c>
      <c r="G1819" t="s">
        <v>810</v>
      </c>
      <c r="H1819" t="s">
        <v>1018</v>
      </c>
      <c r="I1819" t="s">
        <v>66</v>
      </c>
    </row>
    <row r="1820" spans="1:9" x14ac:dyDescent="0.25">
      <c r="A1820">
        <v>20130926</v>
      </c>
      <c r="B1820" t="str">
        <f t="shared" si="141"/>
        <v>111757</v>
      </c>
      <c r="C1820" t="str">
        <f t="shared" si="142"/>
        <v>83878</v>
      </c>
      <c r="D1820" t="s">
        <v>1016</v>
      </c>
      <c r="E1820">
        <v>114.96</v>
      </c>
      <c r="F1820">
        <v>20130925</v>
      </c>
      <c r="G1820" t="s">
        <v>845</v>
      </c>
      <c r="H1820" t="s">
        <v>1018</v>
      </c>
      <c r="I1820" t="s">
        <v>73</v>
      </c>
    </row>
    <row r="1821" spans="1:9" x14ac:dyDescent="0.25">
      <c r="A1821">
        <v>20130926</v>
      </c>
      <c r="B1821" t="str">
        <f t="shared" si="141"/>
        <v>111757</v>
      </c>
      <c r="C1821" t="str">
        <f t="shared" si="142"/>
        <v>83878</v>
      </c>
      <c r="D1821" t="s">
        <v>1016</v>
      </c>
      <c r="E1821">
        <v>487.58</v>
      </c>
      <c r="F1821">
        <v>20130925</v>
      </c>
      <c r="G1821" t="s">
        <v>145</v>
      </c>
      <c r="H1821" t="s">
        <v>1018</v>
      </c>
      <c r="I1821" t="s">
        <v>38</v>
      </c>
    </row>
    <row r="1822" spans="1:9" x14ac:dyDescent="0.25">
      <c r="A1822">
        <v>20130926</v>
      </c>
      <c r="B1822" t="str">
        <f t="shared" si="141"/>
        <v>111757</v>
      </c>
      <c r="C1822" t="str">
        <f t="shared" si="142"/>
        <v>83878</v>
      </c>
      <c r="D1822" t="s">
        <v>1016</v>
      </c>
      <c r="E1822">
        <v>903.48</v>
      </c>
      <c r="F1822">
        <v>20130925</v>
      </c>
      <c r="G1822" t="s">
        <v>181</v>
      </c>
      <c r="H1822" t="s">
        <v>1018</v>
      </c>
      <c r="I1822" t="s">
        <v>38</v>
      </c>
    </row>
    <row r="1823" spans="1:9" x14ac:dyDescent="0.25">
      <c r="A1823">
        <v>20130926</v>
      </c>
      <c r="B1823" t="str">
        <f t="shared" si="141"/>
        <v>111757</v>
      </c>
      <c r="C1823" t="str">
        <f t="shared" si="142"/>
        <v>83878</v>
      </c>
      <c r="D1823" t="s">
        <v>1016</v>
      </c>
      <c r="E1823">
        <v>132.05000000000001</v>
      </c>
      <c r="F1823">
        <v>20130925</v>
      </c>
      <c r="G1823" t="s">
        <v>119</v>
      </c>
      <c r="H1823" t="s">
        <v>1018</v>
      </c>
      <c r="I1823" t="s">
        <v>38</v>
      </c>
    </row>
    <row r="1824" spans="1:9" x14ac:dyDescent="0.25">
      <c r="A1824">
        <v>20130926</v>
      </c>
      <c r="B1824" t="str">
        <f t="shared" si="141"/>
        <v>111757</v>
      </c>
      <c r="C1824" t="str">
        <f t="shared" si="142"/>
        <v>83878</v>
      </c>
      <c r="D1824" t="s">
        <v>1016</v>
      </c>
      <c r="E1824">
        <v>235.07</v>
      </c>
      <c r="F1824">
        <v>20130925</v>
      </c>
      <c r="G1824" t="s">
        <v>39</v>
      </c>
      <c r="H1824" t="s">
        <v>1018</v>
      </c>
      <c r="I1824" t="s">
        <v>38</v>
      </c>
    </row>
    <row r="1825" spans="1:9" x14ac:dyDescent="0.25">
      <c r="A1825">
        <v>20130926</v>
      </c>
      <c r="B1825" t="str">
        <f t="shared" si="141"/>
        <v>111757</v>
      </c>
      <c r="C1825" t="str">
        <f t="shared" si="142"/>
        <v>83878</v>
      </c>
      <c r="D1825" t="s">
        <v>1016</v>
      </c>
      <c r="E1825">
        <v>850.11</v>
      </c>
      <c r="F1825">
        <v>20130925</v>
      </c>
      <c r="G1825" t="s">
        <v>1028</v>
      </c>
      <c r="H1825" t="s">
        <v>1018</v>
      </c>
      <c r="I1825" t="s">
        <v>38</v>
      </c>
    </row>
    <row r="1826" spans="1:9" x14ac:dyDescent="0.25">
      <c r="A1826">
        <v>20130926</v>
      </c>
      <c r="B1826" t="str">
        <f t="shared" si="141"/>
        <v>111757</v>
      </c>
      <c r="C1826" t="str">
        <f t="shared" si="142"/>
        <v>83878</v>
      </c>
      <c r="D1826" t="s">
        <v>1016</v>
      </c>
      <c r="E1826">
        <v>376.19</v>
      </c>
      <c r="F1826">
        <v>20130925</v>
      </c>
      <c r="G1826" t="s">
        <v>189</v>
      </c>
      <c r="H1826" t="s">
        <v>1018</v>
      </c>
      <c r="I1826" t="s">
        <v>25</v>
      </c>
    </row>
    <row r="1827" spans="1:9" x14ac:dyDescent="0.25">
      <c r="A1827">
        <v>20130926</v>
      </c>
      <c r="B1827" t="str">
        <f>"111758"</f>
        <v>111758</v>
      </c>
      <c r="C1827" t="str">
        <f>"16500"</f>
        <v>16500</v>
      </c>
      <c r="D1827" t="s">
        <v>798</v>
      </c>
      <c r="E1827">
        <v>57</v>
      </c>
      <c r="F1827">
        <v>20130923</v>
      </c>
      <c r="G1827" t="s">
        <v>145</v>
      </c>
      <c r="H1827" t="s">
        <v>1029</v>
      </c>
      <c r="I1827" t="s">
        <v>38</v>
      </c>
    </row>
    <row r="1828" spans="1:9" x14ac:dyDescent="0.25">
      <c r="A1828">
        <v>20130926</v>
      </c>
      <c r="B1828" t="str">
        <f>"111759"</f>
        <v>111759</v>
      </c>
      <c r="C1828" t="str">
        <f>"18025"</f>
        <v>18025</v>
      </c>
      <c r="D1828" t="s">
        <v>514</v>
      </c>
      <c r="E1828">
        <v>130</v>
      </c>
      <c r="F1828">
        <v>20130920</v>
      </c>
      <c r="G1828" t="s">
        <v>1030</v>
      </c>
      <c r="H1828" t="s">
        <v>1031</v>
      </c>
      <c r="I1828" t="s">
        <v>63</v>
      </c>
    </row>
    <row r="1829" spans="1:9" x14ac:dyDescent="0.25">
      <c r="A1829">
        <v>20130926</v>
      </c>
      <c r="B1829" t="str">
        <f>"111760"</f>
        <v>111760</v>
      </c>
      <c r="C1829" t="str">
        <f>"85158"</f>
        <v>85158</v>
      </c>
      <c r="D1829" t="s">
        <v>1032</v>
      </c>
      <c r="E1829">
        <v>57.57</v>
      </c>
      <c r="F1829">
        <v>20130920</v>
      </c>
      <c r="G1829" t="s">
        <v>1033</v>
      </c>
      <c r="H1829" t="s">
        <v>365</v>
      </c>
      <c r="I1829" t="s">
        <v>21</v>
      </c>
    </row>
    <row r="1830" spans="1:9" x14ac:dyDescent="0.25">
      <c r="A1830">
        <v>20130926</v>
      </c>
      <c r="B1830" t="str">
        <f>"111761"</f>
        <v>111761</v>
      </c>
      <c r="C1830" t="str">
        <f>"19800"</f>
        <v>19800</v>
      </c>
      <c r="D1830" t="s">
        <v>1034</v>
      </c>
      <c r="E1830">
        <v>52.8</v>
      </c>
      <c r="F1830">
        <v>20130920</v>
      </c>
      <c r="G1830" t="s">
        <v>819</v>
      </c>
      <c r="H1830" t="s">
        <v>1035</v>
      </c>
      <c r="I1830" t="s">
        <v>63</v>
      </c>
    </row>
    <row r="1831" spans="1:9" x14ac:dyDescent="0.25">
      <c r="A1831">
        <v>20130926</v>
      </c>
      <c r="B1831" t="str">
        <f>"111762"</f>
        <v>111762</v>
      </c>
      <c r="C1831" t="str">
        <f>"87084"</f>
        <v>87084</v>
      </c>
      <c r="D1831" t="s">
        <v>1036</v>
      </c>
      <c r="E1831">
        <v>73.62</v>
      </c>
      <c r="F1831">
        <v>20130920</v>
      </c>
      <c r="G1831" t="s">
        <v>1037</v>
      </c>
      <c r="H1831" t="s">
        <v>365</v>
      </c>
      <c r="I1831" t="s">
        <v>66</v>
      </c>
    </row>
    <row r="1832" spans="1:9" x14ac:dyDescent="0.25">
      <c r="A1832">
        <v>20130926</v>
      </c>
      <c r="B1832" t="str">
        <f>"111763"</f>
        <v>111763</v>
      </c>
      <c r="C1832" t="str">
        <f>"22240"</f>
        <v>22240</v>
      </c>
      <c r="D1832" t="s">
        <v>1038</v>
      </c>
      <c r="E1832">
        <v>136</v>
      </c>
      <c r="F1832">
        <v>20130920</v>
      </c>
      <c r="G1832" t="s">
        <v>1039</v>
      </c>
      <c r="H1832" t="s">
        <v>1040</v>
      </c>
      <c r="I1832" t="s">
        <v>38</v>
      </c>
    </row>
    <row r="1833" spans="1:9" x14ac:dyDescent="0.25">
      <c r="A1833">
        <v>20130926</v>
      </c>
      <c r="B1833" t="str">
        <f>"111764"</f>
        <v>111764</v>
      </c>
      <c r="C1833" t="str">
        <f>"23130"</f>
        <v>23130</v>
      </c>
      <c r="D1833" t="s">
        <v>527</v>
      </c>
      <c r="E1833">
        <v>56.25</v>
      </c>
      <c r="F1833">
        <v>20130925</v>
      </c>
      <c r="G1833" t="s">
        <v>810</v>
      </c>
      <c r="H1833" t="s">
        <v>365</v>
      </c>
      <c r="I1833" t="s">
        <v>66</v>
      </c>
    </row>
    <row r="1834" spans="1:9" x14ac:dyDescent="0.25">
      <c r="A1834">
        <v>20130926</v>
      </c>
      <c r="B1834" t="str">
        <f>"111765"</f>
        <v>111765</v>
      </c>
      <c r="C1834" t="str">
        <f>"83667"</f>
        <v>83667</v>
      </c>
      <c r="D1834" t="s">
        <v>1041</v>
      </c>
      <c r="E1834">
        <v>225</v>
      </c>
      <c r="F1834">
        <v>20130920</v>
      </c>
      <c r="G1834" t="s">
        <v>347</v>
      </c>
      <c r="H1834" t="s">
        <v>361</v>
      </c>
      <c r="I1834" t="s">
        <v>61</v>
      </c>
    </row>
    <row r="1835" spans="1:9" x14ac:dyDescent="0.25">
      <c r="A1835">
        <v>20130926</v>
      </c>
      <c r="B1835" t="str">
        <f>"111766"</f>
        <v>111766</v>
      </c>
      <c r="C1835" t="str">
        <f>"23827"</f>
        <v>23827</v>
      </c>
      <c r="D1835" t="s">
        <v>528</v>
      </c>
      <c r="E1835">
        <v>29.99</v>
      </c>
      <c r="F1835">
        <v>20130925</v>
      </c>
      <c r="G1835" t="s">
        <v>48</v>
      </c>
      <c r="H1835" t="s">
        <v>1042</v>
      </c>
      <c r="I1835" t="s">
        <v>25</v>
      </c>
    </row>
    <row r="1836" spans="1:9" x14ac:dyDescent="0.25">
      <c r="A1836">
        <v>20130926</v>
      </c>
      <c r="B1836" t="str">
        <f>"111766"</f>
        <v>111766</v>
      </c>
      <c r="C1836" t="str">
        <f>"23827"</f>
        <v>23827</v>
      </c>
      <c r="D1836" t="s">
        <v>528</v>
      </c>
      <c r="E1836">
        <v>17.2</v>
      </c>
      <c r="F1836">
        <v>20130925</v>
      </c>
      <c r="G1836" t="s">
        <v>48</v>
      </c>
      <c r="H1836" t="s">
        <v>1043</v>
      </c>
      <c r="I1836" t="s">
        <v>25</v>
      </c>
    </row>
    <row r="1837" spans="1:9" x14ac:dyDescent="0.25">
      <c r="A1837">
        <v>20130926</v>
      </c>
      <c r="B1837" t="str">
        <f>"111767"</f>
        <v>111767</v>
      </c>
      <c r="C1837" t="str">
        <f>"84041"</f>
        <v>84041</v>
      </c>
      <c r="D1837" t="s">
        <v>1044</v>
      </c>
      <c r="E1837" s="1">
        <v>7279.35</v>
      </c>
      <c r="F1837">
        <v>20130920</v>
      </c>
      <c r="G1837" t="s">
        <v>1045</v>
      </c>
      <c r="H1837" t="s">
        <v>1046</v>
      </c>
      <c r="I1837" t="s">
        <v>61</v>
      </c>
    </row>
    <row r="1838" spans="1:9" x14ac:dyDescent="0.25">
      <c r="A1838">
        <v>20130926</v>
      </c>
      <c r="B1838" t="str">
        <f>"111767"</f>
        <v>111767</v>
      </c>
      <c r="C1838" t="str">
        <f>"84041"</f>
        <v>84041</v>
      </c>
      <c r="D1838" t="s">
        <v>1044</v>
      </c>
      <c r="E1838" s="1">
        <v>-7279.35</v>
      </c>
      <c r="F1838">
        <v>20140131</v>
      </c>
      <c r="G1838" t="s">
        <v>1045</v>
      </c>
      <c r="H1838" t="s">
        <v>1047</v>
      </c>
      <c r="I1838" t="s">
        <v>61</v>
      </c>
    </row>
    <row r="1839" spans="1:9" x14ac:dyDescent="0.25">
      <c r="A1839">
        <v>20130926</v>
      </c>
      <c r="B1839" t="str">
        <f>"111768"</f>
        <v>111768</v>
      </c>
      <c r="C1839" t="str">
        <f>"87528"</f>
        <v>87528</v>
      </c>
      <c r="D1839" t="s">
        <v>1048</v>
      </c>
      <c r="E1839">
        <v>840</v>
      </c>
      <c r="F1839">
        <v>20130925</v>
      </c>
      <c r="G1839" t="s">
        <v>1049</v>
      </c>
      <c r="H1839" t="s">
        <v>1050</v>
      </c>
      <c r="I1839" t="s">
        <v>21</v>
      </c>
    </row>
    <row r="1840" spans="1:9" x14ac:dyDescent="0.25">
      <c r="A1840">
        <v>20130926</v>
      </c>
      <c r="B1840" t="str">
        <f t="shared" ref="B1840:B1848" si="143">"111769"</f>
        <v>111769</v>
      </c>
      <c r="C1840" t="str">
        <f t="shared" ref="C1840:C1848" si="144">"25516"</f>
        <v>25516</v>
      </c>
      <c r="D1840" t="s">
        <v>529</v>
      </c>
      <c r="E1840">
        <v>916.16</v>
      </c>
      <c r="F1840">
        <v>20130925</v>
      </c>
      <c r="G1840" t="s">
        <v>473</v>
      </c>
      <c r="H1840" t="s">
        <v>1051</v>
      </c>
      <c r="I1840" t="s">
        <v>21</v>
      </c>
    </row>
    <row r="1841" spans="1:9" x14ac:dyDescent="0.25">
      <c r="A1841">
        <v>20130926</v>
      </c>
      <c r="B1841" t="str">
        <f t="shared" si="143"/>
        <v>111769</v>
      </c>
      <c r="C1841" t="str">
        <f t="shared" si="144"/>
        <v>25516</v>
      </c>
      <c r="D1841" t="s">
        <v>529</v>
      </c>
      <c r="E1841">
        <v>229.04</v>
      </c>
      <c r="F1841">
        <v>20130925</v>
      </c>
      <c r="G1841" t="s">
        <v>475</v>
      </c>
      <c r="H1841" t="s">
        <v>1051</v>
      </c>
      <c r="I1841" t="s">
        <v>21</v>
      </c>
    </row>
    <row r="1842" spans="1:9" x14ac:dyDescent="0.25">
      <c r="A1842">
        <v>20130926</v>
      </c>
      <c r="B1842" t="str">
        <f t="shared" si="143"/>
        <v>111769</v>
      </c>
      <c r="C1842" t="str">
        <f t="shared" si="144"/>
        <v>25516</v>
      </c>
      <c r="D1842" t="s">
        <v>529</v>
      </c>
      <c r="E1842">
        <v>458.08</v>
      </c>
      <c r="F1842">
        <v>20130925</v>
      </c>
      <c r="G1842" t="s">
        <v>476</v>
      </c>
      <c r="H1842" t="s">
        <v>1051</v>
      </c>
      <c r="I1842" t="s">
        <v>21</v>
      </c>
    </row>
    <row r="1843" spans="1:9" x14ac:dyDescent="0.25">
      <c r="A1843">
        <v>20130926</v>
      </c>
      <c r="B1843" t="str">
        <f t="shared" si="143"/>
        <v>111769</v>
      </c>
      <c r="C1843" t="str">
        <f t="shared" si="144"/>
        <v>25516</v>
      </c>
      <c r="D1843" t="s">
        <v>529</v>
      </c>
      <c r="E1843">
        <v>343.56</v>
      </c>
      <c r="F1843">
        <v>20130925</v>
      </c>
      <c r="G1843" t="s">
        <v>477</v>
      </c>
      <c r="H1843" t="s">
        <v>1051</v>
      </c>
      <c r="I1843" t="s">
        <v>21</v>
      </c>
    </row>
    <row r="1844" spans="1:9" x14ac:dyDescent="0.25">
      <c r="A1844">
        <v>20130926</v>
      </c>
      <c r="B1844" t="str">
        <f t="shared" si="143"/>
        <v>111769</v>
      </c>
      <c r="C1844" t="str">
        <f t="shared" si="144"/>
        <v>25516</v>
      </c>
      <c r="D1844" t="s">
        <v>529</v>
      </c>
      <c r="E1844">
        <v>343.56</v>
      </c>
      <c r="F1844">
        <v>20130925</v>
      </c>
      <c r="G1844" t="s">
        <v>478</v>
      </c>
      <c r="H1844" t="s">
        <v>1051</v>
      </c>
      <c r="I1844" t="s">
        <v>21</v>
      </c>
    </row>
    <row r="1845" spans="1:9" x14ac:dyDescent="0.25">
      <c r="A1845">
        <v>20130926</v>
      </c>
      <c r="B1845" t="str">
        <f t="shared" si="143"/>
        <v>111769</v>
      </c>
      <c r="C1845" t="str">
        <f t="shared" si="144"/>
        <v>25516</v>
      </c>
      <c r="D1845" t="s">
        <v>529</v>
      </c>
      <c r="E1845">
        <v>229.04</v>
      </c>
      <c r="F1845">
        <v>20130925</v>
      </c>
      <c r="G1845" t="s">
        <v>479</v>
      </c>
      <c r="H1845" t="s">
        <v>1051</v>
      </c>
      <c r="I1845" t="s">
        <v>21</v>
      </c>
    </row>
    <row r="1846" spans="1:9" x14ac:dyDescent="0.25">
      <c r="A1846">
        <v>20130926</v>
      </c>
      <c r="B1846" t="str">
        <f t="shared" si="143"/>
        <v>111769</v>
      </c>
      <c r="C1846" t="str">
        <f t="shared" si="144"/>
        <v>25516</v>
      </c>
      <c r="D1846" t="s">
        <v>529</v>
      </c>
      <c r="E1846">
        <v>458.08</v>
      </c>
      <c r="F1846">
        <v>20130925</v>
      </c>
      <c r="G1846" t="s">
        <v>480</v>
      </c>
      <c r="H1846" t="s">
        <v>1051</v>
      </c>
      <c r="I1846" t="s">
        <v>21</v>
      </c>
    </row>
    <row r="1847" spans="1:9" x14ac:dyDescent="0.25">
      <c r="A1847">
        <v>20130926</v>
      </c>
      <c r="B1847" t="str">
        <f t="shared" si="143"/>
        <v>111769</v>
      </c>
      <c r="C1847" t="str">
        <f t="shared" si="144"/>
        <v>25516</v>
      </c>
      <c r="D1847" t="s">
        <v>529</v>
      </c>
      <c r="E1847" s="1">
        <v>1145.2</v>
      </c>
      <c r="F1847">
        <v>20130925</v>
      </c>
      <c r="G1847" t="s">
        <v>481</v>
      </c>
      <c r="H1847" t="s">
        <v>1051</v>
      </c>
      <c r="I1847" t="s">
        <v>21</v>
      </c>
    </row>
    <row r="1848" spans="1:9" x14ac:dyDescent="0.25">
      <c r="A1848">
        <v>20130926</v>
      </c>
      <c r="B1848" t="str">
        <f t="shared" si="143"/>
        <v>111769</v>
      </c>
      <c r="C1848" t="str">
        <f t="shared" si="144"/>
        <v>25516</v>
      </c>
      <c r="D1848" t="s">
        <v>529</v>
      </c>
      <c r="E1848">
        <v>114.52</v>
      </c>
      <c r="F1848">
        <v>20130925</v>
      </c>
      <c r="G1848" t="s">
        <v>485</v>
      </c>
      <c r="H1848" t="s">
        <v>1051</v>
      </c>
      <c r="I1848" t="s">
        <v>21</v>
      </c>
    </row>
    <row r="1849" spans="1:9" x14ac:dyDescent="0.25">
      <c r="A1849">
        <v>20130926</v>
      </c>
      <c r="B1849" t="str">
        <f>"111770"</f>
        <v>111770</v>
      </c>
      <c r="C1849" t="str">
        <f>"25680"</f>
        <v>25680</v>
      </c>
      <c r="D1849" t="s">
        <v>818</v>
      </c>
      <c r="E1849">
        <v>81.25</v>
      </c>
      <c r="F1849">
        <v>20130925</v>
      </c>
      <c r="G1849" t="s">
        <v>1052</v>
      </c>
      <c r="H1849" t="s">
        <v>820</v>
      </c>
      <c r="I1849" t="s">
        <v>25</v>
      </c>
    </row>
    <row r="1850" spans="1:9" x14ac:dyDescent="0.25">
      <c r="A1850">
        <v>20130926</v>
      </c>
      <c r="B1850" t="str">
        <f>"111771"</f>
        <v>111771</v>
      </c>
      <c r="C1850" t="str">
        <f>"86094"</f>
        <v>86094</v>
      </c>
      <c r="D1850" t="s">
        <v>821</v>
      </c>
      <c r="E1850">
        <v>124.42</v>
      </c>
      <c r="F1850">
        <v>20130920</v>
      </c>
      <c r="G1850" t="s">
        <v>774</v>
      </c>
      <c r="H1850" t="s">
        <v>765</v>
      </c>
      <c r="I1850" t="s">
        <v>61</v>
      </c>
    </row>
    <row r="1851" spans="1:9" x14ac:dyDescent="0.25">
      <c r="A1851">
        <v>20130926</v>
      </c>
      <c r="B1851" t="str">
        <f>"111772"</f>
        <v>111772</v>
      </c>
      <c r="C1851" t="str">
        <f>"26994"</f>
        <v>26994</v>
      </c>
      <c r="D1851" t="s">
        <v>548</v>
      </c>
      <c r="E1851">
        <v>132.6</v>
      </c>
      <c r="F1851">
        <v>20130925</v>
      </c>
      <c r="G1851" t="s">
        <v>843</v>
      </c>
      <c r="H1851" t="s">
        <v>1053</v>
      </c>
      <c r="I1851" t="s">
        <v>68</v>
      </c>
    </row>
    <row r="1852" spans="1:9" x14ac:dyDescent="0.25">
      <c r="A1852">
        <v>20130926</v>
      </c>
      <c r="B1852" t="str">
        <f>"111773"</f>
        <v>111773</v>
      </c>
      <c r="C1852" t="str">
        <f>"26990"</f>
        <v>26990</v>
      </c>
      <c r="D1852" t="s">
        <v>548</v>
      </c>
      <c r="E1852">
        <v>210</v>
      </c>
      <c r="F1852">
        <v>20130925</v>
      </c>
      <c r="G1852" t="s">
        <v>1033</v>
      </c>
      <c r="H1852" t="s">
        <v>1054</v>
      </c>
      <c r="I1852" t="s">
        <v>21</v>
      </c>
    </row>
    <row r="1853" spans="1:9" x14ac:dyDescent="0.25">
      <c r="A1853">
        <v>20130926</v>
      </c>
      <c r="B1853" t="str">
        <f>"111773"</f>
        <v>111773</v>
      </c>
      <c r="C1853" t="str">
        <f>"26990"</f>
        <v>26990</v>
      </c>
      <c r="D1853" t="s">
        <v>548</v>
      </c>
      <c r="E1853">
        <v>70</v>
      </c>
      <c r="F1853">
        <v>20130925</v>
      </c>
      <c r="G1853" t="s">
        <v>1033</v>
      </c>
      <c r="H1853" t="s">
        <v>1054</v>
      </c>
      <c r="I1853" t="s">
        <v>21</v>
      </c>
    </row>
    <row r="1854" spans="1:9" x14ac:dyDescent="0.25">
      <c r="A1854">
        <v>20130926</v>
      </c>
      <c r="B1854" t="str">
        <f>"111774"</f>
        <v>111774</v>
      </c>
      <c r="C1854" t="str">
        <f>"83239"</f>
        <v>83239</v>
      </c>
      <c r="D1854" t="s">
        <v>1055</v>
      </c>
      <c r="E1854">
        <v>563</v>
      </c>
      <c r="F1854">
        <v>20130925</v>
      </c>
      <c r="G1854" t="s">
        <v>840</v>
      </c>
      <c r="H1854" t="s">
        <v>1056</v>
      </c>
      <c r="I1854" t="s">
        <v>21</v>
      </c>
    </row>
    <row r="1855" spans="1:9" x14ac:dyDescent="0.25">
      <c r="A1855">
        <v>20130926</v>
      </c>
      <c r="B1855" t="str">
        <f>"111775"</f>
        <v>111775</v>
      </c>
      <c r="C1855" t="str">
        <f>"87018"</f>
        <v>87018</v>
      </c>
      <c r="D1855" t="s">
        <v>1057</v>
      </c>
      <c r="E1855">
        <v>200</v>
      </c>
      <c r="F1855">
        <v>20130920</v>
      </c>
      <c r="G1855" t="s">
        <v>347</v>
      </c>
      <c r="H1855" t="s">
        <v>361</v>
      </c>
      <c r="I1855" t="s">
        <v>61</v>
      </c>
    </row>
    <row r="1856" spans="1:9" x14ac:dyDescent="0.25">
      <c r="A1856">
        <v>20130926</v>
      </c>
      <c r="B1856" t="str">
        <f>"111776"</f>
        <v>111776</v>
      </c>
      <c r="C1856" t="str">
        <f>"81492"</f>
        <v>81492</v>
      </c>
      <c r="D1856" t="s">
        <v>1058</v>
      </c>
      <c r="E1856">
        <v>200</v>
      </c>
      <c r="F1856">
        <v>20130920</v>
      </c>
      <c r="G1856" t="s">
        <v>347</v>
      </c>
      <c r="H1856" t="s">
        <v>361</v>
      </c>
      <c r="I1856" t="s">
        <v>61</v>
      </c>
    </row>
    <row r="1857" spans="1:9" x14ac:dyDescent="0.25">
      <c r="A1857">
        <v>20130926</v>
      </c>
      <c r="B1857" t="str">
        <f>"111777"</f>
        <v>111777</v>
      </c>
      <c r="C1857" t="str">
        <f>"85221"</f>
        <v>85221</v>
      </c>
      <c r="D1857" t="s">
        <v>1059</v>
      </c>
      <c r="E1857">
        <v>499.86</v>
      </c>
      <c r="F1857">
        <v>20130923</v>
      </c>
      <c r="G1857" t="s">
        <v>890</v>
      </c>
      <c r="H1857" t="s">
        <v>921</v>
      </c>
      <c r="I1857" t="s">
        <v>21</v>
      </c>
    </row>
    <row r="1858" spans="1:9" x14ac:dyDescent="0.25">
      <c r="A1858">
        <v>20130926</v>
      </c>
      <c r="B1858" t="str">
        <f>"111778"</f>
        <v>111778</v>
      </c>
      <c r="C1858" t="str">
        <f>"84866"</f>
        <v>84866</v>
      </c>
      <c r="D1858" t="s">
        <v>1060</v>
      </c>
      <c r="E1858">
        <v>238.12</v>
      </c>
      <c r="F1858">
        <v>20130923</v>
      </c>
      <c r="G1858" t="s">
        <v>289</v>
      </c>
      <c r="H1858" t="s">
        <v>1061</v>
      </c>
      <c r="I1858" t="s">
        <v>38</v>
      </c>
    </row>
    <row r="1859" spans="1:9" x14ac:dyDescent="0.25">
      <c r="A1859">
        <v>20130926</v>
      </c>
      <c r="B1859" t="str">
        <f>"111778"</f>
        <v>111778</v>
      </c>
      <c r="C1859" t="str">
        <f>"84866"</f>
        <v>84866</v>
      </c>
      <c r="D1859" t="s">
        <v>1060</v>
      </c>
      <c r="E1859">
        <v>198.7</v>
      </c>
      <c r="F1859">
        <v>20130923</v>
      </c>
      <c r="G1859" t="s">
        <v>289</v>
      </c>
      <c r="H1859" t="s">
        <v>1062</v>
      </c>
      <c r="I1859" t="s">
        <v>38</v>
      </c>
    </row>
    <row r="1860" spans="1:9" x14ac:dyDescent="0.25">
      <c r="A1860">
        <v>20130926</v>
      </c>
      <c r="B1860" t="str">
        <f>"111779"</f>
        <v>111779</v>
      </c>
      <c r="C1860" t="str">
        <f>"86582"</f>
        <v>86582</v>
      </c>
      <c r="D1860" t="s">
        <v>1063</v>
      </c>
      <c r="E1860">
        <v>550</v>
      </c>
      <c r="F1860">
        <v>20130925</v>
      </c>
      <c r="G1860" t="s">
        <v>1064</v>
      </c>
      <c r="H1860" t="s">
        <v>1065</v>
      </c>
      <c r="I1860" t="s">
        <v>21</v>
      </c>
    </row>
    <row r="1861" spans="1:9" x14ac:dyDescent="0.25">
      <c r="A1861">
        <v>20130926</v>
      </c>
      <c r="B1861" t="str">
        <f t="shared" ref="B1861:B1866" si="145">"111780"</f>
        <v>111780</v>
      </c>
      <c r="C1861" t="str">
        <f t="shared" ref="C1861:C1866" si="146">"30000"</f>
        <v>30000</v>
      </c>
      <c r="D1861" t="s">
        <v>556</v>
      </c>
      <c r="E1861">
        <v>64.739999999999995</v>
      </c>
      <c r="F1861">
        <v>20130925</v>
      </c>
      <c r="G1861" t="s">
        <v>577</v>
      </c>
      <c r="H1861" t="s">
        <v>1066</v>
      </c>
      <c r="I1861" t="s">
        <v>21</v>
      </c>
    </row>
    <row r="1862" spans="1:9" x14ac:dyDescent="0.25">
      <c r="A1862">
        <v>20130926</v>
      </c>
      <c r="B1862" t="str">
        <f t="shared" si="145"/>
        <v>111780</v>
      </c>
      <c r="C1862" t="str">
        <f t="shared" si="146"/>
        <v>30000</v>
      </c>
      <c r="D1862" t="s">
        <v>556</v>
      </c>
      <c r="E1862">
        <v>459.99</v>
      </c>
      <c r="F1862">
        <v>20130925</v>
      </c>
      <c r="G1862" t="s">
        <v>1067</v>
      </c>
      <c r="H1862" t="s">
        <v>1068</v>
      </c>
      <c r="I1862" t="s">
        <v>21</v>
      </c>
    </row>
    <row r="1863" spans="1:9" x14ac:dyDescent="0.25">
      <c r="A1863">
        <v>20130926</v>
      </c>
      <c r="B1863" t="str">
        <f t="shared" si="145"/>
        <v>111780</v>
      </c>
      <c r="C1863" t="str">
        <f t="shared" si="146"/>
        <v>30000</v>
      </c>
      <c r="D1863" t="s">
        <v>556</v>
      </c>
      <c r="E1863">
        <v>274.75</v>
      </c>
      <c r="F1863">
        <v>20130925</v>
      </c>
      <c r="G1863" t="s">
        <v>879</v>
      </c>
      <c r="H1863" t="s">
        <v>1069</v>
      </c>
      <c r="I1863" t="s">
        <v>21</v>
      </c>
    </row>
    <row r="1864" spans="1:9" x14ac:dyDescent="0.25">
      <c r="A1864">
        <v>20130926</v>
      </c>
      <c r="B1864" t="str">
        <f t="shared" si="145"/>
        <v>111780</v>
      </c>
      <c r="C1864" t="str">
        <f t="shared" si="146"/>
        <v>30000</v>
      </c>
      <c r="D1864" t="s">
        <v>556</v>
      </c>
      <c r="E1864" s="1">
        <v>1705.71</v>
      </c>
      <c r="F1864">
        <v>20130925</v>
      </c>
      <c r="G1864" t="s">
        <v>1064</v>
      </c>
      <c r="H1864" t="s">
        <v>1070</v>
      </c>
      <c r="I1864" t="s">
        <v>21</v>
      </c>
    </row>
    <row r="1865" spans="1:9" x14ac:dyDescent="0.25">
      <c r="A1865">
        <v>20130926</v>
      </c>
      <c r="B1865" t="str">
        <f t="shared" si="145"/>
        <v>111780</v>
      </c>
      <c r="C1865" t="str">
        <f t="shared" si="146"/>
        <v>30000</v>
      </c>
      <c r="D1865" t="s">
        <v>556</v>
      </c>
      <c r="E1865">
        <v>212.98</v>
      </c>
      <c r="F1865">
        <v>20130925</v>
      </c>
      <c r="G1865" t="s">
        <v>1071</v>
      </c>
      <c r="H1865" t="s">
        <v>1072</v>
      </c>
      <c r="I1865" t="s">
        <v>21</v>
      </c>
    </row>
    <row r="1866" spans="1:9" x14ac:dyDescent="0.25">
      <c r="A1866">
        <v>20130926</v>
      </c>
      <c r="B1866" t="str">
        <f t="shared" si="145"/>
        <v>111780</v>
      </c>
      <c r="C1866" t="str">
        <f t="shared" si="146"/>
        <v>30000</v>
      </c>
      <c r="D1866" t="s">
        <v>556</v>
      </c>
      <c r="E1866">
        <v>443.03</v>
      </c>
      <c r="F1866">
        <v>20130925</v>
      </c>
      <c r="G1866" t="s">
        <v>214</v>
      </c>
      <c r="H1866" t="s">
        <v>1073</v>
      </c>
      <c r="I1866" t="s">
        <v>38</v>
      </c>
    </row>
    <row r="1867" spans="1:9" x14ac:dyDescent="0.25">
      <c r="A1867">
        <v>20130926</v>
      </c>
      <c r="B1867" t="str">
        <f>"111781"</f>
        <v>111781</v>
      </c>
      <c r="C1867" t="str">
        <f>"87016"</f>
        <v>87016</v>
      </c>
      <c r="D1867" t="s">
        <v>1074</v>
      </c>
      <c r="E1867">
        <v>500</v>
      </c>
      <c r="F1867">
        <v>20130925</v>
      </c>
      <c r="G1867" t="s">
        <v>1075</v>
      </c>
      <c r="H1867" t="s">
        <v>1076</v>
      </c>
      <c r="I1867" t="s">
        <v>21</v>
      </c>
    </row>
    <row r="1868" spans="1:9" x14ac:dyDescent="0.25">
      <c r="A1868">
        <v>20130926</v>
      </c>
      <c r="B1868" t="str">
        <f>"111781"</f>
        <v>111781</v>
      </c>
      <c r="C1868" t="str">
        <f>"87016"</f>
        <v>87016</v>
      </c>
      <c r="D1868" t="s">
        <v>1074</v>
      </c>
      <c r="E1868">
        <v>77.5</v>
      </c>
      <c r="F1868">
        <v>20130925</v>
      </c>
      <c r="G1868" t="s">
        <v>579</v>
      </c>
      <c r="H1868" t="s">
        <v>1076</v>
      </c>
      <c r="I1868" t="s">
        <v>21</v>
      </c>
    </row>
    <row r="1869" spans="1:9" x14ac:dyDescent="0.25">
      <c r="A1869">
        <v>20130926</v>
      </c>
      <c r="B1869" t="str">
        <f>"111782"</f>
        <v>111782</v>
      </c>
      <c r="C1869" t="str">
        <f>"85168"</f>
        <v>85168</v>
      </c>
      <c r="D1869" t="s">
        <v>1077</v>
      </c>
      <c r="E1869">
        <v>576</v>
      </c>
      <c r="F1869">
        <v>20130923</v>
      </c>
      <c r="G1869" t="s">
        <v>181</v>
      </c>
      <c r="H1869" t="s">
        <v>354</v>
      </c>
      <c r="I1869" t="s">
        <v>38</v>
      </c>
    </row>
    <row r="1870" spans="1:9" x14ac:dyDescent="0.25">
      <c r="A1870">
        <v>20130926</v>
      </c>
      <c r="B1870" t="str">
        <f>"111783"</f>
        <v>111783</v>
      </c>
      <c r="C1870" t="str">
        <f>"87475"</f>
        <v>87475</v>
      </c>
      <c r="D1870" t="s">
        <v>359</v>
      </c>
      <c r="E1870">
        <v>225</v>
      </c>
      <c r="F1870">
        <v>20130920</v>
      </c>
      <c r="G1870" t="s">
        <v>356</v>
      </c>
      <c r="H1870" t="s">
        <v>357</v>
      </c>
      <c r="I1870" t="s">
        <v>61</v>
      </c>
    </row>
    <row r="1871" spans="1:9" x14ac:dyDescent="0.25">
      <c r="A1871">
        <v>20130926</v>
      </c>
      <c r="B1871" t="str">
        <f>"111784"</f>
        <v>111784</v>
      </c>
      <c r="C1871" t="str">
        <f>"87475"</f>
        <v>87475</v>
      </c>
      <c r="D1871" t="s">
        <v>359</v>
      </c>
      <c r="E1871">
        <v>150</v>
      </c>
      <c r="F1871">
        <v>20130920</v>
      </c>
      <c r="G1871" t="s">
        <v>356</v>
      </c>
      <c r="H1871" t="s">
        <v>357</v>
      </c>
      <c r="I1871" t="s">
        <v>61</v>
      </c>
    </row>
    <row r="1872" spans="1:9" x14ac:dyDescent="0.25">
      <c r="A1872">
        <v>20130926</v>
      </c>
      <c r="B1872" t="str">
        <f>"111785"</f>
        <v>111785</v>
      </c>
      <c r="C1872" t="str">
        <f>"87475"</f>
        <v>87475</v>
      </c>
      <c r="D1872" t="s">
        <v>359</v>
      </c>
      <c r="E1872">
        <v>150</v>
      </c>
      <c r="F1872">
        <v>20130920</v>
      </c>
      <c r="G1872" t="s">
        <v>356</v>
      </c>
      <c r="H1872" t="s">
        <v>357</v>
      </c>
      <c r="I1872" t="s">
        <v>61</v>
      </c>
    </row>
    <row r="1873" spans="1:9" x14ac:dyDescent="0.25">
      <c r="A1873">
        <v>20130926</v>
      </c>
      <c r="B1873" t="str">
        <f t="shared" ref="B1873:B1883" si="147">"111786"</f>
        <v>111786</v>
      </c>
      <c r="C1873" t="str">
        <f t="shared" ref="C1873:C1883" si="148">"84980"</f>
        <v>84980</v>
      </c>
      <c r="D1873" t="s">
        <v>591</v>
      </c>
      <c r="E1873">
        <v>38.31</v>
      </c>
      <c r="F1873">
        <v>20130925</v>
      </c>
      <c r="G1873" t="s">
        <v>577</v>
      </c>
      <c r="H1873" t="s">
        <v>1078</v>
      </c>
      <c r="I1873" t="s">
        <v>21</v>
      </c>
    </row>
    <row r="1874" spans="1:9" x14ac:dyDescent="0.25">
      <c r="A1874">
        <v>20130926</v>
      </c>
      <c r="B1874" t="str">
        <f t="shared" si="147"/>
        <v>111786</v>
      </c>
      <c r="C1874" t="str">
        <f t="shared" si="148"/>
        <v>84980</v>
      </c>
      <c r="D1874" t="s">
        <v>591</v>
      </c>
      <c r="E1874">
        <v>76.61</v>
      </c>
      <c r="F1874">
        <v>20130925</v>
      </c>
      <c r="G1874" t="s">
        <v>579</v>
      </c>
      <c r="H1874" t="s">
        <v>1078</v>
      </c>
      <c r="I1874" t="s">
        <v>21</v>
      </c>
    </row>
    <row r="1875" spans="1:9" x14ac:dyDescent="0.25">
      <c r="A1875">
        <v>20130926</v>
      </c>
      <c r="B1875" t="str">
        <f t="shared" si="147"/>
        <v>111786</v>
      </c>
      <c r="C1875" t="str">
        <f t="shared" si="148"/>
        <v>84980</v>
      </c>
      <c r="D1875" t="s">
        <v>591</v>
      </c>
      <c r="E1875">
        <v>45.97</v>
      </c>
      <c r="F1875">
        <v>20130925</v>
      </c>
      <c r="G1875" t="s">
        <v>580</v>
      </c>
      <c r="H1875" t="s">
        <v>1078</v>
      </c>
      <c r="I1875" t="s">
        <v>21</v>
      </c>
    </row>
    <row r="1876" spans="1:9" x14ac:dyDescent="0.25">
      <c r="A1876">
        <v>20130926</v>
      </c>
      <c r="B1876" t="str">
        <f t="shared" si="147"/>
        <v>111786</v>
      </c>
      <c r="C1876" t="str">
        <f t="shared" si="148"/>
        <v>84980</v>
      </c>
      <c r="D1876" t="s">
        <v>591</v>
      </c>
      <c r="E1876">
        <v>45.97</v>
      </c>
      <c r="F1876">
        <v>20130925</v>
      </c>
      <c r="G1876" t="s">
        <v>581</v>
      </c>
      <c r="H1876" t="s">
        <v>1078</v>
      </c>
      <c r="I1876" t="s">
        <v>21</v>
      </c>
    </row>
    <row r="1877" spans="1:9" x14ac:dyDescent="0.25">
      <c r="A1877">
        <v>20130926</v>
      </c>
      <c r="B1877" t="str">
        <f t="shared" si="147"/>
        <v>111786</v>
      </c>
      <c r="C1877" t="str">
        <f t="shared" si="148"/>
        <v>84980</v>
      </c>
      <c r="D1877" t="s">
        <v>591</v>
      </c>
      <c r="E1877">
        <v>45.97</v>
      </c>
      <c r="F1877">
        <v>20130925</v>
      </c>
      <c r="G1877" t="s">
        <v>582</v>
      </c>
      <c r="H1877" t="s">
        <v>1078</v>
      </c>
      <c r="I1877" t="s">
        <v>21</v>
      </c>
    </row>
    <row r="1878" spans="1:9" x14ac:dyDescent="0.25">
      <c r="A1878">
        <v>20130926</v>
      </c>
      <c r="B1878" t="str">
        <f t="shared" si="147"/>
        <v>111786</v>
      </c>
      <c r="C1878" t="str">
        <f t="shared" si="148"/>
        <v>84980</v>
      </c>
      <c r="D1878" t="s">
        <v>591</v>
      </c>
      <c r="E1878">
        <v>27.41</v>
      </c>
      <c r="F1878">
        <v>20130925</v>
      </c>
      <c r="G1878" t="s">
        <v>1079</v>
      </c>
      <c r="H1878" t="s">
        <v>1080</v>
      </c>
      <c r="I1878" t="s">
        <v>21</v>
      </c>
    </row>
    <row r="1879" spans="1:9" x14ac:dyDescent="0.25">
      <c r="A1879">
        <v>20130926</v>
      </c>
      <c r="B1879" t="str">
        <f t="shared" si="147"/>
        <v>111786</v>
      </c>
      <c r="C1879" t="str">
        <f t="shared" si="148"/>
        <v>84980</v>
      </c>
      <c r="D1879" t="s">
        <v>591</v>
      </c>
      <c r="E1879">
        <v>54.82</v>
      </c>
      <c r="F1879">
        <v>20130925</v>
      </c>
      <c r="G1879" t="s">
        <v>1081</v>
      </c>
      <c r="H1879" t="s">
        <v>1082</v>
      </c>
      <c r="I1879" t="s">
        <v>21</v>
      </c>
    </row>
    <row r="1880" spans="1:9" x14ac:dyDescent="0.25">
      <c r="A1880">
        <v>20130926</v>
      </c>
      <c r="B1880" t="str">
        <f t="shared" si="147"/>
        <v>111786</v>
      </c>
      <c r="C1880" t="str">
        <f t="shared" si="148"/>
        <v>84980</v>
      </c>
      <c r="D1880" t="s">
        <v>591</v>
      </c>
      <c r="E1880">
        <v>708.16</v>
      </c>
      <c r="F1880">
        <v>20130925</v>
      </c>
      <c r="G1880" t="s">
        <v>496</v>
      </c>
      <c r="H1880" t="s">
        <v>1083</v>
      </c>
      <c r="I1880" t="s">
        <v>21</v>
      </c>
    </row>
    <row r="1881" spans="1:9" x14ac:dyDescent="0.25">
      <c r="A1881">
        <v>20130926</v>
      </c>
      <c r="B1881" t="str">
        <f t="shared" si="147"/>
        <v>111786</v>
      </c>
      <c r="C1881" t="str">
        <f t="shared" si="148"/>
        <v>84980</v>
      </c>
      <c r="D1881" t="s">
        <v>591</v>
      </c>
      <c r="E1881">
        <v>7.66</v>
      </c>
      <c r="F1881">
        <v>20130925</v>
      </c>
      <c r="G1881" t="s">
        <v>585</v>
      </c>
      <c r="H1881" t="s">
        <v>1078</v>
      </c>
      <c r="I1881" t="s">
        <v>21</v>
      </c>
    </row>
    <row r="1882" spans="1:9" x14ac:dyDescent="0.25">
      <c r="A1882">
        <v>20130926</v>
      </c>
      <c r="B1882" t="str">
        <f t="shared" si="147"/>
        <v>111786</v>
      </c>
      <c r="C1882" t="str">
        <f t="shared" si="148"/>
        <v>84980</v>
      </c>
      <c r="D1882" t="s">
        <v>591</v>
      </c>
      <c r="E1882">
        <v>27.41</v>
      </c>
      <c r="F1882">
        <v>20130925</v>
      </c>
      <c r="G1882" t="s">
        <v>840</v>
      </c>
      <c r="H1882" t="s">
        <v>1084</v>
      </c>
      <c r="I1882" t="s">
        <v>21</v>
      </c>
    </row>
    <row r="1883" spans="1:9" x14ac:dyDescent="0.25">
      <c r="A1883">
        <v>20130926</v>
      </c>
      <c r="B1883" t="str">
        <f t="shared" si="147"/>
        <v>111786</v>
      </c>
      <c r="C1883" t="str">
        <f t="shared" si="148"/>
        <v>84980</v>
      </c>
      <c r="D1883" t="s">
        <v>591</v>
      </c>
      <c r="E1883">
        <v>27.41</v>
      </c>
      <c r="F1883">
        <v>20130925</v>
      </c>
      <c r="G1883" t="s">
        <v>847</v>
      </c>
      <c r="H1883" t="s">
        <v>1085</v>
      </c>
      <c r="I1883" t="s">
        <v>79</v>
      </c>
    </row>
    <row r="1884" spans="1:9" x14ac:dyDescent="0.25">
      <c r="A1884">
        <v>20130926</v>
      </c>
      <c r="B1884" t="str">
        <f>"111787"</f>
        <v>111787</v>
      </c>
      <c r="C1884" t="str">
        <f>"84343"</f>
        <v>84343</v>
      </c>
      <c r="D1884" t="s">
        <v>1086</v>
      </c>
      <c r="E1884">
        <v>122.9</v>
      </c>
      <c r="F1884">
        <v>20130925</v>
      </c>
      <c r="G1884" t="s">
        <v>1087</v>
      </c>
      <c r="H1884" t="s">
        <v>1088</v>
      </c>
      <c r="I1884" t="s">
        <v>38</v>
      </c>
    </row>
    <row r="1885" spans="1:9" x14ac:dyDescent="0.25">
      <c r="A1885">
        <v>20130926</v>
      </c>
      <c r="B1885" t="str">
        <f>"111788"</f>
        <v>111788</v>
      </c>
      <c r="C1885" t="str">
        <f>"87385"</f>
        <v>87385</v>
      </c>
      <c r="D1885" t="s">
        <v>1089</v>
      </c>
      <c r="E1885">
        <v>97.34</v>
      </c>
      <c r="F1885">
        <v>20130925</v>
      </c>
      <c r="G1885" t="s">
        <v>392</v>
      </c>
      <c r="H1885" t="s">
        <v>1090</v>
      </c>
      <c r="I1885" t="s">
        <v>21</v>
      </c>
    </row>
    <row r="1886" spans="1:9" x14ac:dyDescent="0.25">
      <c r="A1886">
        <v>20130926</v>
      </c>
      <c r="B1886" t="str">
        <f>"111789"</f>
        <v>111789</v>
      </c>
      <c r="C1886" t="str">
        <f>"87519"</f>
        <v>87519</v>
      </c>
      <c r="D1886" t="s">
        <v>1091</v>
      </c>
      <c r="E1886">
        <v>98.73</v>
      </c>
      <c r="F1886">
        <v>20130923</v>
      </c>
      <c r="G1886" t="s">
        <v>1003</v>
      </c>
      <c r="H1886" t="s">
        <v>765</v>
      </c>
      <c r="I1886" t="s">
        <v>61</v>
      </c>
    </row>
    <row r="1887" spans="1:9" x14ac:dyDescent="0.25">
      <c r="A1887">
        <v>20130926</v>
      </c>
      <c r="B1887" t="str">
        <f>"111790"</f>
        <v>111790</v>
      </c>
      <c r="C1887" t="str">
        <f>"86978"</f>
        <v>86978</v>
      </c>
      <c r="D1887" t="s">
        <v>1092</v>
      </c>
      <c r="E1887">
        <v>50</v>
      </c>
      <c r="F1887">
        <v>20130925</v>
      </c>
      <c r="G1887" t="s">
        <v>764</v>
      </c>
      <c r="H1887" t="s">
        <v>765</v>
      </c>
      <c r="I1887" t="s">
        <v>61</v>
      </c>
    </row>
    <row r="1888" spans="1:9" x14ac:dyDescent="0.25">
      <c r="A1888">
        <v>20130926</v>
      </c>
      <c r="B1888" t="str">
        <f>"111790"</f>
        <v>111790</v>
      </c>
      <c r="C1888" t="str">
        <f>"86978"</f>
        <v>86978</v>
      </c>
      <c r="D1888" t="s">
        <v>1092</v>
      </c>
      <c r="E1888">
        <v>80</v>
      </c>
      <c r="F1888">
        <v>20130920</v>
      </c>
      <c r="G1888" t="s">
        <v>1093</v>
      </c>
      <c r="H1888" t="s">
        <v>765</v>
      </c>
      <c r="I1888" t="s">
        <v>61</v>
      </c>
    </row>
    <row r="1889" spans="1:9" x14ac:dyDescent="0.25">
      <c r="A1889">
        <v>20130926</v>
      </c>
      <c r="B1889" t="str">
        <f>"111791"</f>
        <v>111791</v>
      </c>
      <c r="C1889" t="str">
        <f>"34230"</f>
        <v>34230</v>
      </c>
      <c r="D1889" t="s">
        <v>1094</v>
      </c>
      <c r="E1889">
        <v>499.58</v>
      </c>
      <c r="F1889">
        <v>20130923</v>
      </c>
      <c r="G1889" t="s">
        <v>214</v>
      </c>
      <c r="H1889" t="s">
        <v>1095</v>
      </c>
      <c r="I1889" t="s">
        <v>38</v>
      </c>
    </row>
    <row r="1890" spans="1:9" x14ac:dyDescent="0.25">
      <c r="A1890">
        <v>20130926</v>
      </c>
      <c r="B1890" t="str">
        <f>"111792"</f>
        <v>111792</v>
      </c>
      <c r="C1890" t="str">
        <f>"85929"</f>
        <v>85929</v>
      </c>
      <c r="D1890" t="s">
        <v>1096</v>
      </c>
      <c r="E1890">
        <v>57.51</v>
      </c>
      <c r="F1890">
        <v>20130923</v>
      </c>
      <c r="G1890" t="s">
        <v>890</v>
      </c>
      <c r="H1890" t="s">
        <v>365</v>
      </c>
      <c r="I1890" t="s">
        <v>21</v>
      </c>
    </row>
    <row r="1891" spans="1:9" x14ac:dyDescent="0.25">
      <c r="A1891">
        <v>20130926</v>
      </c>
      <c r="B1891" t="str">
        <f>"111793"</f>
        <v>111793</v>
      </c>
      <c r="C1891" t="str">
        <f>"87088"</f>
        <v>87088</v>
      </c>
      <c r="D1891" t="s">
        <v>1097</v>
      </c>
      <c r="E1891" s="1">
        <v>2432.8200000000002</v>
      </c>
      <c r="F1891">
        <v>20130924</v>
      </c>
      <c r="G1891" t="s">
        <v>381</v>
      </c>
      <c r="H1891" t="s">
        <v>1098</v>
      </c>
      <c r="I1891" t="s">
        <v>21</v>
      </c>
    </row>
    <row r="1892" spans="1:9" x14ac:dyDescent="0.25">
      <c r="A1892">
        <v>20130926</v>
      </c>
      <c r="B1892" t="str">
        <f>"111794"</f>
        <v>111794</v>
      </c>
      <c r="C1892" t="str">
        <f>"87524"</f>
        <v>87524</v>
      </c>
      <c r="D1892" t="s">
        <v>1099</v>
      </c>
      <c r="E1892">
        <v>247.99</v>
      </c>
      <c r="F1892">
        <v>20130923</v>
      </c>
      <c r="G1892" t="s">
        <v>214</v>
      </c>
      <c r="H1892" t="s">
        <v>354</v>
      </c>
      <c r="I1892" t="s">
        <v>38</v>
      </c>
    </row>
    <row r="1893" spans="1:9" x14ac:dyDescent="0.25">
      <c r="A1893">
        <v>20130926</v>
      </c>
      <c r="B1893" t="str">
        <f>"111795"</f>
        <v>111795</v>
      </c>
      <c r="C1893" t="str">
        <f>"39190"</f>
        <v>39190</v>
      </c>
      <c r="D1893" t="s">
        <v>1100</v>
      </c>
      <c r="E1893">
        <v>391.5</v>
      </c>
      <c r="F1893">
        <v>20130925</v>
      </c>
      <c r="G1893" t="s">
        <v>742</v>
      </c>
      <c r="H1893" t="s">
        <v>743</v>
      </c>
      <c r="I1893" t="s">
        <v>21</v>
      </c>
    </row>
    <row r="1894" spans="1:9" x14ac:dyDescent="0.25">
      <c r="A1894">
        <v>20130926</v>
      </c>
      <c r="B1894" t="str">
        <f>"111796"</f>
        <v>111796</v>
      </c>
      <c r="C1894" t="str">
        <f>"84987"</f>
        <v>84987</v>
      </c>
      <c r="D1894" t="s">
        <v>1101</v>
      </c>
      <c r="E1894">
        <v>75</v>
      </c>
      <c r="F1894">
        <v>20130924</v>
      </c>
      <c r="G1894" t="s">
        <v>496</v>
      </c>
      <c r="H1894" t="s">
        <v>1102</v>
      </c>
      <c r="I1894" t="s">
        <v>21</v>
      </c>
    </row>
    <row r="1895" spans="1:9" x14ac:dyDescent="0.25">
      <c r="A1895">
        <v>20130926</v>
      </c>
      <c r="B1895" t="str">
        <f>"111797"</f>
        <v>111797</v>
      </c>
      <c r="C1895" t="str">
        <f>"86485"</f>
        <v>86485</v>
      </c>
      <c r="D1895" t="s">
        <v>887</v>
      </c>
      <c r="E1895">
        <v>58.48</v>
      </c>
      <c r="F1895">
        <v>20130923</v>
      </c>
      <c r="G1895" t="s">
        <v>1003</v>
      </c>
      <c r="H1895" t="s">
        <v>765</v>
      </c>
      <c r="I1895" t="s">
        <v>61</v>
      </c>
    </row>
    <row r="1896" spans="1:9" x14ac:dyDescent="0.25">
      <c r="A1896">
        <v>20130926</v>
      </c>
      <c r="B1896" t="str">
        <f>"111798"</f>
        <v>111798</v>
      </c>
      <c r="C1896" t="str">
        <f>"85122"</f>
        <v>85122</v>
      </c>
      <c r="D1896" t="s">
        <v>1103</v>
      </c>
      <c r="E1896">
        <v>57.57</v>
      </c>
      <c r="F1896">
        <v>20130925</v>
      </c>
      <c r="G1896" t="s">
        <v>364</v>
      </c>
      <c r="H1896" t="s">
        <v>365</v>
      </c>
      <c r="I1896" t="s">
        <v>21</v>
      </c>
    </row>
    <row r="1897" spans="1:9" x14ac:dyDescent="0.25">
      <c r="A1897">
        <v>20130926</v>
      </c>
      <c r="B1897" t="str">
        <f>"111799"</f>
        <v>111799</v>
      </c>
      <c r="C1897" t="str">
        <f>"45760"</f>
        <v>45760</v>
      </c>
      <c r="D1897" t="s">
        <v>895</v>
      </c>
      <c r="E1897">
        <v>80</v>
      </c>
      <c r="F1897">
        <v>20130923</v>
      </c>
      <c r="G1897" t="s">
        <v>1093</v>
      </c>
      <c r="H1897" t="s">
        <v>765</v>
      </c>
      <c r="I1897" t="s">
        <v>61</v>
      </c>
    </row>
    <row r="1898" spans="1:9" x14ac:dyDescent="0.25">
      <c r="A1898">
        <v>20130926</v>
      </c>
      <c r="B1898" t="str">
        <f>"111800"</f>
        <v>111800</v>
      </c>
      <c r="C1898" t="str">
        <f>"81788"</f>
        <v>81788</v>
      </c>
      <c r="D1898" t="s">
        <v>1104</v>
      </c>
      <c r="E1898" s="1">
        <v>13163.85</v>
      </c>
      <c r="F1898">
        <v>20130925</v>
      </c>
      <c r="G1898" t="s">
        <v>828</v>
      </c>
      <c r="H1898" t="s">
        <v>1105</v>
      </c>
      <c r="I1898" t="s">
        <v>21</v>
      </c>
    </row>
    <row r="1899" spans="1:9" x14ac:dyDescent="0.25">
      <c r="A1899">
        <v>20130926</v>
      </c>
      <c r="B1899" t="str">
        <f>"111801"</f>
        <v>111801</v>
      </c>
      <c r="C1899" t="str">
        <f>"48820"</f>
        <v>48820</v>
      </c>
      <c r="D1899" t="s">
        <v>1106</v>
      </c>
      <c r="E1899">
        <v>153.18</v>
      </c>
      <c r="F1899">
        <v>20130923</v>
      </c>
      <c r="G1899" t="s">
        <v>209</v>
      </c>
      <c r="H1899" t="s">
        <v>354</v>
      </c>
      <c r="I1899" t="s">
        <v>25</v>
      </c>
    </row>
    <row r="1900" spans="1:9" x14ac:dyDescent="0.25">
      <c r="A1900">
        <v>20130926</v>
      </c>
      <c r="B1900" t="str">
        <f>"111801"</f>
        <v>111801</v>
      </c>
      <c r="C1900" t="str">
        <f>"48820"</f>
        <v>48820</v>
      </c>
      <c r="D1900" t="s">
        <v>1106</v>
      </c>
      <c r="E1900">
        <v>232.26</v>
      </c>
      <c r="F1900">
        <v>20130923</v>
      </c>
      <c r="G1900" t="s">
        <v>209</v>
      </c>
      <c r="H1900" t="s">
        <v>354</v>
      </c>
      <c r="I1900" t="s">
        <v>25</v>
      </c>
    </row>
    <row r="1901" spans="1:9" x14ac:dyDescent="0.25">
      <c r="A1901">
        <v>20130926</v>
      </c>
      <c r="B1901" t="str">
        <f>"111801"</f>
        <v>111801</v>
      </c>
      <c r="C1901" t="str">
        <f>"48820"</f>
        <v>48820</v>
      </c>
      <c r="D1901" t="s">
        <v>1106</v>
      </c>
      <c r="E1901">
        <v>35.81</v>
      </c>
      <c r="F1901">
        <v>20130923</v>
      </c>
      <c r="G1901" t="s">
        <v>209</v>
      </c>
      <c r="H1901" t="s">
        <v>354</v>
      </c>
      <c r="I1901" t="s">
        <v>25</v>
      </c>
    </row>
    <row r="1902" spans="1:9" x14ac:dyDescent="0.25">
      <c r="A1902">
        <v>20130926</v>
      </c>
      <c r="B1902" t="str">
        <f>"111802"</f>
        <v>111802</v>
      </c>
      <c r="C1902" t="str">
        <f>"84424"</f>
        <v>84424</v>
      </c>
      <c r="D1902" t="s">
        <v>1107</v>
      </c>
      <c r="E1902">
        <v>230</v>
      </c>
      <c r="F1902">
        <v>20130925</v>
      </c>
      <c r="G1902" t="s">
        <v>637</v>
      </c>
      <c r="H1902" t="s">
        <v>414</v>
      </c>
      <c r="I1902" t="s">
        <v>38</v>
      </c>
    </row>
    <row r="1903" spans="1:9" x14ac:dyDescent="0.25">
      <c r="A1903">
        <v>20130926</v>
      </c>
      <c r="B1903" t="str">
        <f>"111803"</f>
        <v>111803</v>
      </c>
      <c r="C1903" t="str">
        <f>"87404"</f>
        <v>87404</v>
      </c>
      <c r="D1903" t="s">
        <v>1108</v>
      </c>
      <c r="E1903">
        <v>3.79</v>
      </c>
      <c r="F1903">
        <v>20130924</v>
      </c>
      <c r="G1903" t="s">
        <v>426</v>
      </c>
      <c r="H1903" t="s">
        <v>1109</v>
      </c>
      <c r="I1903" t="s">
        <v>21</v>
      </c>
    </row>
    <row r="1904" spans="1:9" x14ac:dyDescent="0.25">
      <c r="A1904">
        <v>20130926</v>
      </c>
      <c r="B1904" t="str">
        <f>"111804"</f>
        <v>111804</v>
      </c>
      <c r="C1904" t="str">
        <f>"84193"</f>
        <v>84193</v>
      </c>
      <c r="D1904" t="s">
        <v>1110</v>
      </c>
      <c r="E1904">
        <v>57.57</v>
      </c>
      <c r="F1904">
        <v>20130920</v>
      </c>
      <c r="G1904" t="s">
        <v>1033</v>
      </c>
      <c r="H1904" t="s">
        <v>365</v>
      </c>
      <c r="I1904" t="s">
        <v>21</v>
      </c>
    </row>
    <row r="1905" spans="1:9" x14ac:dyDescent="0.25">
      <c r="A1905">
        <v>20130926</v>
      </c>
      <c r="B1905" t="str">
        <f>"111804"</f>
        <v>111804</v>
      </c>
      <c r="C1905" t="str">
        <f>"84193"</f>
        <v>84193</v>
      </c>
      <c r="D1905" t="s">
        <v>1110</v>
      </c>
      <c r="E1905">
        <v>22.82</v>
      </c>
      <c r="F1905">
        <v>20130920</v>
      </c>
      <c r="G1905" t="s">
        <v>691</v>
      </c>
      <c r="H1905" t="s">
        <v>563</v>
      </c>
      <c r="I1905" t="s">
        <v>68</v>
      </c>
    </row>
    <row r="1906" spans="1:9" x14ac:dyDescent="0.25">
      <c r="A1906">
        <v>20130926</v>
      </c>
      <c r="B1906" t="str">
        <f>"111805"</f>
        <v>111805</v>
      </c>
      <c r="C1906" t="str">
        <f>"85770"</f>
        <v>85770</v>
      </c>
      <c r="D1906" t="s">
        <v>363</v>
      </c>
      <c r="E1906">
        <v>143.55000000000001</v>
      </c>
      <c r="F1906">
        <v>20130925</v>
      </c>
      <c r="G1906" t="s">
        <v>364</v>
      </c>
      <c r="H1906" t="s">
        <v>563</v>
      </c>
      <c r="I1906" t="s">
        <v>21</v>
      </c>
    </row>
    <row r="1907" spans="1:9" x14ac:dyDescent="0.25">
      <c r="A1907">
        <v>20130926</v>
      </c>
      <c r="B1907" t="str">
        <f>"111806"</f>
        <v>111806</v>
      </c>
      <c r="C1907" t="str">
        <f>"84249"</f>
        <v>84249</v>
      </c>
      <c r="D1907" t="s">
        <v>1111</v>
      </c>
      <c r="E1907">
        <v>55.44</v>
      </c>
      <c r="F1907">
        <v>20130923</v>
      </c>
      <c r="G1907" t="s">
        <v>1112</v>
      </c>
      <c r="H1907" t="s">
        <v>365</v>
      </c>
      <c r="I1907" t="s">
        <v>66</v>
      </c>
    </row>
    <row r="1908" spans="1:9" x14ac:dyDescent="0.25">
      <c r="A1908">
        <v>20130926</v>
      </c>
      <c r="B1908" t="str">
        <f>"111807"</f>
        <v>111807</v>
      </c>
      <c r="C1908" t="str">
        <f>"51000"</f>
        <v>51000</v>
      </c>
      <c r="D1908" t="s">
        <v>366</v>
      </c>
      <c r="E1908">
        <v>36.72</v>
      </c>
      <c r="F1908">
        <v>20130924</v>
      </c>
      <c r="G1908" t="s">
        <v>367</v>
      </c>
      <c r="H1908" t="s">
        <v>368</v>
      </c>
      <c r="I1908" t="s">
        <v>21</v>
      </c>
    </row>
    <row r="1909" spans="1:9" x14ac:dyDescent="0.25">
      <c r="A1909">
        <v>20130926</v>
      </c>
      <c r="B1909" t="str">
        <f>"111808"</f>
        <v>111808</v>
      </c>
      <c r="C1909" t="str">
        <f>"00760"</f>
        <v>00760</v>
      </c>
      <c r="D1909" t="s">
        <v>920</v>
      </c>
      <c r="E1909">
        <v>399</v>
      </c>
      <c r="F1909">
        <v>20130920</v>
      </c>
      <c r="G1909" t="s">
        <v>808</v>
      </c>
      <c r="H1909" t="s">
        <v>921</v>
      </c>
      <c r="I1909" t="s">
        <v>21</v>
      </c>
    </row>
    <row r="1910" spans="1:9" x14ac:dyDescent="0.25">
      <c r="A1910">
        <v>20130926</v>
      </c>
      <c r="B1910" t="str">
        <f>"111808"</f>
        <v>111808</v>
      </c>
      <c r="C1910" t="str">
        <f>"00760"</f>
        <v>00760</v>
      </c>
      <c r="D1910" t="s">
        <v>920</v>
      </c>
      <c r="E1910">
        <v>575.46</v>
      </c>
      <c r="F1910">
        <v>20130920</v>
      </c>
      <c r="G1910" t="s">
        <v>810</v>
      </c>
      <c r="H1910" t="s">
        <v>921</v>
      </c>
      <c r="I1910" t="s">
        <v>66</v>
      </c>
    </row>
    <row r="1911" spans="1:9" x14ac:dyDescent="0.25">
      <c r="A1911">
        <v>20130926</v>
      </c>
      <c r="B1911" t="str">
        <f>"111809"</f>
        <v>111809</v>
      </c>
      <c r="C1911" t="str">
        <f>"52525"</f>
        <v>52525</v>
      </c>
      <c r="D1911" t="s">
        <v>1113</v>
      </c>
      <c r="E1911">
        <v>52.99</v>
      </c>
      <c r="F1911">
        <v>20130925</v>
      </c>
      <c r="G1911" t="s">
        <v>843</v>
      </c>
      <c r="H1911" t="s">
        <v>414</v>
      </c>
      <c r="I1911" t="s">
        <v>68</v>
      </c>
    </row>
    <row r="1912" spans="1:9" x14ac:dyDescent="0.25">
      <c r="A1912">
        <v>20130926</v>
      </c>
      <c r="B1912" t="str">
        <f>"111810"</f>
        <v>111810</v>
      </c>
      <c r="C1912" t="str">
        <f>"55675"</f>
        <v>55675</v>
      </c>
      <c r="D1912" t="s">
        <v>1114</v>
      </c>
      <c r="E1912">
        <v>127.44</v>
      </c>
      <c r="F1912">
        <v>20130923</v>
      </c>
      <c r="G1912" t="s">
        <v>1115</v>
      </c>
      <c r="H1912" t="s">
        <v>414</v>
      </c>
      <c r="I1912" t="s">
        <v>21</v>
      </c>
    </row>
    <row r="1913" spans="1:9" x14ac:dyDescent="0.25">
      <c r="A1913">
        <v>20130926</v>
      </c>
      <c r="B1913" t="str">
        <f>"111811"</f>
        <v>111811</v>
      </c>
      <c r="C1913" t="str">
        <f>"87212"</f>
        <v>87212</v>
      </c>
      <c r="D1913" t="s">
        <v>652</v>
      </c>
      <c r="E1913" s="1">
        <v>2300</v>
      </c>
      <c r="F1913">
        <v>20130925</v>
      </c>
      <c r="G1913" t="s">
        <v>120</v>
      </c>
      <c r="H1913" t="s">
        <v>1116</v>
      </c>
      <c r="I1913" t="s">
        <v>38</v>
      </c>
    </row>
    <row r="1914" spans="1:9" x14ac:dyDescent="0.25">
      <c r="A1914">
        <v>20130926</v>
      </c>
      <c r="B1914" t="str">
        <f>"111812"</f>
        <v>111812</v>
      </c>
      <c r="C1914" t="str">
        <f>"83710"</f>
        <v>83710</v>
      </c>
      <c r="D1914" t="s">
        <v>1117</v>
      </c>
      <c r="E1914">
        <v>400</v>
      </c>
      <c r="F1914">
        <v>20130925</v>
      </c>
      <c r="G1914" t="s">
        <v>900</v>
      </c>
      <c r="H1914" t="s">
        <v>1118</v>
      </c>
      <c r="I1914" t="s">
        <v>21</v>
      </c>
    </row>
    <row r="1915" spans="1:9" x14ac:dyDescent="0.25">
      <c r="A1915">
        <v>20130926</v>
      </c>
      <c r="B1915" t="str">
        <f>"111813"</f>
        <v>111813</v>
      </c>
      <c r="C1915" t="str">
        <f>"87515"</f>
        <v>87515</v>
      </c>
      <c r="D1915" t="s">
        <v>1119</v>
      </c>
      <c r="E1915">
        <v>54.03</v>
      </c>
      <c r="F1915">
        <v>20130920</v>
      </c>
      <c r="G1915" t="s">
        <v>1120</v>
      </c>
      <c r="H1915" t="s">
        <v>365</v>
      </c>
      <c r="I1915" t="s">
        <v>66</v>
      </c>
    </row>
    <row r="1916" spans="1:9" x14ac:dyDescent="0.25">
      <c r="A1916">
        <v>20130926</v>
      </c>
      <c r="B1916" t="str">
        <f>"111814"</f>
        <v>111814</v>
      </c>
      <c r="C1916" t="str">
        <f>"61400"</f>
        <v>61400</v>
      </c>
      <c r="D1916" t="s">
        <v>605</v>
      </c>
      <c r="E1916">
        <v>455.4</v>
      </c>
      <c r="F1916">
        <v>20130925</v>
      </c>
      <c r="G1916" t="s">
        <v>843</v>
      </c>
      <c r="H1916" t="s">
        <v>1121</v>
      </c>
      <c r="I1916" t="s">
        <v>68</v>
      </c>
    </row>
    <row r="1917" spans="1:9" x14ac:dyDescent="0.25">
      <c r="A1917">
        <v>20130926</v>
      </c>
      <c r="B1917" t="str">
        <f>"111815"</f>
        <v>111815</v>
      </c>
      <c r="C1917" t="str">
        <f>"87511"</f>
        <v>87511</v>
      </c>
      <c r="D1917" t="s">
        <v>1122</v>
      </c>
      <c r="E1917">
        <v>64.900000000000006</v>
      </c>
      <c r="F1917">
        <v>20130925</v>
      </c>
      <c r="G1917" t="s">
        <v>145</v>
      </c>
      <c r="H1917" t="s">
        <v>1123</v>
      </c>
      <c r="I1917" t="s">
        <v>38</v>
      </c>
    </row>
    <row r="1918" spans="1:9" x14ac:dyDescent="0.25">
      <c r="A1918">
        <v>20130926</v>
      </c>
      <c r="B1918" t="str">
        <f>"111816"</f>
        <v>111816</v>
      </c>
      <c r="C1918" t="str">
        <f>"62420"</f>
        <v>62420</v>
      </c>
      <c r="D1918" t="s">
        <v>1124</v>
      </c>
      <c r="E1918">
        <v>123.57</v>
      </c>
      <c r="F1918">
        <v>20130925</v>
      </c>
      <c r="G1918" t="s">
        <v>650</v>
      </c>
      <c r="H1918" t="s">
        <v>1125</v>
      </c>
      <c r="I1918" t="s">
        <v>21</v>
      </c>
    </row>
    <row r="1919" spans="1:9" x14ac:dyDescent="0.25">
      <c r="A1919">
        <v>20130926</v>
      </c>
      <c r="B1919" t="str">
        <f>"111817"</f>
        <v>111817</v>
      </c>
      <c r="C1919" t="str">
        <f>"62450"</f>
        <v>62450</v>
      </c>
      <c r="D1919" t="s">
        <v>683</v>
      </c>
      <c r="E1919">
        <v>108.9</v>
      </c>
      <c r="F1919">
        <v>20130923</v>
      </c>
      <c r="G1919" t="s">
        <v>1126</v>
      </c>
      <c r="H1919" t="s">
        <v>1127</v>
      </c>
      <c r="I1919" t="s">
        <v>21</v>
      </c>
    </row>
    <row r="1920" spans="1:9" x14ac:dyDescent="0.25">
      <c r="A1920">
        <v>20130926</v>
      </c>
      <c r="B1920" t="str">
        <f>"111818"</f>
        <v>111818</v>
      </c>
      <c r="C1920" t="str">
        <f>"85418"</f>
        <v>85418</v>
      </c>
      <c r="D1920" t="s">
        <v>1128</v>
      </c>
      <c r="E1920" s="1">
        <v>1900</v>
      </c>
      <c r="F1920">
        <v>20130925</v>
      </c>
      <c r="G1920" t="s">
        <v>1129</v>
      </c>
      <c r="H1920" t="s">
        <v>1130</v>
      </c>
      <c r="I1920" t="s">
        <v>66</v>
      </c>
    </row>
    <row r="1921" spans="1:9" x14ac:dyDescent="0.25">
      <c r="A1921">
        <v>20130926</v>
      </c>
      <c r="B1921" t="str">
        <f>"111818"</f>
        <v>111818</v>
      </c>
      <c r="C1921" t="str">
        <f>"85418"</f>
        <v>85418</v>
      </c>
      <c r="D1921" t="s">
        <v>1128</v>
      </c>
      <c r="E1921" s="1">
        <v>1200</v>
      </c>
      <c r="F1921">
        <v>20130925</v>
      </c>
      <c r="G1921" t="s">
        <v>1131</v>
      </c>
      <c r="H1921" t="s">
        <v>1132</v>
      </c>
      <c r="I1921" t="s">
        <v>66</v>
      </c>
    </row>
    <row r="1922" spans="1:9" x14ac:dyDescent="0.25">
      <c r="A1922">
        <v>20130926</v>
      </c>
      <c r="B1922" t="str">
        <f>"111819"</f>
        <v>111819</v>
      </c>
      <c r="C1922" t="str">
        <f>"87521"</f>
        <v>87521</v>
      </c>
      <c r="D1922" t="s">
        <v>1133</v>
      </c>
      <c r="E1922">
        <v>127.5</v>
      </c>
      <c r="F1922">
        <v>20130923</v>
      </c>
      <c r="G1922" t="s">
        <v>145</v>
      </c>
      <c r="H1922" t="s">
        <v>1134</v>
      </c>
      <c r="I1922" t="s">
        <v>38</v>
      </c>
    </row>
    <row r="1923" spans="1:9" x14ac:dyDescent="0.25">
      <c r="A1923">
        <v>20130926</v>
      </c>
      <c r="B1923" t="str">
        <f>"111820"</f>
        <v>111820</v>
      </c>
      <c r="C1923" t="str">
        <f>"63875"</f>
        <v>63875</v>
      </c>
      <c r="D1923" t="s">
        <v>1135</v>
      </c>
      <c r="E1923">
        <v>379.99</v>
      </c>
      <c r="F1923">
        <v>20130926</v>
      </c>
      <c r="G1923" t="s">
        <v>331</v>
      </c>
      <c r="H1923" t="s">
        <v>1136</v>
      </c>
      <c r="I1923" t="s">
        <v>12</v>
      </c>
    </row>
    <row r="1924" spans="1:9" x14ac:dyDescent="0.25">
      <c r="A1924">
        <v>20130926</v>
      </c>
      <c r="B1924" t="str">
        <f>"111821"</f>
        <v>111821</v>
      </c>
      <c r="C1924" t="str">
        <f>"87288"</f>
        <v>87288</v>
      </c>
      <c r="D1924" t="s">
        <v>1137</v>
      </c>
      <c r="E1924">
        <v>60</v>
      </c>
      <c r="F1924">
        <v>20130924</v>
      </c>
      <c r="G1924" t="s">
        <v>413</v>
      </c>
      <c r="H1924" t="s">
        <v>1138</v>
      </c>
      <c r="I1924" t="s">
        <v>21</v>
      </c>
    </row>
    <row r="1925" spans="1:9" x14ac:dyDescent="0.25">
      <c r="A1925">
        <v>20130926</v>
      </c>
      <c r="B1925" t="str">
        <f>"111822"</f>
        <v>111822</v>
      </c>
      <c r="C1925" t="str">
        <f>"87520"</f>
        <v>87520</v>
      </c>
      <c r="D1925" t="s">
        <v>1139</v>
      </c>
      <c r="E1925" s="1">
        <v>1693.62</v>
      </c>
      <c r="F1925">
        <v>20130923</v>
      </c>
      <c r="G1925" t="s">
        <v>1140</v>
      </c>
      <c r="H1925" t="s">
        <v>1141</v>
      </c>
      <c r="I1925" t="s">
        <v>12</v>
      </c>
    </row>
    <row r="1926" spans="1:9" x14ac:dyDescent="0.25">
      <c r="A1926">
        <v>20130926</v>
      </c>
      <c r="B1926" t="str">
        <f>"111823"</f>
        <v>111823</v>
      </c>
      <c r="C1926" t="str">
        <f>"87527"</f>
        <v>87527</v>
      </c>
      <c r="D1926" t="s">
        <v>1142</v>
      </c>
      <c r="E1926">
        <v>540</v>
      </c>
      <c r="F1926">
        <v>20130925</v>
      </c>
      <c r="G1926" t="s">
        <v>191</v>
      </c>
      <c r="H1926" t="s">
        <v>1143</v>
      </c>
      <c r="I1926" t="s">
        <v>25</v>
      </c>
    </row>
    <row r="1927" spans="1:9" x14ac:dyDescent="0.25">
      <c r="A1927">
        <v>20130926</v>
      </c>
      <c r="B1927" t="str">
        <f>"111824"</f>
        <v>111824</v>
      </c>
      <c r="C1927" t="str">
        <f>"68510"</f>
        <v>68510</v>
      </c>
      <c r="D1927" t="s">
        <v>1144</v>
      </c>
      <c r="E1927">
        <v>74.7</v>
      </c>
      <c r="F1927">
        <v>20130920</v>
      </c>
      <c r="G1927" t="s">
        <v>1145</v>
      </c>
      <c r="H1927" t="s">
        <v>365</v>
      </c>
      <c r="I1927" t="s">
        <v>73</v>
      </c>
    </row>
    <row r="1928" spans="1:9" x14ac:dyDescent="0.25">
      <c r="A1928">
        <v>20130926</v>
      </c>
      <c r="B1928" t="str">
        <f>"111825"</f>
        <v>111825</v>
      </c>
      <c r="C1928" t="str">
        <f>"82845"</f>
        <v>82845</v>
      </c>
      <c r="D1928" t="s">
        <v>1146</v>
      </c>
      <c r="E1928">
        <v>500</v>
      </c>
      <c r="F1928">
        <v>20130923</v>
      </c>
      <c r="G1928" t="s">
        <v>1147</v>
      </c>
      <c r="H1928" t="s">
        <v>1148</v>
      </c>
      <c r="I1928" t="s">
        <v>21</v>
      </c>
    </row>
    <row r="1929" spans="1:9" x14ac:dyDescent="0.25">
      <c r="A1929">
        <v>20130926</v>
      </c>
      <c r="B1929" t="str">
        <f>"111826"</f>
        <v>111826</v>
      </c>
      <c r="C1929" t="str">
        <f>"68960"</f>
        <v>68960</v>
      </c>
      <c r="D1929" t="s">
        <v>689</v>
      </c>
      <c r="E1929">
        <v>130</v>
      </c>
      <c r="F1929">
        <v>20130925</v>
      </c>
      <c r="G1929" t="s">
        <v>356</v>
      </c>
      <c r="H1929" t="s">
        <v>357</v>
      </c>
      <c r="I1929" t="s">
        <v>61</v>
      </c>
    </row>
    <row r="1930" spans="1:9" x14ac:dyDescent="0.25">
      <c r="A1930">
        <v>20130926</v>
      </c>
      <c r="B1930" t="str">
        <f>"111827"</f>
        <v>111827</v>
      </c>
      <c r="C1930" t="str">
        <f>"86853"</f>
        <v>86853</v>
      </c>
      <c r="D1930" t="s">
        <v>1149</v>
      </c>
      <c r="E1930">
        <v>560</v>
      </c>
      <c r="F1930">
        <v>20130925</v>
      </c>
      <c r="G1930" t="s">
        <v>1150</v>
      </c>
      <c r="H1930" t="s">
        <v>357</v>
      </c>
      <c r="I1930" t="s">
        <v>21</v>
      </c>
    </row>
    <row r="1931" spans="1:9" x14ac:dyDescent="0.25">
      <c r="A1931">
        <v>20130926</v>
      </c>
      <c r="B1931" t="str">
        <f>"111827"</f>
        <v>111827</v>
      </c>
      <c r="C1931" t="str">
        <f>"86853"</f>
        <v>86853</v>
      </c>
      <c r="D1931" t="s">
        <v>1149</v>
      </c>
      <c r="E1931">
        <v>250</v>
      </c>
      <c r="F1931">
        <v>20130923</v>
      </c>
      <c r="G1931" t="s">
        <v>145</v>
      </c>
      <c r="H1931" t="s">
        <v>1151</v>
      </c>
      <c r="I1931" t="s">
        <v>38</v>
      </c>
    </row>
    <row r="1932" spans="1:9" x14ac:dyDescent="0.25">
      <c r="A1932">
        <v>20130926</v>
      </c>
      <c r="B1932" t="str">
        <f>"111828"</f>
        <v>111828</v>
      </c>
      <c r="C1932" t="str">
        <f>"87522"</f>
        <v>87522</v>
      </c>
      <c r="D1932" t="s">
        <v>1152</v>
      </c>
      <c r="E1932">
        <v>365</v>
      </c>
      <c r="F1932">
        <v>20130923</v>
      </c>
      <c r="G1932" t="s">
        <v>890</v>
      </c>
      <c r="H1932" t="s">
        <v>954</v>
      </c>
      <c r="I1932" t="s">
        <v>21</v>
      </c>
    </row>
    <row r="1933" spans="1:9" x14ac:dyDescent="0.25">
      <c r="A1933">
        <v>20130926</v>
      </c>
      <c r="B1933" t="str">
        <f>"111829"</f>
        <v>111829</v>
      </c>
      <c r="C1933" t="str">
        <f>"70665"</f>
        <v>70665</v>
      </c>
      <c r="D1933" t="s">
        <v>693</v>
      </c>
      <c r="E1933">
        <v>110</v>
      </c>
      <c r="F1933">
        <v>20130920</v>
      </c>
      <c r="G1933" t="s">
        <v>1153</v>
      </c>
      <c r="H1933" t="s">
        <v>388</v>
      </c>
      <c r="I1933" t="s">
        <v>61</v>
      </c>
    </row>
    <row r="1934" spans="1:9" x14ac:dyDescent="0.25">
      <c r="A1934">
        <v>20130926</v>
      </c>
      <c r="B1934" t="str">
        <f>"111830"</f>
        <v>111830</v>
      </c>
      <c r="C1934" t="str">
        <f>"87490"</f>
        <v>87490</v>
      </c>
      <c r="D1934" t="s">
        <v>961</v>
      </c>
      <c r="E1934">
        <v>101.61</v>
      </c>
      <c r="F1934">
        <v>20130920</v>
      </c>
      <c r="G1934" t="s">
        <v>774</v>
      </c>
      <c r="H1934" t="s">
        <v>765</v>
      </c>
      <c r="I1934" t="s">
        <v>61</v>
      </c>
    </row>
    <row r="1935" spans="1:9" x14ac:dyDescent="0.25">
      <c r="A1935">
        <v>20130926</v>
      </c>
      <c r="B1935" t="str">
        <f>"111831"</f>
        <v>111831</v>
      </c>
      <c r="C1935" t="str">
        <f>"81398"</f>
        <v>81398</v>
      </c>
      <c r="D1935" t="s">
        <v>1154</v>
      </c>
      <c r="E1935">
        <v>257</v>
      </c>
      <c r="F1935">
        <v>20130923</v>
      </c>
      <c r="G1935" t="s">
        <v>982</v>
      </c>
      <c r="H1935" t="s">
        <v>1155</v>
      </c>
      <c r="I1935" t="s">
        <v>21</v>
      </c>
    </row>
    <row r="1936" spans="1:9" x14ac:dyDescent="0.25">
      <c r="A1936">
        <v>20130926</v>
      </c>
      <c r="B1936" t="str">
        <f>"111832"</f>
        <v>111832</v>
      </c>
      <c r="C1936" t="str">
        <f>"69940"</f>
        <v>69940</v>
      </c>
      <c r="D1936" t="s">
        <v>1156</v>
      </c>
      <c r="E1936">
        <v>179.98</v>
      </c>
      <c r="F1936">
        <v>20130925</v>
      </c>
      <c r="G1936" t="s">
        <v>840</v>
      </c>
      <c r="H1936" t="s">
        <v>1157</v>
      </c>
      <c r="I1936" t="s">
        <v>21</v>
      </c>
    </row>
    <row r="1937" spans="1:9" x14ac:dyDescent="0.25">
      <c r="A1937">
        <v>20130926</v>
      </c>
      <c r="B1937" t="str">
        <f>"111832"</f>
        <v>111832</v>
      </c>
      <c r="C1937" t="str">
        <f>"69940"</f>
        <v>69940</v>
      </c>
      <c r="D1937" t="s">
        <v>1156</v>
      </c>
      <c r="E1937">
        <v>376</v>
      </c>
      <c r="F1937">
        <v>20130925</v>
      </c>
      <c r="G1937" t="s">
        <v>840</v>
      </c>
      <c r="H1937" t="s">
        <v>1158</v>
      </c>
      <c r="I1937" t="s">
        <v>21</v>
      </c>
    </row>
    <row r="1938" spans="1:9" x14ac:dyDescent="0.25">
      <c r="A1938">
        <v>20130926</v>
      </c>
      <c r="B1938" t="str">
        <f>"111832"</f>
        <v>111832</v>
      </c>
      <c r="C1938" t="str">
        <f>"69940"</f>
        <v>69940</v>
      </c>
      <c r="D1938" t="s">
        <v>1156</v>
      </c>
      <c r="E1938">
        <v>384.5</v>
      </c>
      <c r="F1938">
        <v>20130925</v>
      </c>
      <c r="G1938" t="s">
        <v>840</v>
      </c>
      <c r="H1938" t="s">
        <v>1159</v>
      </c>
      <c r="I1938" t="s">
        <v>21</v>
      </c>
    </row>
    <row r="1939" spans="1:9" x14ac:dyDescent="0.25">
      <c r="A1939">
        <v>20130926</v>
      </c>
      <c r="B1939" t="str">
        <f>"111833"</f>
        <v>111833</v>
      </c>
      <c r="C1939" t="str">
        <f>"00332"</f>
        <v>00332</v>
      </c>
      <c r="D1939" t="s">
        <v>1160</v>
      </c>
      <c r="E1939">
        <v>146</v>
      </c>
      <c r="F1939">
        <v>20130920</v>
      </c>
      <c r="G1939" t="s">
        <v>367</v>
      </c>
      <c r="H1939" t="s">
        <v>1161</v>
      </c>
      <c r="I1939" t="s">
        <v>21</v>
      </c>
    </row>
    <row r="1940" spans="1:9" x14ac:dyDescent="0.25">
      <c r="A1940">
        <v>20130926</v>
      </c>
      <c r="B1940" t="str">
        <f>"111834"</f>
        <v>111834</v>
      </c>
      <c r="C1940" t="str">
        <f>"73900"</f>
        <v>73900</v>
      </c>
      <c r="D1940" t="s">
        <v>1162</v>
      </c>
      <c r="E1940">
        <v>83.75</v>
      </c>
      <c r="F1940">
        <v>20130923</v>
      </c>
      <c r="G1940" t="s">
        <v>145</v>
      </c>
      <c r="H1940" t="s">
        <v>1163</v>
      </c>
      <c r="I1940" t="s">
        <v>38</v>
      </c>
    </row>
    <row r="1941" spans="1:9" x14ac:dyDescent="0.25">
      <c r="A1941">
        <v>20130926</v>
      </c>
      <c r="B1941" t="str">
        <f>"111835"</f>
        <v>111835</v>
      </c>
      <c r="C1941" t="str">
        <f>"86085"</f>
        <v>86085</v>
      </c>
      <c r="D1941" t="s">
        <v>703</v>
      </c>
      <c r="E1941">
        <v>76</v>
      </c>
      <c r="F1941">
        <v>20130924</v>
      </c>
      <c r="G1941" t="s">
        <v>704</v>
      </c>
      <c r="H1941" t="s">
        <v>357</v>
      </c>
      <c r="I1941" t="s">
        <v>21</v>
      </c>
    </row>
    <row r="1942" spans="1:9" x14ac:dyDescent="0.25">
      <c r="A1942">
        <v>20130926</v>
      </c>
      <c r="B1942" t="str">
        <f>"111836"</f>
        <v>111836</v>
      </c>
      <c r="C1942" t="str">
        <f>"86440"</f>
        <v>86440</v>
      </c>
      <c r="D1942" t="s">
        <v>1164</v>
      </c>
      <c r="E1942">
        <v>76</v>
      </c>
      <c r="F1942">
        <v>20130925</v>
      </c>
      <c r="G1942" t="s">
        <v>1165</v>
      </c>
      <c r="H1942" t="s">
        <v>1166</v>
      </c>
      <c r="I1942" t="s">
        <v>21</v>
      </c>
    </row>
    <row r="1943" spans="1:9" x14ac:dyDescent="0.25">
      <c r="A1943">
        <v>20130926</v>
      </c>
      <c r="B1943" t="str">
        <f>"111837"</f>
        <v>111837</v>
      </c>
      <c r="C1943" t="str">
        <f>"87189"</f>
        <v>87189</v>
      </c>
      <c r="D1943" t="s">
        <v>730</v>
      </c>
      <c r="E1943">
        <v>457.32</v>
      </c>
      <c r="F1943">
        <v>20130925</v>
      </c>
      <c r="G1943" t="s">
        <v>1167</v>
      </c>
      <c r="H1943" t="s">
        <v>1168</v>
      </c>
      <c r="I1943" t="s">
        <v>21</v>
      </c>
    </row>
    <row r="1944" spans="1:9" x14ac:dyDescent="0.25">
      <c r="A1944">
        <v>20130926</v>
      </c>
      <c r="B1944" t="str">
        <f>"111838"</f>
        <v>111838</v>
      </c>
      <c r="C1944" t="str">
        <f>"81358"</f>
        <v>81358</v>
      </c>
      <c r="D1944" t="s">
        <v>736</v>
      </c>
      <c r="E1944" s="1">
        <v>6581.16</v>
      </c>
      <c r="F1944">
        <v>20130924</v>
      </c>
      <c r="G1944" t="s">
        <v>381</v>
      </c>
      <c r="H1944" t="s">
        <v>738</v>
      </c>
      <c r="I1944" t="s">
        <v>21</v>
      </c>
    </row>
    <row r="1945" spans="1:9" x14ac:dyDescent="0.25">
      <c r="A1945">
        <v>20130926</v>
      </c>
      <c r="B1945" t="str">
        <f>"111839"</f>
        <v>111839</v>
      </c>
      <c r="C1945" t="str">
        <f>"84714"</f>
        <v>84714</v>
      </c>
      <c r="D1945" t="s">
        <v>1169</v>
      </c>
      <c r="E1945">
        <v>417.05</v>
      </c>
      <c r="F1945">
        <v>20130920</v>
      </c>
      <c r="G1945" t="s">
        <v>1170</v>
      </c>
      <c r="H1945" t="s">
        <v>921</v>
      </c>
      <c r="I1945" t="s">
        <v>21</v>
      </c>
    </row>
    <row r="1946" spans="1:9" x14ac:dyDescent="0.25">
      <c r="A1946">
        <v>20130926</v>
      </c>
      <c r="B1946" t="str">
        <f>"111840"</f>
        <v>111840</v>
      </c>
      <c r="C1946" t="str">
        <f>"86821"</f>
        <v>86821</v>
      </c>
      <c r="D1946" t="s">
        <v>1171</v>
      </c>
      <c r="E1946" s="1">
        <v>23343.7</v>
      </c>
      <c r="F1946">
        <v>20130923</v>
      </c>
      <c r="G1946" t="s">
        <v>45</v>
      </c>
      <c r="H1946" t="s">
        <v>1172</v>
      </c>
      <c r="I1946" t="s">
        <v>25</v>
      </c>
    </row>
    <row r="1947" spans="1:9" x14ac:dyDescent="0.25">
      <c r="A1947">
        <v>20130926</v>
      </c>
      <c r="B1947" t="str">
        <f>"111841"</f>
        <v>111841</v>
      </c>
      <c r="C1947" t="str">
        <f>"87518"</f>
        <v>87518</v>
      </c>
      <c r="D1947" t="s">
        <v>1173</v>
      </c>
      <c r="E1947">
        <v>57.57</v>
      </c>
      <c r="F1947">
        <v>20130920</v>
      </c>
      <c r="G1947" t="s">
        <v>1033</v>
      </c>
      <c r="H1947" t="s">
        <v>365</v>
      </c>
      <c r="I1947" t="s">
        <v>21</v>
      </c>
    </row>
    <row r="1948" spans="1:9" x14ac:dyDescent="0.25">
      <c r="A1948">
        <v>20130926</v>
      </c>
      <c r="B1948" t="str">
        <f>"111842"</f>
        <v>111842</v>
      </c>
      <c r="C1948" t="str">
        <f>"82714"</f>
        <v>82714</v>
      </c>
      <c r="D1948" t="s">
        <v>1174</v>
      </c>
      <c r="E1948">
        <v>50</v>
      </c>
      <c r="F1948">
        <v>20130925</v>
      </c>
      <c r="G1948" t="s">
        <v>764</v>
      </c>
      <c r="H1948" t="s">
        <v>765</v>
      </c>
      <c r="I1948" t="s">
        <v>61</v>
      </c>
    </row>
    <row r="1949" spans="1:9" x14ac:dyDescent="0.25">
      <c r="A1949">
        <v>20130926</v>
      </c>
      <c r="B1949" t="str">
        <f>"111842"</f>
        <v>111842</v>
      </c>
      <c r="C1949" t="str">
        <f>"82714"</f>
        <v>82714</v>
      </c>
      <c r="D1949" t="s">
        <v>1174</v>
      </c>
      <c r="E1949">
        <v>80</v>
      </c>
      <c r="F1949">
        <v>20130920</v>
      </c>
      <c r="G1949" t="s">
        <v>1093</v>
      </c>
      <c r="H1949" t="s">
        <v>765</v>
      </c>
      <c r="I1949" t="s">
        <v>61</v>
      </c>
    </row>
    <row r="1950" spans="1:9" x14ac:dyDescent="0.25">
      <c r="A1950">
        <v>20130926</v>
      </c>
      <c r="B1950" t="str">
        <f>"111842"</f>
        <v>111842</v>
      </c>
      <c r="C1950" t="str">
        <f>"82714"</f>
        <v>82714</v>
      </c>
      <c r="D1950" t="s">
        <v>1174</v>
      </c>
      <c r="E1950">
        <v>80</v>
      </c>
      <c r="F1950">
        <v>20130923</v>
      </c>
      <c r="G1950" t="s">
        <v>1093</v>
      </c>
      <c r="H1950" t="s">
        <v>765</v>
      </c>
      <c r="I1950" t="s">
        <v>61</v>
      </c>
    </row>
    <row r="1951" spans="1:9" x14ac:dyDescent="0.25">
      <c r="A1951">
        <v>20130926</v>
      </c>
      <c r="B1951" t="str">
        <f>"111843"</f>
        <v>111843</v>
      </c>
      <c r="C1951" t="str">
        <f>"86521"</f>
        <v>86521</v>
      </c>
      <c r="D1951" t="s">
        <v>988</v>
      </c>
      <c r="E1951">
        <v>107.57</v>
      </c>
      <c r="F1951">
        <v>20130925</v>
      </c>
      <c r="G1951" t="s">
        <v>764</v>
      </c>
      <c r="H1951" t="s">
        <v>765</v>
      </c>
      <c r="I1951" t="s">
        <v>61</v>
      </c>
    </row>
    <row r="1952" spans="1:9" x14ac:dyDescent="0.25">
      <c r="A1952">
        <v>20130926</v>
      </c>
      <c r="B1952" t="str">
        <f>"111843"</f>
        <v>111843</v>
      </c>
      <c r="C1952" t="str">
        <f>"86521"</f>
        <v>86521</v>
      </c>
      <c r="D1952" t="s">
        <v>988</v>
      </c>
      <c r="E1952">
        <v>137.57</v>
      </c>
      <c r="F1952">
        <v>20130920</v>
      </c>
      <c r="G1952" t="s">
        <v>1093</v>
      </c>
      <c r="H1952" t="s">
        <v>765</v>
      </c>
      <c r="I1952" t="s">
        <v>61</v>
      </c>
    </row>
    <row r="1953" spans="1:9" x14ac:dyDescent="0.25">
      <c r="A1953">
        <v>20130926</v>
      </c>
      <c r="B1953" t="str">
        <f>"111843"</f>
        <v>111843</v>
      </c>
      <c r="C1953" t="str">
        <f>"86521"</f>
        <v>86521</v>
      </c>
      <c r="D1953" t="s">
        <v>988</v>
      </c>
      <c r="E1953">
        <v>137.57</v>
      </c>
      <c r="F1953">
        <v>20130923</v>
      </c>
      <c r="G1953" t="s">
        <v>1093</v>
      </c>
      <c r="H1953" t="s">
        <v>765</v>
      </c>
      <c r="I1953" t="s">
        <v>61</v>
      </c>
    </row>
    <row r="1954" spans="1:9" x14ac:dyDescent="0.25">
      <c r="A1954">
        <v>20130926</v>
      </c>
      <c r="B1954" t="str">
        <f t="shared" ref="B1954:B1967" si="149">"111844"</f>
        <v>111844</v>
      </c>
      <c r="C1954" t="str">
        <f t="shared" ref="C1954:C1967" si="150">"80825"</f>
        <v>80825</v>
      </c>
      <c r="D1954" t="s">
        <v>747</v>
      </c>
      <c r="E1954">
        <v>641.76</v>
      </c>
      <c r="F1954">
        <v>20130923</v>
      </c>
      <c r="G1954" t="s">
        <v>748</v>
      </c>
      <c r="H1954" t="s">
        <v>749</v>
      </c>
      <c r="I1954" t="s">
        <v>21</v>
      </c>
    </row>
    <row r="1955" spans="1:9" x14ac:dyDescent="0.25">
      <c r="A1955">
        <v>20130926</v>
      </c>
      <c r="B1955" t="str">
        <f t="shared" si="149"/>
        <v>111844</v>
      </c>
      <c r="C1955" t="str">
        <f t="shared" si="150"/>
        <v>80825</v>
      </c>
      <c r="D1955" t="s">
        <v>747</v>
      </c>
      <c r="E1955">
        <v>276.89999999999998</v>
      </c>
      <c r="F1955">
        <v>20130924</v>
      </c>
      <c r="G1955" t="s">
        <v>748</v>
      </c>
      <c r="H1955" t="s">
        <v>749</v>
      </c>
      <c r="I1955" t="s">
        <v>21</v>
      </c>
    </row>
    <row r="1956" spans="1:9" x14ac:dyDescent="0.25">
      <c r="A1956">
        <v>20130926</v>
      </c>
      <c r="B1956" t="str">
        <f t="shared" si="149"/>
        <v>111844</v>
      </c>
      <c r="C1956" t="str">
        <f t="shared" si="150"/>
        <v>80825</v>
      </c>
      <c r="D1956" t="s">
        <v>747</v>
      </c>
      <c r="E1956">
        <v>320.88</v>
      </c>
      <c r="F1956">
        <v>20130923</v>
      </c>
      <c r="G1956" t="s">
        <v>750</v>
      </c>
      <c r="H1956" t="s">
        <v>749</v>
      </c>
      <c r="I1956" t="s">
        <v>21</v>
      </c>
    </row>
    <row r="1957" spans="1:9" x14ac:dyDescent="0.25">
      <c r="A1957">
        <v>20130926</v>
      </c>
      <c r="B1957" t="str">
        <f t="shared" si="149"/>
        <v>111844</v>
      </c>
      <c r="C1957" t="str">
        <f t="shared" si="150"/>
        <v>80825</v>
      </c>
      <c r="D1957" t="s">
        <v>747</v>
      </c>
      <c r="E1957">
        <v>320.88</v>
      </c>
      <c r="F1957">
        <v>20130923</v>
      </c>
      <c r="G1957" t="s">
        <v>752</v>
      </c>
      <c r="H1957" t="s">
        <v>749</v>
      </c>
      <c r="I1957" t="s">
        <v>21</v>
      </c>
    </row>
    <row r="1958" spans="1:9" x14ac:dyDescent="0.25">
      <c r="A1958">
        <v>20130926</v>
      </c>
      <c r="B1958" t="str">
        <f t="shared" si="149"/>
        <v>111844</v>
      </c>
      <c r="C1958" t="str">
        <f t="shared" si="150"/>
        <v>80825</v>
      </c>
      <c r="D1958" t="s">
        <v>747</v>
      </c>
      <c r="E1958">
        <v>320.88</v>
      </c>
      <c r="F1958">
        <v>20130923</v>
      </c>
      <c r="G1958" t="s">
        <v>753</v>
      </c>
      <c r="H1958" t="s">
        <v>749</v>
      </c>
      <c r="I1958" t="s">
        <v>21</v>
      </c>
    </row>
    <row r="1959" spans="1:9" x14ac:dyDescent="0.25">
      <c r="A1959">
        <v>20130926</v>
      </c>
      <c r="B1959" t="str">
        <f t="shared" si="149"/>
        <v>111844</v>
      </c>
      <c r="C1959" t="str">
        <f t="shared" si="150"/>
        <v>80825</v>
      </c>
      <c r="D1959" t="s">
        <v>747</v>
      </c>
      <c r="E1959">
        <v>320.88</v>
      </c>
      <c r="F1959">
        <v>20130923</v>
      </c>
      <c r="G1959" t="s">
        <v>754</v>
      </c>
      <c r="H1959" t="s">
        <v>749</v>
      </c>
      <c r="I1959" t="s">
        <v>21</v>
      </c>
    </row>
    <row r="1960" spans="1:9" x14ac:dyDescent="0.25">
      <c r="A1960">
        <v>20130926</v>
      </c>
      <c r="B1960" t="str">
        <f t="shared" si="149"/>
        <v>111844</v>
      </c>
      <c r="C1960" t="str">
        <f t="shared" si="150"/>
        <v>80825</v>
      </c>
      <c r="D1960" t="s">
        <v>747</v>
      </c>
      <c r="E1960">
        <v>320.88</v>
      </c>
      <c r="F1960">
        <v>20130923</v>
      </c>
      <c r="G1960" t="s">
        <v>990</v>
      </c>
      <c r="H1960" t="s">
        <v>749</v>
      </c>
      <c r="I1960" t="s">
        <v>21</v>
      </c>
    </row>
    <row r="1961" spans="1:9" x14ac:dyDescent="0.25">
      <c r="A1961">
        <v>20130926</v>
      </c>
      <c r="B1961" t="str">
        <f t="shared" si="149"/>
        <v>111844</v>
      </c>
      <c r="C1961" t="str">
        <f t="shared" si="150"/>
        <v>80825</v>
      </c>
      <c r="D1961" t="s">
        <v>747</v>
      </c>
      <c r="E1961">
        <v>320.88</v>
      </c>
      <c r="F1961">
        <v>20130923</v>
      </c>
      <c r="G1961" t="s">
        <v>755</v>
      </c>
      <c r="H1961" t="s">
        <v>749</v>
      </c>
      <c r="I1961" t="s">
        <v>21</v>
      </c>
    </row>
    <row r="1962" spans="1:9" x14ac:dyDescent="0.25">
      <c r="A1962">
        <v>20130926</v>
      </c>
      <c r="B1962" t="str">
        <f t="shared" si="149"/>
        <v>111844</v>
      </c>
      <c r="C1962" t="str">
        <f t="shared" si="150"/>
        <v>80825</v>
      </c>
      <c r="D1962" t="s">
        <v>747</v>
      </c>
      <c r="E1962">
        <v>320.88</v>
      </c>
      <c r="F1962">
        <v>20130923</v>
      </c>
      <c r="G1962" t="s">
        <v>756</v>
      </c>
      <c r="H1962" t="s">
        <v>749</v>
      </c>
      <c r="I1962" t="s">
        <v>21</v>
      </c>
    </row>
    <row r="1963" spans="1:9" x14ac:dyDescent="0.25">
      <c r="A1963">
        <v>20130926</v>
      </c>
      <c r="B1963" t="str">
        <f t="shared" si="149"/>
        <v>111844</v>
      </c>
      <c r="C1963" t="str">
        <f t="shared" si="150"/>
        <v>80825</v>
      </c>
      <c r="D1963" t="s">
        <v>747</v>
      </c>
      <c r="E1963">
        <v>106.95</v>
      </c>
      <c r="F1963">
        <v>20130923</v>
      </c>
      <c r="G1963" t="s">
        <v>757</v>
      </c>
      <c r="H1963" t="s">
        <v>749</v>
      </c>
      <c r="I1963" t="s">
        <v>21</v>
      </c>
    </row>
    <row r="1964" spans="1:9" x14ac:dyDescent="0.25">
      <c r="A1964">
        <v>20130926</v>
      </c>
      <c r="B1964" t="str">
        <f t="shared" si="149"/>
        <v>111844</v>
      </c>
      <c r="C1964" t="str">
        <f t="shared" si="150"/>
        <v>80825</v>
      </c>
      <c r="D1964" t="s">
        <v>747</v>
      </c>
      <c r="E1964">
        <v>424.58</v>
      </c>
      <c r="F1964">
        <v>20130923</v>
      </c>
      <c r="G1964" t="s">
        <v>1175</v>
      </c>
      <c r="H1964" t="s">
        <v>749</v>
      </c>
      <c r="I1964" t="s">
        <v>21</v>
      </c>
    </row>
    <row r="1965" spans="1:9" x14ac:dyDescent="0.25">
      <c r="A1965">
        <v>20130926</v>
      </c>
      <c r="B1965" t="str">
        <f t="shared" si="149"/>
        <v>111844</v>
      </c>
      <c r="C1965" t="str">
        <f t="shared" si="150"/>
        <v>80825</v>
      </c>
      <c r="D1965" t="s">
        <v>747</v>
      </c>
      <c r="E1965">
        <v>106.95</v>
      </c>
      <c r="F1965">
        <v>20130923</v>
      </c>
      <c r="G1965" t="s">
        <v>544</v>
      </c>
      <c r="H1965" t="s">
        <v>749</v>
      </c>
      <c r="I1965" t="s">
        <v>21</v>
      </c>
    </row>
    <row r="1966" spans="1:9" x14ac:dyDescent="0.25">
      <c r="A1966">
        <v>20130926</v>
      </c>
      <c r="B1966" t="str">
        <f t="shared" si="149"/>
        <v>111844</v>
      </c>
      <c r="C1966" t="str">
        <f t="shared" si="150"/>
        <v>80825</v>
      </c>
      <c r="D1966" t="s">
        <v>747</v>
      </c>
      <c r="E1966">
        <v>106.95</v>
      </c>
      <c r="F1966">
        <v>20130923</v>
      </c>
      <c r="G1966" t="s">
        <v>545</v>
      </c>
      <c r="H1966" t="s">
        <v>749</v>
      </c>
      <c r="I1966" t="s">
        <v>21</v>
      </c>
    </row>
    <row r="1967" spans="1:9" x14ac:dyDescent="0.25">
      <c r="A1967">
        <v>20130926</v>
      </c>
      <c r="B1967" t="str">
        <f t="shared" si="149"/>
        <v>111844</v>
      </c>
      <c r="C1967" t="str">
        <f t="shared" si="150"/>
        <v>80825</v>
      </c>
      <c r="D1967" t="s">
        <v>747</v>
      </c>
      <c r="E1967">
        <v>345.9</v>
      </c>
      <c r="F1967">
        <v>20130923</v>
      </c>
      <c r="G1967" t="s">
        <v>1176</v>
      </c>
      <c r="H1967" t="s">
        <v>749</v>
      </c>
      <c r="I1967" t="s">
        <v>21</v>
      </c>
    </row>
    <row r="1968" spans="1:9" x14ac:dyDescent="0.25">
      <c r="A1968">
        <v>20131003</v>
      </c>
      <c r="B1968" t="str">
        <f>"111845"</f>
        <v>111845</v>
      </c>
      <c r="C1968" t="str">
        <f>"00923"</f>
        <v>00923</v>
      </c>
      <c r="D1968" t="s">
        <v>1177</v>
      </c>
      <c r="E1968">
        <v>55.44</v>
      </c>
      <c r="F1968">
        <v>20131001</v>
      </c>
      <c r="G1968" t="s">
        <v>1178</v>
      </c>
      <c r="H1968" t="s">
        <v>365</v>
      </c>
      <c r="I1968" t="s">
        <v>21</v>
      </c>
    </row>
    <row r="1969" spans="1:9" x14ac:dyDescent="0.25">
      <c r="A1969">
        <v>20131003</v>
      </c>
      <c r="B1969" t="str">
        <f>"111846"</f>
        <v>111846</v>
      </c>
      <c r="C1969" t="str">
        <f>"87137"</f>
        <v>87137</v>
      </c>
      <c r="D1969" t="s">
        <v>1179</v>
      </c>
      <c r="E1969">
        <v>178.2</v>
      </c>
      <c r="F1969">
        <v>20131002</v>
      </c>
      <c r="G1969" t="s">
        <v>1178</v>
      </c>
      <c r="H1969" t="s">
        <v>365</v>
      </c>
      <c r="I1969" t="s">
        <v>21</v>
      </c>
    </row>
    <row r="1970" spans="1:9" x14ac:dyDescent="0.25">
      <c r="A1970">
        <v>20131003</v>
      </c>
      <c r="B1970" t="str">
        <f>"111847"</f>
        <v>111847</v>
      </c>
      <c r="C1970" t="str">
        <f>"84694"</f>
        <v>84694</v>
      </c>
      <c r="D1970" t="s">
        <v>1180</v>
      </c>
      <c r="E1970">
        <v>598.85</v>
      </c>
      <c r="F1970">
        <v>20131001</v>
      </c>
      <c r="G1970" t="s">
        <v>1020</v>
      </c>
      <c r="H1970" t="s">
        <v>1181</v>
      </c>
      <c r="I1970" t="s">
        <v>21</v>
      </c>
    </row>
    <row r="1971" spans="1:9" x14ac:dyDescent="0.25">
      <c r="A1971">
        <v>20131003</v>
      </c>
      <c r="B1971" t="str">
        <f>"111848"</f>
        <v>111848</v>
      </c>
      <c r="C1971" t="str">
        <f>"00500"</f>
        <v>00500</v>
      </c>
      <c r="D1971" t="s">
        <v>486</v>
      </c>
      <c r="E1971" s="1">
        <v>6890.53</v>
      </c>
      <c r="F1971">
        <v>20131001</v>
      </c>
      <c r="G1971" t="s">
        <v>1182</v>
      </c>
      <c r="H1971" t="s">
        <v>488</v>
      </c>
      <c r="I1971" t="s">
        <v>21</v>
      </c>
    </row>
    <row r="1972" spans="1:9" x14ac:dyDescent="0.25">
      <c r="A1972">
        <v>20131003</v>
      </c>
      <c r="B1972" t="str">
        <f>"111849"</f>
        <v>111849</v>
      </c>
      <c r="C1972" t="str">
        <f>"00255"</f>
        <v>00255</v>
      </c>
      <c r="D1972" t="s">
        <v>489</v>
      </c>
      <c r="E1972">
        <v>37.99</v>
      </c>
      <c r="F1972">
        <v>20131001</v>
      </c>
      <c r="G1972" t="s">
        <v>1183</v>
      </c>
      <c r="H1972" t="s">
        <v>488</v>
      </c>
      <c r="I1972" t="s">
        <v>21</v>
      </c>
    </row>
    <row r="1973" spans="1:9" x14ac:dyDescent="0.25">
      <c r="A1973">
        <v>20131003</v>
      </c>
      <c r="B1973" t="str">
        <f>"111849"</f>
        <v>111849</v>
      </c>
      <c r="C1973" t="str">
        <f>"00255"</f>
        <v>00255</v>
      </c>
      <c r="D1973" t="s">
        <v>489</v>
      </c>
      <c r="E1973">
        <v>188.14</v>
      </c>
      <c r="F1973">
        <v>20131001</v>
      </c>
      <c r="G1973" t="s">
        <v>1183</v>
      </c>
      <c r="H1973" t="s">
        <v>488</v>
      </c>
      <c r="I1973" t="s">
        <v>21</v>
      </c>
    </row>
    <row r="1974" spans="1:9" x14ac:dyDescent="0.25">
      <c r="A1974">
        <v>20131003</v>
      </c>
      <c r="B1974" t="str">
        <f>"111849"</f>
        <v>111849</v>
      </c>
      <c r="C1974" t="str">
        <f>"00255"</f>
        <v>00255</v>
      </c>
      <c r="D1974" t="s">
        <v>489</v>
      </c>
      <c r="E1974">
        <v>182.62</v>
      </c>
      <c r="F1974">
        <v>20131001</v>
      </c>
      <c r="G1974" t="s">
        <v>1184</v>
      </c>
      <c r="H1974" t="s">
        <v>488</v>
      </c>
      <c r="I1974" t="s">
        <v>21</v>
      </c>
    </row>
    <row r="1975" spans="1:9" x14ac:dyDescent="0.25">
      <c r="A1975">
        <v>20131003</v>
      </c>
      <c r="B1975" t="str">
        <f>"111849"</f>
        <v>111849</v>
      </c>
      <c r="C1975" t="str">
        <f>"00255"</f>
        <v>00255</v>
      </c>
      <c r="D1975" t="s">
        <v>489</v>
      </c>
      <c r="E1975">
        <v>252.5</v>
      </c>
      <c r="F1975">
        <v>20131001</v>
      </c>
      <c r="G1975" t="s">
        <v>1185</v>
      </c>
      <c r="H1975" t="s">
        <v>488</v>
      </c>
      <c r="I1975" t="s">
        <v>21</v>
      </c>
    </row>
    <row r="1976" spans="1:9" x14ac:dyDescent="0.25">
      <c r="A1976">
        <v>20131003</v>
      </c>
      <c r="B1976" t="str">
        <f>"111849"</f>
        <v>111849</v>
      </c>
      <c r="C1976" t="str">
        <f>"00255"</f>
        <v>00255</v>
      </c>
      <c r="D1976" t="s">
        <v>489</v>
      </c>
      <c r="E1976">
        <v>231.04</v>
      </c>
      <c r="F1976">
        <v>20131001</v>
      </c>
      <c r="G1976" t="s">
        <v>1186</v>
      </c>
      <c r="H1976" t="s">
        <v>488</v>
      </c>
      <c r="I1976" t="s">
        <v>21</v>
      </c>
    </row>
    <row r="1977" spans="1:9" x14ac:dyDescent="0.25">
      <c r="A1977">
        <v>20131003</v>
      </c>
      <c r="B1977" t="str">
        <f>"111850"</f>
        <v>111850</v>
      </c>
      <c r="C1977" t="str">
        <f>"07680"</f>
        <v>07680</v>
      </c>
      <c r="D1977" t="s">
        <v>1187</v>
      </c>
      <c r="E1977">
        <v>511</v>
      </c>
      <c r="F1977">
        <v>20131001</v>
      </c>
      <c r="G1977" t="s">
        <v>1188</v>
      </c>
      <c r="H1977" t="s">
        <v>1189</v>
      </c>
      <c r="I1977" t="s">
        <v>21</v>
      </c>
    </row>
    <row r="1978" spans="1:9" x14ac:dyDescent="0.25">
      <c r="A1978">
        <v>20131003</v>
      </c>
      <c r="B1978" t="str">
        <f>"111851"</f>
        <v>111851</v>
      </c>
      <c r="C1978" t="str">
        <f>"86518"</f>
        <v>86518</v>
      </c>
      <c r="D1978" t="s">
        <v>1190</v>
      </c>
      <c r="E1978">
        <v>344.48</v>
      </c>
      <c r="F1978">
        <v>20131002</v>
      </c>
      <c r="G1978" t="s">
        <v>1064</v>
      </c>
      <c r="H1978" t="s">
        <v>1191</v>
      </c>
      <c r="I1978" t="s">
        <v>21</v>
      </c>
    </row>
    <row r="1979" spans="1:9" x14ac:dyDescent="0.25">
      <c r="A1979">
        <v>20131003</v>
      </c>
      <c r="B1979" t="str">
        <f>"111852"</f>
        <v>111852</v>
      </c>
      <c r="C1979" t="str">
        <f>"83939"</f>
        <v>83939</v>
      </c>
      <c r="D1979" t="s">
        <v>1192</v>
      </c>
      <c r="E1979" s="1">
        <v>1125</v>
      </c>
      <c r="F1979">
        <v>20131002</v>
      </c>
      <c r="G1979" t="s">
        <v>1193</v>
      </c>
      <c r="H1979" t="s">
        <v>921</v>
      </c>
      <c r="I1979" t="s">
        <v>25</v>
      </c>
    </row>
    <row r="1980" spans="1:9" x14ac:dyDescent="0.25">
      <c r="A1980">
        <v>20131003</v>
      </c>
      <c r="B1980" t="str">
        <f>"111853"</f>
        <v>111853</v>
      </c>
      <c r="C1980" t="str">
        <f>"87535"</f>
        <v>87535</v>
      </c>
      <c r="D1980" t="s">
        <v>1194</v>
      </c>
      <c r="E1980">
        <v>700</v>
      </c>
      <c r="F1980">
        <v>20131001</v>
      </c>
      <c r="G1980" t="s">
        <v>291</v>
      </c>
      <c r="H1980" t="s">
        <v>1195</v>
      </c>
      <c r="I1980" t="s">
        <v>25</v>
      </c>
    </row>
    <row r="1981" spans="1:9" x14ac:dyDescent="0.25">
      <c r="A1981">
        <v>20131003</v>
      </c>
      <c r="B1981" t="str">
        <f>"111854"</f>
        <v>111854</v>
      </c>
      <c r="C1981" t="str">
        <f>"12392"</f>
        <v>12392</v>
      </c>
      <c r="D1981" t="s">
        <v>1196</v>
      </c>
      <c r="E1981">
        <v>31.46</v>
      </c>
      <c r="F1981">
        <v>20131001</v>
      </c>
      <c r="G1981" t="s">
        <v>1197</v>
      </c>
      <c r="H1981" t="s">
        <v>563</v>
      </c>
      <c r="I1981" t="s">
        <v>21</v>
      </c>
    </row>
    <row r="1982" spans="1:9" x14ac:dyDescent="0.25">
      <c r="A1982">
        <v>20131003</v>
      </c>
      <c r="B1982" t="str">
        <f>"111854"</f>
        <v>111854</v>
      </c>
      <c r="C1982" t="str">
        <f>"12392"</f>
        <v>12392</v>
      </c>
      <c r="D1982" t="s">
        <v>1196</v>
      </c>
      <c r="E1982">
        <v>57.57</v>
      </c>
      <c r="F1982">
        <v>20131001</v>
      </c>
      <c r="G1982" t="s">
        <v>1197</v>
      </c>
      <c r="H1982" t="s">
        <v>365</v>
      </c>
      <c r="I1982" t="s">
        <v>21</v>
      </c>
    </row>
    <row r="1983" spans="1:9" x14ac:dyDescent="0.25">
      <c r="A1983">
        <v>20131003</v>
      </c>
      <c r="B1983" t="str">
        <f>"111855"</f>
        <v>111855</v>
      </c>
      <c r="C1983" t="str">
        <f>"13257"</f>
        <v>13257</v>
      </c>
      <c r="D1983" t="s">
        <v>1198</v>
      </c>
      <c r="E1983">
        <v>27.95</v>
      </c>
      <c r="F1983">
        <v>20131001</v>
      </c>
      <c r="G1983" t="s">
        <v>562</v>
      </c>
      <c r="H1983" t="s">
        <v>563</v>
      </c>
      <c r="I1983" t="s">
        <v>21</v>
      </c>
    </row>
    <row r="1984" spans="1:9" x14ac:dyDescent="0.25">
      <c r="A1984">
        <v>20131003</v>
      </c>
      <c r="B1984" t="str">
        <f>"111856"</f>
        <v>111856</v>
      </c>
      <c r="C1984" t="str">
        <f>"10075"</f>
        <v>10075</v>
      </c>
      <c r="D1984" t="s">
        <v>1199</v>
      </c>
      <c r="E1984" s="1">
        <v>2476</v>
      </c>
      <c r="F1984">
        <v>20131001</v>
      </c>
      <c r="G1984" t="s">
        <v>1200</v>
      </c>
      <c r="H1984" t="s">
        <v>1201</v>
      </c>
      <c r="I1984" t="s">
        <v>61</v>
      </c>
    </row>
    <row r="1985" spans="1:9" x14ac:dyDescent="0.25">
      <c r="A1985">
        <v>20131003</v>
      </c>
      <c r="B1985" t="str">
        <f>"111857"</f>
        <v>111857</v>
      </c>
      <c r="C1985" t="str">
        <f>"15897"</f>
        <v>15897</v>
      </c>
      <c r="D1985" t="s">
        <v>1012</v>
      </c>
      <c r="E1985">
        <v>180</v>
      </c>
      <c r="F1985">
        <v>20131001</v>
      </c>
      <c r="G1985" t="s">
        <v>699</v>
      </c>
      <c r="H1985" t="s">
        <v>820</v>
      </c>
      <c r="I1985" t="s">
        <v>61</v>
      </c>
    </row>
    <row r="1986" spans="1:9" x14ac:dyDescent="0.25">
      <c r="A1986">
        <v>20131003</v>
      </c>
      <c r="B1986" t="str">
        <f>"111858"</f>
        <v>111858</v>
      </c>
      <c r="C1986" t="str">
        <f>"87531"</f>
        <v>87531</v>
      </c>
      <c r="D1986" t="s">
        <v>1202</v>
      </c>
      <c r="E1986">
        <v>400</v>
      </c>
      <c r="F1986">
        <v>20131001</v>
      </c>
      <c r="G1986" t="s">
        <v>347</v>
      </c>
      <c r="H1986" t="s">
        <v>361</v>
      </c>
      <c r="I1986" t="s">
        <v>61</v>
      </c>
    </row>
    <row r="1987" spans="1:9" x14ac:dyDescent="0.25">
      <c r="A1987">
        <v>20131003</v>
      </c>
      <c r="B1987" t="str">
        <f>"111859"</f>
        <v>111859</v>
      </c>
      <c r="C1987" t="str">
        <f>"78600"</f>
        <v>78600</v>
      </c>
      <c r="D1987" t="s">
        <v>1203</v>
      </c>
      <c r="E1987">
        <v>136.25</v>
      </c>
      <c r="F1987">
        <v>20131001</v>
      </c>
      <c r="G1987" t="s">
        <v>496</v>
      </c>
      <c r="H1987" t="s">
        <v>499</v>
      </c>
      <c r="I1987" t="s">
        <v>21</v>
      </c>
    </row>
    <row r="1988" spans="1:9" x14ac:dyDescent="0.25">
      <c r="A1988">
        <v>20131003</v>
      </c>
      <c r="B1988" t="str">
        <f>"111859"</f>
        <v>111859</v>
      </c>
      <c r="C1988" t="str">
        <f>"78600"</f>
        <v>78600</v>
      </c>
      <c r="D1988" t="s">
        <v>1203</v>
      </c>
      <c r="E1988">
        <v>58.44</v>
      </c>
      <c r="F1988">
        <v>20131001</v>
      </c>
      <c r="G1988" t="s">
        <v>496</v>
      </c>
      <c r="H1988" t="s">
        <v>414</v>
      </c>
      <c r="I1988" t="s">
        <v>21</v>
      </c>
    </row>
    <row r="1989" spans="1:9" x14ac:dyDescent="0.25">
      <c r="A1989">
        <v>20131003</v>
      </c>
      <c r="B1989" t="str">
        <f>"111860"</f>
        <v>111860</v>
      </c>
      <c r="C1989" t="str">
        <f>"15955"</f>
        <v>15955</v>
      </c>
      <c r="D1989" t="s">
        <v>1204</v>
      </c>
      <c r="E1989">
        <v>463.9</v>
      </c>
      <c r="F1989">
        <v>20131001</v>
      </c>
      <c r="G1989" t="s">
        <v>1028</v>
      </c>
      <c r="H1989" t="s">
        <v>1205</v>
      </c>
      <c r="I1989" t="s">
        <v>38</v>
      </c>
    </row>
    <row r="1990" spans="1:9" x14ac:dyDescent="0.25">
      <c r="A1990">
        <v>20131003</v>
      </c>
      <c r="B1990" t="str">
        <f>"111861"</f>
        <v>111861</v>
      </c>
      <c r="C1990" t="str">
        <f>"87538"</f>
        <v>87538</v>
      </c>
      <c r="D1990" t="s">
        <v>1206</v>
      </c>
      <c r="E1990">
        <v>655.5</v>
      </c>
      <c r="F1990">
        <v>20131002</v>
      </c>
      <c r="G1990" t="s">
        <v>181</v>
      </c>
      <c r="H1990" t="s">
        <v>1207</v>
      </c>
      <c r="I1990" t="s">
        <v>38</v>
      </c>
    </row>
    <row r="1991" spans="1:9" x14ac:dyDescent="0.25">
      <c r="A1991">
        <v>20131003</v>
      </c>
      <c r="B1991" t="str">
        <f>"111861"</f>
        <v>111861</v>
      </c>
      <c r="C1991" t="str">
        <f>"87538"</f>
        <v>87538</v>
      </c>
      <c r="D1991" t="s">
        <v>1206</v>
      </c>
      <c r="E1991">
        <v>-655.5</v>
      </c>
      <c r="F1991">
        <v>20131023</v>
      </c>
      <c r="G1991" t="s">
        <v>181</v>
      </c>
      <c r="H1991" t="s">
        <v>1208</v>
      </c>
      <c r="I1991" t="s">
        <v>38</v>
      </c>
    </row>
    <row r="1992" spans="1:9" x14ac:dyDescent="0.25">
      <c r="A1992">
        <v>20131003</v>
      </c>
      <c r="B1992" t="str">
        <f>"111862"</f>
        <v>111862</v>
      </c>
      <c r="C1992" t="str">
        <f>"84398"</f>
        <v>84398</v>
      </c>
      <c r="D1992" t="s">
        <v>349</v>
      </c>
      <c r="E1992">
        <v>390</v>
      </c>
      <c r="F1992">
        <v>20131002</v>
      </c>
      <c r="G1992" t="s">
        <v>1209</v>
      </c>
      <c r="H1992" t="s">
        <v>811</v>
      </c>
      <c r="I1992" t="s">
        <v>25</v>
      </c>
    </row>
    <row r="1993" spans="1:9" x14ac:dyDescent="0.25">
      <c r="A1993">
        <v>20131003</v>
      </c>
      <c r="B1993" t="str">
        <f>"111863"</f>
        <v>111863</v>
      </c>
      <c r="C1993" t="str">
        <f>"85203"</f>
        <v>85203</v>
      </c>
      <c r="D1993" t="s">
        <v>1210</v>
      </c>
      <c r="E1993">
        <v>415</v>
      </c>
      <c r="F1993">
        <v>20131001</v>
      </c>
      <c r="G1993" t="s">
        <v>356</v>
      </c>
      <c r="H1993" t="s">
        <v>357</v>
      </c>
      <c r="I1993" t="s">
        <v>61</v>
      </c>
    </row>
    <row r="1994" spans="1:9" x14ac:dyDescent="0.25">
      <c r="A1994">
        <v>20131003</v>
      </c>
      <c r="B1994" t="str">
        <f>"111864"</f>
        <v>111864</v>
      </c>
      <c r="C1994" t="str">
        <f>"18025"</f>
        <v>18025</v>
      </c>
      <c r="D1994" t="s">
        <v>514</v>
      </c>
      <c r="E1994">
        <v>603.75</v>
      </c>
      <c r="F1994">
        <v>20131001</v>
      </c>
      <c r="G1994" t="s">
        <v>356</v>
      </c>
      <c r="H1994" t="s">
        <v>357</v>
      </c>
      <c r="I1994" t="s">
        <v>61</v>
      </c>
    </row>
    <row r="1995" spans="1:9" x14ac:dyDescent="0.25">
      <c r="A1995">
        <v>20131003</v>
      </c>
      <c r="B1995" t="str">
        <f>"111865"</f>
        <v>111865</v>
      </c>
      <c r="C1995" t="str">
        <f>"18025"</f>
        <v>18025</v>
      </c>
      <c r="D1995" t="s">
        <v>514</v>
      </c>
      <c r="E1995">
        <v>320</v>
      </c>
      <c r="F1995">
        <v>20131001</v>
      </c>
      <c r="G1995" t="s">
        <v>356</v>
      </c>
      <c r="H1995" t="s">
        <v>357</v>
      </c>
      <c r="I1995" t="s">
        <v>61</v>
      </c>
    </row>
    <row r="1996" spans="1:9" x14ac:dyDescent="0.25">
      <c r="A1996">
        <v>20131003</v>
      </c>
      <c r="B1996" t="str">
        <f>"111866"</f>
        <v>111866</v>
      </c>
      <c r="C1996" t="str">
        <f>"83876"</f>
        <v>83876</v>
      </c>
      <c r="D1996" t="s">
        <v>1211</v>
      </c>
      <c r="E1996">
        <v>45.44</v>
      </c>
      <c r="F1996">
        <v>20131001</v>
      </c>
      <c r="G1996" t="s">
        <v>415</v>
      </c>
      <c r="H1996" t="s">
        <v>414</v>
      </c>
      <c r="I1996" t="s">
        <v>21</v>
      </c>
    </row>
    <row r="1997" spans="1:9" x14ac:dyDescent="0.25">
      <c r="A1997">
        <v>20131003</v>
      </c>
      <c r="B1997" t="str">
        <f t="shared" ref="B1997:B2013" si="151">"111867"</f>
        <v>111867</v>
      </c>
      <c r="C1997" t="str">
        <f t="shared" ref="C1997:C2013" si="152">"18200"</f>
        <v>18200</v>
      </c>
      <c r="D1997" t="s">
        <v>516</v>
      </c>
      <c r="E1997">
        <v>334.35</v>
      </c>
      <c r="F1997">
        <v>20131001</v>
      </c>
      <c r="G1997" t="s">
        <v>456</v>
      </c>
      <c r="H1997" t="s">
        <v>488</v>
      </c>
      <c r="I1997" t="s">
        <v>21</v>
      </c>
    </row>
    <row r="1998" spans="1:9" x14ac:dyDescent="0.25">
      <c r="A1998">
        <v>20131003</v>
      </c>
      <c r="B1998" t="str">
        <f t="shared" si="151"/>
        <v>111867</v>
      </c>
      <c r="C1998" t="str">
        <f t="shared" si="152"/>
        <v>18200</v>
      </c>
      <c r="D1998" t="s">
        <v>516</v>
      </c>
      <c r="E1998" s="1">
        <v>1818.37</v>
      </c>
      <c r="F1998">
        <v>20131001</v>
      </c>
      <c r="G1998" t="s">
        <v>456</v>
      </c>
      <c r="H1998" t="s">
        <v>488</v>
      </c>
      <c r="I1998" t="s">
        <v>21</v>
      </c>
    </row>
    <row r="1999" spans="1:9" x14ac:dyDescent="0.25">
      <c r="A1999">
        <v>20131003</v>
      </c>
      <c r="B1999" t="str">
        <f t="shared" si="151"/>
        <v>111867</v>
      </c>
      <c r="C1999" t="str">
        <f t="shared" si="152"/>
        <v>18200</v>
      </c>
      <c r="D1999" t="s">
        <v>516</v>
      </c>
      <c r="E1999">
        <v>89.72</v>
      </c>
      <c r="F1999">
        <v>20131001</v>
      </c>
      <c r="G1999" t="s">
        <v>456</v>
      </c>
      <c r="H1999" t="s">
        <v>488</v>
      </c>
      <c r="I1999" t="s">
        <v>21</v>
      </c>
    </row>
    <row r="2000" spans="1:9" x14ac:dyDescent="0.25">
      <c r="A2000">
        <v>20131003</v>
      </c>
      <c r="B2000" t="str">
        <f t="shared" si="151"/>
        <v>111867</v>
      </c>
      <c r="C2000" t="str">
        <f t="shared" si="152"/>
        <v>18200</v>
      </c>
      <c r="D2000" t="s">
        <v>516</v>
      </c>
      <c r="E2000">
        <v>562.48</v>
      </c>
      <c r="F2000">
        <v>20131001</v>
      </c>
      <c r="G2000" t="s">
        <v>457</v>
      </c>
      <c r="H2000" t="s">
        <v>488</v>
      </c>
      <c r="I2000" t="s">
        <v>21</v>
      </c>
    </row>
    <row r="2001" spans="1:9" x14ac:dyDescent="0.25">
      <c r="A2001">
        <v>20131003</v>
      </c>
      <c r="B2001" t="str">
        <f t="shared" si="151"/>
        <v>111867</v>
      </c>
      <c r="C2001" t="str">
        <f t="shared" si="152"/>
        <v>18200</v>
      </c>
      <c r="D2001" t="s">
        <v>516</v>
      </c>
      <c r="E2001" s="1">
        <v>1822.55</v>
      </c>
      <c r="F2001">
        <v>20131001</v>
      </c>
      <c r="G2001" t="s">
        <v>458</v>
      </c>
      <c r="H2001" t="s">
        <v>488</v>
      </c>
      <c r="I2001" t="s">
        <v>21</v>
      </c>
    </row>
    <row r="2002" spans="1:9" x14ac:dyDescent="0.25">
      <c r="A2002">
        <v>20131003</v>
      </c>
      <c r="B2002" t="str">
        <f t="shared" si="151"/>
        <v>111867</v>
      </c>
      <c r="C2002" t="str">
        <f t="shared" si="152"/>
        <v>18200</v>
      </c>
      <c r="D2002" t="s">
        <v>516</v>
      </c>
      <c r="E2002">
        <v>421.79</v>
      </c>
      <c r="F2002">
        <v>20131001</v>
      </c>
      <c r="G2002" t="s">
        <v>458</v>
      </c>
      <c r="H2002" t="s">
        <v>488</v>
      </c>
      <c r="I2002" t="s">
        <v>21</v>
      </c>
    </row>
    <row r="2003" spans="1:9" x14ac:dyDescent="0.25">
      <c r="A2003">
        <v>20131003</v>
      </c>
      <c r="B2003" t="str">
        <f t="shared" si="151"/>
        <v>111867</v>
      </c>
      <c r="C2003" t="str">
        <f t="shared" si="152"/>
        <v>18200</v>
      </c>
      <c r="D2003" t="s">
        <v>516</v>
      </c>
      <c r="E2003">
        <v>260.62</v>
      </c>
      <c r="F2003">
        <v>20131001</v>
      </c>
      <c r="G2003" t="s">
        <v>460</v>
      </c>
      <c r="H2003" t="s">
        <v>488</v>
      </c>
      <c r="I2003" t="s">
        <v>21</v>
      </c>
    </row>
    <row r="2004" spans="1:9" x14ac:dyDescent="0.25">
      <c r="A2004">
        <v>20131003</v>
      </c>
      <c r="B2004" t="str">
        <f t="shared" si="151"/>
        <v>111867</v>
      </c>
      <c r="C2004" t="str">
        <f t="shared" si="152"/>
        <v>18200</v>
      </c>
      <c r="D2004" t="s">
        <v>516</v>
      </c>
      <c r="E2004">
        <v>28.49</v>
      </c>
      <c r="F2004">
        <v>20131001</v>
      </c>
      <c r="G2004" t="s">
        <v>460</v>
      </c>
      <c r="H2004" t="s">
        <v>488</v>
      </c>
      <c r="I2004" t="s">
        <v>21</v>
      </c>
    </row>
    <row r="2005" spans="1:9" x14ac:dyDescent="0.25">
      <c r="A2005">
        <v>20131003</v>
      </c>
      <c r="B2005" t="str">
        <f t="shared" si="151"/>
        <v>111867</v>
      </c>
      <c r="C2005" t="str">
        <f t="shared" si="152"/>
        <v>18200</v>
      </c>
      <c r="D2005" t="s">
        <v>516</v>
      </c>
      <c r="E2005">
        <v>330.07</v>
      </c>
      <c r="F2005">
        <v>20131001</v>
      </c>
      <c r="G2005" t="s">
        <v>461</v>
      </c>
      <c r="H2005" t="s">
        <v>488</v>
      </c>
      <c r="I2005" t="s">
        <v>21</v>
      </c>
    </row>
    <row r="2006" spans="1:9" x14ac:dyDescent="0.25">
      <c r="A2006">
        <v>20131003</v>
      </c>
      <c r="B2006" t="str">
        <f t="shared" si="151"/>
        <v>111867</v>
      </c>
      <c r="C2006" t="str">
        <f t="shared" si="152"/>
        <v>18200</v>
      </c>
      <c r="D2006" t="s">
        <v>516</v>
      </c>
      <c r="E2006">
        <v>85.49</v>
      </c>
      <c r="F2006">
        <v>20131001</v>
      </c>
      <c r="G2006" t="s">
        <v>461</v>
      </c>
      <c r="H2006" t="s">
        <v>488</v>
      </c>
      <c r="I2006" t="s">
        <v>21</v>
      </c>
    </row>
    <row r="2007" spans="1:9" x14ac:dyDescent="0.25">
      <c r="A2007">
        <v>20131003</v>
      </c>
      <c r="B2007" t="str">
        <f t="shared" si="151"/>
        <v>111867</v>
      </c>
      <c r="C2007" t="str">
        <f t="shared" si="152"/>
        <v>18200</v>
      </c>
      <c r="D2007" t="s">
        <v>516</v>
      </c>
      <c r="E2007">
        <v>57.6</v>
      </c>
      <c r="F2007">
        <v>20131001</v>
      </c>
      <c r="G2007" t="s">
        <v>461</v>
      </c>
      <c r="H2007" t="s">
        <v>488</v>
      </c>
      <c r="I2007" t="s">
        <v>21</v>
      </c>
    </row>
    <row r="2008" spans="1:9" x14ac:dyDescent="0.25">
      <c r="A2008">
        <v>20131003</v>
      </c>
      <c r="B2008" t="str">
        <f t="shared" si="151"/>
        <v>111867</v>
      </c>
      <c r="C2008" t="str">
        <f t="shared" si="152"/>
        <v>18200</v>
      </c>
      <c r="D2008" t="s">
        <v>516</v>
      </c>
      <c r="E2008">
        <v>169.12</v>
      </c>
      <c r="F2008">
        <v>20131001</v>
      </c>
      <c r="G2008" t="s">
        <v>463</v>
      </c>
      <c r="H2008" t="s">
        <v>488</v>
      </c>
      <c r="I2008" t="s">
        <v>21</v>
      </c>
    </row>
    <row r="2009" spans="1:9" x14ac:dyDescent="0.25">
      <c r="A2009">
        <v>20131003</v>
      </c>
      <c r="B2009" t="str">
        <f t="shared" si="151"/>
        <v>111867</v>
      </c>
      <c r="C2009" t="str">
        <f t="shared" si="152"/>
        <v>18200</v>
      </c>
      <c r="D2009" t="s">
        <v>516</v>
      </c>
      <c r="E2009">
        <v>28.49</v>
      </c>
      <c r="F2009">
        <v>20131001</v>
      </c>
      <c r="G2009" t="s">
        <v>463</v>
      </c>
      <c r="H2009" t="s">
        <v>488</v>
      </c>
      <c r="I2009" t="s">
        <v>21</v>
      </c>
    </row>
    <row r="2010" spans="1:9" x14ac:dyDescent="0.25">
      <c r="A2010">
        <v>20131003</v>
      </c>
      <c r="B2010" t="str">
        <f t="shared" si="151"/>
        <v>111867</v>
      </c>
      <c r="C2010" t="str">
        <f t="shared" si="152"/>
        <v>18200</v>
      </c>
      <c r="D2010" t="s">
        <v>516</v>
      </c>
      <c r="E2010">
        <v>79.89</v>
      </c>
      <c r="F2010">
        <v>20131001</v>
      </c>
      <c r="G2010" t="s">
        <v>463</v>
      </c>
      <c r="H2010" t="s">
        <v>488</v>
      </c>
      <c r="I2010" t="s">
        <v>21</v>
      </c>
    </row>
    <row r="2011" spans="1:9" x14ac:dyDescent="0.25">
      <c r="A2011">
        <v>20131003</v>
      </c>
      <c r="B2011" t="str">
        <f t="shared" si="151"/>
        <v>111867</v>
      </c>
      <c r="C2011" t="str">
        <f t="shared" si="152"/>
        <v>18200</v>
      </c>
      <c r="D2011" t="s">
        <v>516</v>
      </c>
      <c r="E2011">
        <v>146.72</v>
      </c>
      <c r="F2011">
        <v>20131001</v>
      </c>
      <c r="G2011" t="s">
        <v>464</v>
      </c>
      <c r="H2011" t="s">
        <v>488</v>
      </c>
      <c r="I2011" t="s">
        <v>21</v>
      </c>
    </row>
    <row r="2012" spans="1:9" x14ac:dyDescent="0.25">
      <c r="A2012">
        <v>20131003</v>
      </c>
      <c r="B2012" t="str">
        <f t="shared" si="151"/>
        <v>111867</v>
      </c>
      <c r="C2012" t="str">
        <f t="shared" si="152"/>
        <v>18200</v>
      </c>
      <c r="D2012" t="s">
        <v>516</v>
      </c>
      <c r="E2012">
        <v>38</v>
      </c>
      <c r="F2012">
        <v>20131001</v>
      </c>
      <c r="G2012" t="s">
        <v>464</v>
      </c>
      <c r="H2012" t="s">
        <v>488</v>
      </c>
      <c r="I2012" t="s">
        <v>21</v>
      </c>
    </row>
    <row r="2013" spans="1:9" x14ac:dyDescent="0.25">
      <c r="A2013">
        <v>20131003</v>
      </c>
      <c r="B2013" t="str">
        <f t="shared" si="151"/>
        <v>111867</v>
      </c>
      <c r="C2013" t="str">
        <f t="shared" si="152"/>
        <v>18200</v>
      </c>
      <c r="D2013" t="s">
        <v>516</v>
      </c>
      <c r="E2013">
        <v>40.799999999999997</v>
      </c>
      <c r="F2013">
        <v>20131001</v>
      </c>
      <c r="G2013" t="s">
        <v>1212</v>
      </c>
      <c r="H2013" t="s">
        <v>488</v>
      </c>
      <c r="I2013" t="s">
        <v>21</v>
      </c>
    </row>
    <row r="2014" spans="1:9" x14ac:dyDescent="0.25">
      <c r="A2014">
        <v>20131003</v>
      </c>
      <c r="B2014" t="str">
        <f>"111868"</f>
        <v>111868</v>
      </c>
      <c r="C2014" t="str">
        <f>"86541"</f>
        <v>86541</v>
      </c>
      <c r="D2014" t="s">
        <v>1213</v>
      </c>
      <c r="E2014">
        <v>600</v>
      </c>
      <c r="F2014">
        <v>20131001</v>
      </c>
      <c r="G2014" t="s">
        <v>1214</v>
      </c>
      <c r="H2014" t="s">
        <v>1215</v>
      </c>
      <c r="I2014" t="s">
        <v>79</v>
      </c>
    </row>
    <row r="2015" spans="1:9" x14ac:dyDescent="0.25">
      <c r="A2015">
        <v>20131003</v>
      </c>
      <c r="B2015" t="str">
        <f>"111869"</f>
        <v>111869</v>
      </c>
      <c r="C2015" t="str">
        <f>"21325"</f>
        <v>21325</v>
      </c>
      <c r="D2015" t="s">
        <v>1216</v>
      </c>
      <c r="E2015" s="1">
        <v>1528.42</v>
      </c>
      <c r="F2015">
        <v>20131001</v>
      </c>
      <c r="G2015" t="s">
        <v>1064</v>
      </c>
      <c r="H2015" t="s">
        <v>1217</v>
      </c>
      <c r="I2015" t="s">
        <v>21</v>
      </c>
    </row>
    <row r="2016" spans="1:9" x14ac:dyDescent="0.25">
      <c r="A2016">
        <v>20131003</v>
      </c>
      <c r="B2016" t="str">
        <f>"111870"</f>
        <v>111870</v>
      </c>
      <c r="C2016" t="str">
        <f>"84257"</f>
        <v>84257</v>
      </c>
      <c r="D2016" t="s">
        <v>1218</v>
      </c>
      <c r="E2016">
        <v>110.88</v>
      </c>
      <c r="F2016">
        <v>20131001</v>
      </c>
      <c r="G2016" t="s">
        <v>442</v>
      </c>
      <c r="H2016" t="s">
        <v>365</v>
      </c>
      <c r="I2016" t="s">
        <v>66</v>
      </c>
    </row>
    <row r="2017" spans="1:9" x14ac:dyDescent="0.25">
      <c r="A2017">
        <v>20131003</v>
      </c>
      <c r="B2017" t="str">
        <f>"111871"</f>
        <v>111871</v>
      </c>
      <c r="C2017" t="str">
        <f>"21950"</f>
        <v>21950</v>
      </c>
      <c r="D2017" t="s">
        <v>35</v>
      </c>
      <c r="E2017">
        <v>533.45000000000005</v>
      </c>
      <c r="F2017">
        <v>20131002</v>
      </c>
      <c r="G2017" t="s">
        <v>1219</v>
      </c>
      <c r="H2017" t="s">
        <v>1220</v>
      </c>
      <c r="I2017" t="s">
        <v>21</v>
      </c>
    </row>
    <row r="2018" spans="1:9" x14ac:dyDescent="0.25">
      <c r="A2018">
        <v>20131003</v>
      </c>
      <c r="B2018" t="str">
        <f>"111871"</f>
        <v>111871</v>
      </c>
      <c r="C2018" t="str">
        <f>"21950"</f>
        <v>21950</v>
      </c>
      <c r="D2018" t="s">
        <v>35</v>
      </c>
      <c r="E2018" s="1">
        <v>1189.94</v>
      </c>
      <c r="F2018">
        <v>20131002</v>
      </c>
      <c r="G2018" t="s">
        <v>1219</v>
      </c>
      <c r="H2018" t="s">
        <v>1221</v>
      </c>
      <c r="I2018" t="s">
        <v>21</v>
      </c>
    </row>
    <row r="2019" spans="1:9" x14ac:dyDescent="0.25">
      <c r="A2019">
        <v>20131003</v>
      </c>
      <c r="B2019" t="str">
        <f t="shared" ref="B2019:B2029" si="153">"111872"</f>
        <v>111872</v>
      </c>
      <c r="C2019" t="str">
        <f t="shared" ref="C2019:C2029" si="154">"24530"</f>
        <v>24530</v>
      </c>
      <c r="D2019" t="s">
        <v>412</v>
      </c>
      <c r="E2019">
        <v>952.53</v>
      </c>
      <c r="F2019">
        <v>20131002</v>
      </c>
      <c r="G2019" t="s">
        <v>415</v>
      </c>
      <c r="H2019" t="s">
        <v>414</v>
      </c>
      <c r="I2019" t="s">
        <v>21</v>
      </c>
    </row>
    <row r="2020" spans="1:9" x14ac:dyDescent="0.25">
      <c r="A2020">
        <v>20131003</v>
      </c>
      <c r="B2020" t="str">
        <f t="shared" si="153"/>
        <v>111872</v>
      </c>
      <c r="C2020" t="str">
        <f t="shared" si="154"/>
        <v>24530</v>
      </c>
      <c r="D2020" t="s">
        <v>412</v>
      </c>
      <c r="E2020">
        <v>690.87</v>
      </c>
      <c r="F2020">
        <v>20131002</v>
      </c>
      <c r="G2020" t="s">
        <v>627</v>
      </c>
      <c r="H2020" t="s">
        <v>414</v>
      </c>
      <c r="I2020" t="s">
        <v>21</v>
      </c>
    </row>
    <row r="2021" spans="1:9" x14ac:dyDescent="0.25">
      <c r="A2021">
        <v>20131003</v>
      </c>
      <c r="B2021" t="str">
        <f t="shared" si="153"/>
        <v>111872</v>
      </c>
      <c r="C2021" t="str">
        <f t="shared" si="154"/>
        <v>24530</v>
      </c>
      <c r="D2021" t="s">
        <v>412</v>
      </c>
      <c r="E2021">
        <v>527.74</v>
      </c>
      <c r="F2021">
        <v>20131002</v>
      </c>
      <c r="G2021" t="s">
        <v>1222</v>
      </c>
      <c r="H2021" t="s">
        <v>414</v>
      </c>
      <c r="I2021" t="s">
        <v>21</v>
      </c>
    </row>
    <row r="2022" spans="1:9" x14ac:dyDescent="0.25">
      <c r="A2022">
        <v>20131003</v>
      </c>
      <c r="B2022" t="str">
        <f t="shared" si="153"/>
        <v>111872</v>
      </c>
      <c r="C2022" t="str">
        <f t="shared" si="154"/>
        <v>24530</v>
      </c>
      <c r="D2022" t="s">
        <v>412</v>
      </c>
      <c r="E2022">
        <v>48.39</v>
      </c>
      <c r="F2022">
        <v>20131002</v>
      </c>
      <c r="G2022" t="s">
        <v>628</v>
      </c>
      <c r="H2022" t="s">
        <v>414</v>
      </c>
      <c r="I2022" t="s">
        <v>21</v>
      </c>
    </row>
    <row r="2023" spans="1:9" x14ac:dyDescent="0.25">
      <c r="A2023">
        <v>20131003</v>
      </c>
      <c r="B2023" t="str">
        <f t="shared" si="153"/>
        <v>111872</v>
      </c>
      <c r="C2023" t="str">
        <f t="shared" si="154"/>
        <v>24530</v>
      </c>
      <c r="D2023" t="s">
        <v>412</v>
      </c>
      <c r="E2023">
        <v>57.82</v>
      </c>
      <c r="F2023">
        <v>20131002</v>
      </c>
      <c r="G2023" t="s">
        <v>629</v>
      </c>
      <c r="H2023" t="s">
        <v>414</v>
      </c>
      <c r="I2023" t="s">
        <v>21</v>
      </c>
    </row>
    <row r="2024" spans="1:9" x14ac:dyDescent="0.25">
      <c r="A2024">
        <v>20131003</v>
      </c>
      <c r="B2024" t="str">
        <f t="shared" si="153"/>
        <v>111872</v>
      </c>
      <c r="C2024" t="str">
        <f t="shared" si="154"/>
        <v>24530</v>
      </c>
      <c r="D2024" t="s">
        <v>412</v>
      </c>
      <c r="E2024">
        <v>90.03</v>
      </c>
      <c r="F2024">
        <v>20131002</v>
      </c>
      <c r="G2024" t="s">
        <v>530</v>
      </c>
      <c r="H2024" t="s">
        <v>414</v>
      </c>
      <c r="I2024" t="s">
        <v>21</v>
      </c>
    </row>
    <row r="2025" spans="1:9" x14ac:dyDescent="0.25">
      <c r="A2025">
        <v>20131003</v>
      </c>
      <c r="B2025" t="str">
        <f t="shared" si="153"/>
        <v>111872</v>
      </c>
      <c r="C2025" t="str">
        <f t="shared" si="154"/>
        <v>24530</v>
      </c>
      <c r="D2025" t="s">
        <v>412</v>
      </c>
      <c r="E2025" s="1">
        <v>1925.07</v>
      </c>
      <c r="F2025">
        <v>20131002</v>
      </c>
      <c r="G2025" t="s">
        <v>631</v>
      </c>
      <c r="H2025" t="s">
        <v>414</v>
      </c>
      <c r="I2025" t="s">
        <v>21</v>
      </c>
    </row>
    <row r="2026" spans="1:9" x14ac:dyDescent="0.25">
      <c r="A2026">
        <v>20131003</v>
      </c>
      <c r="B2026" t="str">
        <f t="shared" si="153"/>
        <v>111872</v>
      </c>
      <c r="C2026" t="str">
        <f t="shared" si="154"/>
        <v>24530</v>
      </c>
      <c r="D2026" t="s">
        <v>412</v>
      </c>
      <c r="E2026">
        <v>468.85</v>
      </c>
      <c r="F2026">
        <v>20131002</v>
      </c>
      <c r="G2026" t="s">
        <v>392</v>
      </c>
      <c r="H2026" t="s">
        <v>414</v>
      </c>
      <c r="I2026" t="s">
        <v>21</v>
      </c>
    </row>
    <row r="2027" spans="1:9" x14ac:dyDescent="0.25">
      <c r="A2027">
        <v>20131003</v>
      </c>
      <c r="B2027" t="str">
        <f t="shared" si="153"/>
        <v>111872</v>
      </c>
      <c r="C2027" t="str">
        <f t="shared" si="154"/>
        <v>24530</v>
      </c>
      <c r="D2027" t="s">
        <v>412</v>
      </c>
      <c r="E2027">
        <v>-113.05</v>
      </c>
      <c r="F2027">
        <v>20131003</v>
      </c>
      <c r="G2027" t="s">
        <v>392</v>
      </c>
      <c r="H2027" t="s">
        <v>1223</v>
      </c>
      <c r="I2027" t="s">
        <v>21</v>
      </c>
    </row>
    <row r="2028" spans="1:9" x14ac:dyDescent="0.25">
      <c r="A2028">
        <v>20131003</v>
      </c>
      <c r="B2028" t="str">
        <f t="shared" si="153"/>
        <v>111872</v>
      </c>
      <c r="C2028" t="str">
        <f t="shared" si="154"/>
        <v>24530</v>
      </c>
      <c r="D2028" t="s">
        <v>412</v>
      </c>
      <c r="E2028">
        <v>8.43</v>
      </c>
      <c r="F2028">
        <v>20131002</v>
      </c>
      <c r="G2028" t="s">
        <v>1224</v>
      </c>
      <c r="H2028" t="s">
        <v>414</v>
      </c>
      <c r="I2028" t="s">
        <v>21</v>
      </c>
    </row>
    <row r="2029" spans="1:9" x14ac:dyDescent="0.25">
      <c r="A2029">
        <v>20131003</v>
      </c>
      <c r="B2029" t="str">
        <f t="shared" si="153"/>
        <v>111872</v>
      </c>
      <c r="C2029" t="str">
        <f t="shared" si="154"/>
        <v>24530</v>
      </c>
      <c r="D2029" t="s">
        <v>412</v>
      </c>
      <c r="E2029" s="1">
        <v>2181.64</v>
      </c>
      <c r="F2029">
        <v>20131002</v>
      </c>
      <c r="G2029" t="s">
        <v>417</v>
      </c>
      <c r="H2029" t="s">
        <v>414</v>
      </c>
      <c r="I2029" t="s">
        <v>21</v>
      </c>
    </row>
    <row r="2030" spans="1:9" x14ac:dyDescent="0.25">
      <c r="A2030">
        <v>20131003</v>
      </c>
      <c r="B2030" t="str">
        <f>"111873"</f>
        <v>111873</v>
      </c>
      <c r="C2030" t="str">
        <f>"25516"</f>
        <v>25516</v>
      </c>
      <c r="D2030" t="s">
        <v>529</v>
      </c>
      <c r="E2030">
        <v>539.79999999999995</v>
      </c>
      <c r="F2030">
        <v>20131001</v>
      </c>
      <c r="G2030" t="s">
        <v>699</v>
      </c>
      <c r="H2030" t="s">
        <v>1225</v>
      </c>
      <c r="I2030" t="s">
        <v>61</v>
      </c>
    </row>
    <row r="2031" spans="1:9" x14ac:dyDescent="0.25">
      <c r="A2031">
        <v>20131003</v>
      </c>
      <c r="B2031" t="str">
        <f t="shared" ref="B2031:B2042" si="155">"111874"</f>
        <v>111874</v>
      </c>
      <c r="C2031" t="str">
        <f t="shared" ref="C2031:C2042" si="156">"82286"</f>
        <v>82286</v>
      </c>
      <c r="D2031" t="s">
        <v>532</v>
      </c>
      <c r="E2031" s="1">
        <v>1808.87</v>
      </c>
      <c r="F2031">
        <v>20131002</v>
      </c>
      <c r="G2031" t="s">
        <v>533</v>
      </c>
      <c r="H2031" t="s">
        <v>534</v>
      </c>
      <c r="I2031" t="s">
        <v>21</v>
      </c>
    </row>
    <row r="2032" spans="1:9" x14ac:dyDescent="0.25">
      <c r="A2032">
        <v>20131003</v>
      </c>
      <c r="B2032" t="str">
        <f t="shared" si="155"/>
        <v>111874</v>
      </c>
      <c r="C2032" t="str">
        <f t="shared" si="156"/>
        <v>82286</v>
      </c>
      <c r="D2032" t="s">
        <v>532</v>
      </c>
      <c r="E2032">
        <v>48.89</v>
      </c>
      <c r="F2032">
        <v>20131002</v>
      </c>
      <c r="G2032" t="s">
        <v>535</v>
      </c>
      <c r="H2032" t="s">
        <v>534</v>
      </c>
      <c r="I2032" t="s">
        <v>21</v>
      </c>
    </row>
    <row r="2033" spans="1:9" x14ac:dyDescent="0.25">
      <c r="A2033">
        <v>20131003</v>
      </c>
      <c r="B2033" t="str">
        <f t="shared" si="155"/>
        <v>111874</v>
      </c>
      <c r="C2033" t="str">
        <f t="shared" si="156"/>
        <v>82286</v>
      </c>
      <c r="D2033" t="s">
        <v>532</v>
      </c>
      <c r="E2033">
        <v>733.32</v>
      </c>
      <c r="F2033">
        <v>20131002</v>
      </c>
      <c r="G2033" t="s">
        <v>536</v>
      </c>
      <c r="H2033" t="s">
        <v>534</v>
      </c>
      <c r="I2033" t="s">
        <v>21</v>
      </c>
    </row>
    <row r="2034" spans="1:9" x14ac:dyDescent="0.25">
      <c r="A2034">
        <v>20131003</v>
      </c>
      <c r="B2034" t="str">
        <f t="shared" si="155"/>
        <v>111874</v>
      </c>
      <c r="C2034" t="str">
        <f t="shared" si="156"/>
        <v>82286</v>
      </c>
      <c r="D2034" t="s">
        <v>532</v>
      </c>
      <c r="E2034">
        <v>244.44</v>
      </c>
      <c r="F2034">
        <v>20131002</v>
      </c>
      <c r="G2034" t="s">
        <v>537</v>
      </c>
      <c r="H2034" t="s">
        <v>534</v>
      </c>
      <c r="I2034" t="s">
        <v>21</v>
      </c>
    </row>
    <row r="2035" spans="1:9" x14ac:dyDescent="0.25">
      <c r="A2035">
        <v>20131003</v>
      </c>
      <c r="B2035" t="str">
        <f t="shared" si="155"/>
        <v>111874</v>
      </c>
      <c r="C2035" t="str">
        <f t="shared" si="156"/>
        <v>82286</v>
      </c>
      <c r="D2035" t="s">
        <v>532</v>
      </c>
      <c r="E2035">
        <v>293.39</v>
      </c>
      <c r="F2035">
        <v>20131002</v>
      </c>
      <c r="G2035" t="s">
        <v>538</v>
      </c>
      <c r="H2035" t="s">
        <v>534</v>
      </c>
      <c r="I2035" t="s">
        <v>21</v>
      </c>
    </row>
    <row r="2036" spans="1:9" x14ac:dyDescent="0.25">
      <c r="A2036">
        <v>20131003</v>
      </c>
      <c r="B2036" t="str">
        <f t="shared" si="155"/>
        <v>111874</v>
      </c>
      <c r="C2036" t="str">
        <f t="shared" si="156"/>
        <v>82286</v>
      </c>
      <c r="D2036" t="s">
        <v>532</v>
      </c>
      <c r="E2036">
        <v>342.21</v>
      </c>
      <c r="F2036">
        <v>20131002</v>
      </c>
      <c r="G2036" t="s">
        <v>539</v>
      </c>
      <c r="H2036" t="s">
        <v>534</v>
      </c>
      <c r="I2036" t="s">
        <v>21</v>
      </c>
    </row>
    <row r="2037" spans="1:9" x14ac:dyDescent="0.25">
      <c r="A2037">
        <v>20131003</v>
      </c>
      <c r="B2037" t="str">
        <f t="shared" si="155"/>
        <v>111874</v>
      </c>
      <c r="C2037" t="str">
        <f t="shared" si="156"/>
        <v>82286</v>
      </c>
      <c r="D2037" t="s">
        <v>532</v>
      </c>
      <c r="E2037">
        <v>180.52</v>
      </c>
      <c r="F2037">
        <v>20131002</v>
      </c>
      <c r="G2037" t="s">
        <v>540</v>
      </c>
      <c r="H2037" t="s">
        <v>534</v>
      </c>
      <c r="I2037" t="s">
        <v>21</v>
      </c>
    </row>
    <row r="2038" spans="1:9" x14ac:dyDescent="0.25">
      <c r="A2038">
        <v>20131003</v>
      </c>
      <c r="B2038" t="str">
        <f t="shared" si="155"/>
        <v>111874</v>
      </c>
      <c r="C2038" t="str">
        <f t="shared" si="156"/>
        <v>82286</v>
      </c>
      <c r="D2038" t="s">
        <v>532</v>
      </c>
      <c r="E2038">
        <v>180.51</v>
      </c>
      <c r="F2038">
        <v>20131002</v>
      </c>
      <c r="G2038" t="s">
        <v>541</v>
      </c>
      <c r="H2038" t="s">
        <v>534</v>
      </c>
      <c r="I2038" t="s">
        <v>21</v>
      </c>
    </row>
    <row r="2039" spans="1:9" x14ac:dyDescent="0.25">
      <c r="A2039">
        <v>20131003</v>
      </c>
      <c r="B2039" t="str">
        <f t="shared" si="155"/>
        <v>111874</v>
      </c>
      <c r="C2039" t="str">
        <f t="shared" si="156"/>
        <v>82286</v>
      </c>
      <c r="D2039" t="s">
        <v>532</v>
      </c>
      <c r="E2039">
        <v>782.21</v>
      </c>
      <c r="F2039">
        <v>20131002</v>
      </c>
      <c r="G2039" t="s">
        <v>542</v>
      </c>
      <c r="H2039" t="s">
        <v>534</v>
      </c>
      <c r="I2039" t="s">
        <v>21</v>
      </c>
    </row>
    <row r="2040" spans="1:9" x14ac:dyDescent="0.25">
      <c r="A2040">
        <v>20131003</v>
      </c>
      <c r="B2040" t="str">
        <f t="shared" si="155"/>
        <v>111874</v>
      </c>
      <c r="C2040" t="str">
        <f t="shared" si="156"/>
        <v>82286</v>
      </c>
      <c r="D2040" t="s">
        <v>532</v>
      </c>
      <c r="E2040">
        <v>48.89</v>
      </c>
      <c r="F2040">
        <v>20131002</v>
      </c>
      <c r="G2040" t="s">
        <v>543</v>
      </c>
      <c r="H2040" t="s">
        <v>534</v>
      </c>
      <c r="I2040" t="s">
        <v>21</v>
      </c>
    </row>
    <row r="2041" spans="1:9" x14ac:dyDescent="0.25">
      <c r="A2041">
        <v>20131003</v>
      </c>
      <c r="B2041" t="str">
        <f t="shared" si="155"/>
        <v>111874</v>
      </c>
      <c r="C2041" t="str">
        <f t="shared" si="156"/>
        <v>82286</v>
      </c>
      <c r="D2041" t="s">
        <v>532</v>
      </c>
      <c r="E2041">
        <v>293.37</v>
      </c>
      <c r="F2041">
        <v>20131002</v>
      </c>
      <c r="G2041" t="s">
        <v>544</v>
      </c>
      <c r="H2041" t="s">
        <v>1226</v>
      </c>
      <c r="I2041" t="s">
        <v>21</v>
      </c>
    </row>
    <row r="2042" spans="1:9" x14ac:dyDescent="0.25">
      <c r="A2042">
        <v>20131003</v>
      </c>
      <c r="B2042" t="str">
        <f t="shared" si="155"/>
        <v>111874</v>
      </c>
      <c r="C2042" t="str">
        <f t="shared" si="156"/>
        <v>82286</v>
      </c>
      <c r="D2042" t="s">
        <v>532</v>
      </c>
      <c r="E2042">
        <v>293.38</v>
      </c>
      <c r="F2042">
        <v>20131002</v>
      </c>
      <c r="G2042" t="s">
        <v>545</v>
      </c>
      <c r="H2042" t="s">
        <v>534</v>
      </c>
      <c r="I2042" t="s">
        <v>21</v>
      </c>
    </row>
    <row r="2043" spans="1:9" x14ac:dyDescent="0.25">
      <c r="A2043">
        <v>20131003</v>
      </c>
      <c r="B2043" t="str">
        <f>"111875"</f>
        <v>111875</v>
      </c>
      <c r="C2043" t="str">
        <f>"25680"</f>
        <v>25680</v>
      </c>
      <c r="D2043" t="s">
        <v>818</v>
      </c>
      <c r="E2043">
        <v>235</v>
      </c>
      <c r="F2043">
        <v>20131001</v>
      </c>
      <c r="G2043" t="s">
        <v>819</v>
      </c>
      <c r="H2043" t="s">
        <v>820</v>
      </c>
      <c r="I2043" t="s">
        <v>63</v>
      </c>
    </row>
    <row r="2044" spans="1:9" x14ac:dyDescent="0.25">
      <c r="A2044">
        <v>20131003</v>
      </c>
      <c r="B2044" t="str">
        <f t="shared" ref="B2044:B2052" si="157">"111876"</f>
        <v>111876</v>
      </c>
      <c r="C2044" t="str">
        <f t="shared" ref="C2044:C2052" si="158">"26990"</f>
        <v>26990</v>
      </c>
      <c r="D2044" t="s">
        <v>548</v>
      </c>
      <c r="E2044">
        <v>40</v>
      </c>
      <c r="F2044">
        <v>20131001</v>
      </c>
      <c r="G2044" t="s">
        <v>1227</v>
      </c>
      <c r="H2044" t="s">
        <v>1054</v>
      </c>
      <c r="I2044" t="s">
        <v>21</v>
      </c>
    </row>
    <row r="2045" spans="1:9" x14ac:dyDescent="0.25">
      <c r="A2045">
        <v>20131003</v>
      </c>
      <c r="B2045" t="str">
        <f t="shared" si="157"/>
        <v>111876</v>
      </c>
      <c r="C2045" t="str">
        <f t="shared" si="158"/>
        <v>26990</v>
      </c>
      <c r="D2045" t="s">
        <v>548</v>
      </c>
      <c r="E2045">
        <v>80</v>
      </c>
      <c r="F2045">
        <v>20131001</v>
      </c>
      <c r="G2045" t="s">
        <v>619</v>
      </c>
      <c r="H2045" t="s">
        <v>1228</v>
      </c>
      <c r="I2045" t="s">
        <v>21</v>
      </c>
    </row>
    <row r="2046" spans="1:9" x14ac:dyDescent="0.25">
      <c r="A2046">
        <v>20131003</v>
      </c>
      <c r="B2046" t="str">
        <f t="shared" si="157"/>
        <v>111876</v>
      </c>
      <c r="C2046" t="str">
        <f t="shared" si="158"/>
        <v>26990</v>
      </c>
      <c r="D2046" t="s">
        <v>548</v>
      </c>
      <c r="E2046">
        <v>40</v>
      </c>
      <c r="F2046">
        <v>20131001</v>
      </c>
      <c r="G2046" t="s">
        <v>619</v>
      </c>
      <c r="H2046" t="s">
        <v>1054</v>
      </c>
      <c r="I2046" t="s">
        <v>21</v>
      </c>
    </row>
    <row r="2047" spans="1:9" x14ac:dyDescent="0.25">
      <c r="A2047">
        <v>20131003</v>
      </c>
      <c r="B2047" t="str">
        <f t="shared" si="157"/>
        <v>111876</v>
      </c>
      <c r="C2047" t="str">
        <f t="shared" si="158"/>
        <v>26990</v>
      </c>
      <c r="D2047" t="s">
        <v>548</v>
      </c>
      <c r="E2047">
        <v>80</v>
      </c>
      <c r="F2047">
        <v>20131001</v>
      </c>
      <c r="G2047" t="s">
        <v>890</v>
      </c>
      <c r="H2047" t="s">
        <v>1228</v>
      </c>
      <c r="I2047" t="s">
        <v>21</v>
      </c>
    </row>
    <row r="2048" spans="1:9" x14ac:dyDescent="0.25">
      <c r="A2048">
        <v>20131003</v>
      </c>
      <c r="B2048" t="str">
        <f t="shared" si="157"/>
        <v>111876</v>
      </c>
      <c r="C2048" t="str">
        <f t="shared" si="158"/>
        <v>26990</v>
      </c>
      <c r="D2048" t="s">
        <v>548</v>
      </c>
      <c r="E2048">
        <v>40</v>
      </c>
      <c r="F2048">
        <v>20131001</v>
      </c>
      <c r="G2048" t="s">
        <v>1229</v>
      </c>
      <c r="H2048" t="s">
        <v>1054</v>
      </c>
      <c r="I2048" t="s">
        <v>21</v>
      </c>
    </row>
    <row r="2049" spans="1:9" x14ac:dyDescent="0.25">
      <c r="A2049">
        <v>20131003</v>
      </c>
      <c r="B2049" t="str">
        <f t="shared" si="157"/>
        <v>111876</v>
      </c>
      <c r="C2049" t="str">
        <f t="shared" si="158"/>
        <v>26990</v>
      </c>
      <c r="D2049" t="s">
        <v>548</v>
      </c>
      <c r="E2049">
        <v>80</v>
      </c>
      <c r="F2049">
        <v>20131001</v>
      </c>
      <c r="G2049" t="s">
        <v>1197</v>
      </c>
      <c r="H2049" t="s">
        <v>1054</v>
      </c>
      <c r="I2049" t="s">
        <v>21</v>
      </c>
    </row>
    <row r="2050" spans="1:9" x14ac:dyDescent="0.25">
      <c r="A2050">
        <v>20131003</v>
      </c>
      <c r="B2050" t="str">
        <f t="shared" si="157"/>
        <v>111876</v>
      </c>
      <c r="C2050" t="str">
        <f t="shared" si="158"/>
        <v>26990</v>
      </c>
      <c r="D2050" t="s">
        <v>548</v>
      </c>
      <c r="E2050">
        <v>40</v>
      </c>
      <c r="F2050">
        <v>20131001</v>
      </c>
      <c r="G2050" t="s">
        <v>797</v>
      </c>
      <c r="H2050" t="s">
        <v>1054</v>
      </c>
      <c r="I2050" t="s">
        <v>66</v>
      </c>
    </row>
    <row r="2051" spans="1:9" x14ac:dyDescent="0.25">
      <c r="A2051">
        <v>20131003</v>
      </c>
      <c r="B2051" t="str">
        <f t="shared" si="157"/>
        <v>111876</v>
      </c>
      <c r="C2051" t="str">
        <f t="shared" si="158"/>
        <v>26990</v>
      </c>
      <c r="D2051" t="s">
        <v>548</v>
      </c>
      <c r="E2051">
        <v>40</v>
      </c>
      <c r="F2051">
        <v>20131001</v>
      </c>
      <c r="G2051" t="s">
        <v>922</v>
      </c>
      <c r="H2051" t="s">
        <v>1228</v>
      </c>
      <c r="I2051" t="s">
        <v>66</v>
      </c>
    </row>
    <row r="2052" spans="1:9" x14ac:dyDescent="0.25">
      <c r="A2052">
        <v>20131003</v>
      </c>
      <c r="B2052" t="str">
        <f t="shared" si="157"/>
        <v>111876</v>
      </c>
      <c r="C2052" t="str">
        <f t="shared" si="158"/>
        <v>26990</v>
      </c>
      <c r="D2052" t="s">
        <v>548</v>
      </c>
      <c r="E2052">
        <v>40</v>
      </c>
      <c r="F2052">
        <v>20131001</v>
      </c>
      <c r="G2052" t="s">
        <v>922</v>
      </c>
      <c r="H2052" t="s">
        <v>1054</v>
      </c>
      <c r="I2052" t="s">
        <v>66</v>
      </c>
    </row>
    <row r="2053" spans="1:9" x14ac:dyDescent="0.25">
      <c r="A2053">
        <v>20131003</v>
      </c>
      <c r="B2053" t="str">
        <f>"111877"</f>
        <v>111877</v>
      </c>
      <c r="C2053" t="str">
        <f>"26980"</f>
        <v>26980</v>
      </c>
      <c r="D2053" t="s">
        <v>1230</v>
      </c>
      <c r="E2053">
        <v>350</v>
      </c>
      <c r="F2053">
        <v>20131002</v>
      </c>
      <c r="G2053" t="s">
        <v>1145</v>
      </c>
      <c r="H2053" t="s">
        <v>1231</v>
      </c>
      <c r="I2053" t="s">
        <v>73</v>
      </c>
    </row>
    <row r="2054" spans="1:9" x14ac:dyDescent="0.25">
      <c r="A2054">
        <v>20131003</v>
      </c>
      <c r="B2054" t="str">
        <f>"111878"</f>
        <v>111878</v>
      </c>
      <c r="C2054" t="str">
        <f>"87537"</f>
        <v>87537</v>
      </c>
      <c r="D2054" t="s">
        <v>1232</v>
      </c>
      <c r="E2054">
        <v>300</v>
      </c>
      <c r="F2054">
        <v>20131002</v>
      </c>
      <c r="G2054" t="s">
        <v>191</v>
      </c>
      <c r="H2054" t="s">
        <v>1233</v>
      </c>
      <c r="I2054" t="s">
        <v>25</v>
      </c>
    </row>
    <row r="2055" spans="1:9" x14ac:dyDescent="0.25">
      <c r="A2055">
        <v>20131003</v>
      </c>
      <c r="B2055" t="str">
        <f>"111879"</f>
        <v>111879</v>
      </c>
      <c r="C2055" t="str">
        <f>"28015"</f>
        <v>28015</v>
      </c>
      <c r="D2055" t="s">
        <v>1234</v>
      </c>
      <c r="E2055">
        <v>754.21</v>
      </c>
      <c r="F2055">
        <v>20131002</v>
      </c>
      <c r="G2055" t="s">
        <v>1235</v>
      </c>
      <c r="H2055" t="s">
        <v>921</v>
      </c>
      <c r="I2055" t="s">
        <v>79</v>
      </c>
    </row>
    <row r="2056" spans="1:9" x14ac:dyDescent="0.25">
      <c r="A2056">
        <v>20131003</v>
      </c>
      <c r="B2056" t="str">
        <f>"111880"</f>
        <v>111880</v>
      </c>
      <c r="C2056" t="str">
        <f>"29227"</f>
        <v>29227</v>
      </c>
      <c r="D2056" t="s">
        <v>1236</v>
      </c>
      <c r="E2056">
        <v>31.03</v>
      </c>
      <c r="F2056">
        <v>20131002</v>
      </c>
      <c r="G2056" t="s">
        <v>367</v>
      </c>
      <c r="H2056" t="s">
        <v>1237</v>
      </c>
      <c r="I2056" t="s">
        <v>21</v>
      </c>
    </row>
    <row r="2057" spans="1:9" x14ac:dyDescent="0.25">
      <c r="A2057">
        <v>20131003</v>
      </c>
      <c r="B2057" t="str">
        <f>"111881"</f>
        <v>111881</v>
      </c>
      <c r="C2057" t="str">
        <f>"87533"</f>
        <v>87533</v>
      </c>
      <c r="D2057" t="s">
        <v>1238</v>
      </c>
      <c r="E2057" s="1">
        <v>2652.11</v>
      </c>
      <c r="F2057">
        <v>20131001</v>
      </c>
      <c r="G2057" t="s">
        <v>331</v>
      </c>
      <c r="H2057" t="s">
        <v>1239</v>
      </c>
      <c r="I2057" t="s">
        <v>12</v>
      </c>
    </row>
    <row r="2058" spans="1:9" x14ac:dyDescent="0.25">
      <c r="A2058">
        <v>20131003</v>
      </c>
      <c r="B2058" t="str">
        <f>"111882"</f>
        <v>111882</v>
      </c>
      <c r="C2058" t="str">
        <f>"30000"</f>
        <v>30000</v>
      </c>
      <c r="D2058" t="s">
        <v>556</v>
      </c>
      <c r="E2058">
        <v>165.66</v>
      </c>
      <c r="F2058">
        <v>20131001</v>
      </c>
      <c r="G2058" t="s">
        <v>828</v>
      </c>
      <c r="H2058" t="s">
        <v>1240</v>
      </c>
      <c r="I2058" t="s">
        <v>21</v>
      </c>
    </row>
    <row r="2059" spans="1:9" x14ac:dyDescent="0.25">
      <c r="A2059">
        <v>20131003</v>
      </c>
      <c r="B2059" t="str">
        <f>"111882"</f>
        <v>111882</v>
      </c>
      <c r="C2059" t="str">
        <f>"30000"</f>
        <v>30000</v>
      </c>
      <c r="D2059" t="s">
        <v>556</v>
      </c>
      <c r="E2059">
        <v>217.2</v>
      </c>
      <c r="F2059">
        <v>20131001</v>
      </c>
      <c r="G2059" t="s">
        <v>935</v>
      </c>
      <c r="H2059" t="s">
        <v>839</v>
      </c>
      <c r="I2059" t="s">
        <v>21</v>
      </c>
    </row>
    <row r="2060" spans="1:9" x14ac:dyDescent="0.25">
      <c r="A2060">
        <v>20131003</v>
      </c>
      <c r="B2060" t="str">
        <f>"111882"</f>
        <v>111882</v>
      </c>
      <c r="C2060" t="str">
        <f>"30000"</f>
        <v>30000</v>
      </c>
      <c r="D2060" t="s">
        <v>556</v>
      </c>
      <c r="E2060">
        <v>50.97</v>
      </c>
      <c r="F2060">
        <v>20131001</v>
      </c>
      <c r="G2060" t="s">
        <v>1241</v>
      </c>
      <c r="H2060" t="s">
        <v>1242</v>
      </c>
      <c r="I2060" t="s">
        <v>21</v>
      </c>
    </row>
    <row r="2061" spans="1:9" x14ac:dyDescent="0.25">
      <c r="A2061">
        <v>20131003</v>
      </c>
      <c r="B2061" t="str">
        <f>"111882"</f>
        <v>111882</v>
      </c>
      <c r="C2061" t="str">
        <f>"30000"</f>
        <v>30000</v>
      </c>
      <c r="D2061" t="s">
        <v>556</v>
      </c>
      <c r="E2061">
        <v>260.69</v>
      </c>
      <c r="F2061">
        <v>20131002</v>
      </c>
      <c r="G2061" t="s">
        <v>1010</v>
      </c>
      <c r="H2061" t="s">
        <v>1243</v>
      </c>
      <c r="I2061" t="s">
        <v>21</v>
      </c>
    </row>
    <row r="2062" spans="1:9" x14ac:dyDescent="0.25">
      <c r="A2062">
        <v>20131003</v>
      </c>
      <c r="B2062" t="str">
        <f>"111883"</f>
        <v>111883</v>
      </c>
      <c r="C2062" t="str">
        <f>"85333"</f>
        <v>85333</v>
      </c>
      <c r="D2062" t="s">
        <v>561</v>
      </c>
      <c r="E2062">
        <v>33.93</v>
      </c>
      <c r="F2062">
        <v>20131002</v>
      </c>
      <c r="G2062" t="s">
        <v>691</v>
      </c>
      <c r="H2062" t="s">
        <v>563</v>
      </c>
      <c r="I2062" t="s">
        <v>68</v>
      </c>
    </row>
    <row r="2063" spans="1:9" x14ac:dyDescent="0.25">
      <c r="A2063">
        <v>20131003</v>
      </c>
      <c r="B2063" t="str">
        <f>"111884"</f>
        <v>111884</v>
      </c>
      <c r="C2063" t="str">
        <f>"87024"</f>
        <v>87024</v>
      </c>
      <c r="D2063" t="s">
        <v>566</v>
      </c>
      <c r="E2063">
        <v>31.41</v>
      </c>
      <c r="F2063">
        <v>20131002</v>
      </c>
      <c r="G2063" t="s">
        <v>562</v>
      </c>
      <c r="H2063" t="s">
        <v>563</v>
      </c>
      <c r="I2063" t="s">
        <v>21</v>
      </c>
    </row>
    <row r="2064" spans="1:9" x14ac:dyDescent="0.25">
      <c r="A2064">
        <v>20131003</v>
      </c>
      <c r="B2064" t="str">
        <f>"111885"</f>
        <v>111885</v>
      </c>
      <c r="C2064" t="str">
        <f>"30480"</f>
        <v>30480</v>
      </c>
      <c r="D2064" t="s">
        <v>570</v>
      </c>
      <c r="E2064" s="1">
        <v>5442</v>
      </c>
      <c r="F2064">
        <v>20131002</v>
      </c>
      <c r="G2064" t="s">
        <v>571</v>
      </c>
      <c r="H2064" t="s">
        <v>572</v>
      </c>
      <c r="I2064" t="s">
        <v>21</v>
      </c>
    </row>
    <row r="2065" spans="1:9" x14ac:dyDescent="0.25">
      <c r="A2065">
        <v>20131003</v>
      </c>
      <c r="B2065" t="str">
        <f>"111886"</f>
        <v>111886</v>
      </c>
      <c r="C2065" t="str">
        <f>"86479"</f>
        <v>86479</v>
      </c>
      <c r="D2065" t="s">
        <v>849</v>
      </c>
      <c r="E2065">
        <v>105.43</v>
      </c>
      <c r="F2065">
        <v>20131001</v>
      </c>
      <c r="G2065" t="s">
        <v>774</v>
      </c>
      <c r="H2065" t="s">
        <v>765</v>
      </c>
      <c r="I2065" t="s">
        <v>61</v>
      </c>
    </row>
    <row r="2066" spans="1:9" x14ac:dyDescent="0.25">
      <c r="A2066">
        <v>20131003</v>
      </c>
      <c r="B2066" t="str">
        <f t="shared" ref="B2066:B2083" si="159">"111887"</f>
        <v>111887</v>
      </c>
      <c r="C2066" t="str">
        <f t="shared" ref="C2066:C2083" si="160">"31570"</f>
        <v>31570</v>
      </c>
      <c r="D2066" t="s">
        <v>1244</v>
      </c>
      <c r="E2066">
        <v>197.96</v>
      </c>
      <c r="F2066">
        <v>20131001</v>
      </c>
      <c r="G2066" t="s">
        <v>699</v>
      </c>
      <c r="H2066" t="s">
        <v>414</v>
      </c>
      <c r="I2066" t="s">
        <v>61</v>
      </c>
    </row>
    <row r="2067" spans="1:9" x14ac:dyDescent="0.25">
      <c r="A2067">
        <v>20131003</v>
      </c>
      <c r="B2067" t="str">
        <f t="shared" si="159"/>
        <v>111887</v>
      </c>
      <c r="C2067" t="str">
        <f t="shared" si="160"/>
        <v>31570</v>
      </c>
      <c r="D2067" t="s">
        <v>1244</v>
      </c>
      <c r="E2067">
        <v>89.36</v>
      </c>
      <c r="F2067">
        <v>20131001</v>
      </c>
      <c r="G2067" t="s">
        <v>496</v>
      </c>
      <c r="H2067" t="s">
        <v>414</v>
      </c>
      <c r="I2067" t="s">
        <v>21</v>
      </c>
    </row>
    <row r="2068" spans="1:9" x14ac:dyDescent="0.25">
      <c r="A2068">
        <v>20131003</v>
      </c>
      <c r="B2068" t="str">
        <f t="shared" si="159"/>
        <v>111887</v>
      </c>
      <c r="C2068" t="str">
        <f t="shared" si="160"/>
        <v>31570</v>
      </c>
      <c r="D2068" t="s">
        <v>1244</v>
      </c>
      <c r="E2068">
        <v>70.95</v>
      </c>
      <c r="F2068">
        <v>20131001</v>
      </c>
      <c r="G2068" t="s">
        <v>413</v>
      </c>
      <c r="H2068" t="s">
        <v>414</v>
      </c>
      <c r="I2068" t="s">
        <v>21</v>
      </c>
    </row>
    <row r="2069" spans="1:9" x14ac:dyDescent="0.25">
      <c r="A2069">
        <v>20131003</v>
      </c>
      <c r="B2069" t="str">
        <f t="shared" si="159"/>
        <v>111887</v>
      </c>
      <c r="C2069" t="str">
        <f t="shared" si="160"/>
        <v>31570</v>
      </c>
      <c r="D2069" t="s">
        <v>1244</v>
      </c>
      <c r="E2069">
        <v>14.84</v>
      </c>
      <c r="F2069">
        <v>20131001</v>
      </c>
      <c r="G2069" t="s">
        <v>476</v>
      </c>
      <c r="H2069" t="s">
        <v>414</v>
      </c>
      <c r="I2069" t="s">
        <v>21</v>
      </c>
    </row>
    <row r="2070" spans="1:9" x14ac:dyDescent="0.25">
      <c r="A2070">
        <v>20131003</v>
      </c>
      <c r="B2070" t="str">
        <f t="shared" si="159"/>
        <v>111887</v>
      </c>
      <c r="C2070" t="str">
        <f t="shared" si="160"/>
        <v>31570</v>
      </c>
      <c r="D2070" t="s">
        <v>1244</v>
      </c>
      <c r="E2070">
        <v>8.34</v>
      </c>
      <c r="F2070">
        <v>20131001</v>
      </c>
      <c r="G2070" t="s">
        <v>481</v>
      </c>
      <c r="H2070" t="s">
        <v>414</v>
      </c>
      <c r="I2070" t="s">
        <v>21</v>
      </c>
    </row>
    <row r="2071" spans="1:9" x14ac:dyDescent="0.25">
      <c r="A2071">
        <v>20131003</v>
      </c>
      <c r="B2071" t="str">
        <f t="shared" si="159"/>
        <v>111887</v>
      </c>
      <c r="C2071" t="str">
        <f t="shared" si="160"/>
        <v>31570</v>
      </c>
      <c r="D2071" t="s">
        <v>1244</v>
      </c>
      <c r="E2071">
        <v>32.08</v>
      </c>
      <c r="F2071">
        <v>20131001</v>
      </c>
      <c r="G2071" t="s">
        <v>485</v>
      </c>
      <c r="H2071" t="s">
        <v>414</v>
      </c>
      <c r="I2071" t="s">
        <v>21</v>
      </c>
    </row>
    <row r="2072" spans="1:9" x14ac:dyDescent="0.25">
      <c r="A2072">
        <v>20131003</v>
      </c>
      <c r="B2072" t="str">
        <f t="shared" si="159"/>
        <v>111887</v>
      </c>
      <c r="C2072" t="str">
        <f t="shared" si="160"/>
        <v>31570</v>
      </c>
      <c r="D2072" t="s">
        <v>1244</v>
      </c>
      <c r="E2072">
        <v>384.13</v>
      </c>
      <c r="F2072">
        <v>20131001</v>
      </c>
      <c r="G2072" t="s">
        <v>415</v>
      </c>
      <c r="H2072" t="s">
        <v>414</v>
      </c>
      <c r="I2072" t="s">
        <v>21</v>
      </c>
    </row>
    <row r="2073" spans="1:9" x14ac:dyDescent="0.25">
      <c r="A2073">
        <v>20131003</v>
      </c>
      <c r="B2073" t="str">
        <f t="shared" si="159"/>
        <v>111887</v>
      </c>
      <c r="C2073" t="str">
        <f t="shared" si="160"/>
        <v>31570</v>
      </c>
      <c r="D2073" t="s">
        <v>1244</v>
      </c>
      <c r="E2073" s="1">
        <v>1150.93</v>
      </c>
      <c r="F2073">
        <v>20131001</v>
      </c>
      <c r="G2073" t="s">
        <v>627</v>
      </c>
      <c r="H2073" t="s">
        <v>414</v>
      </c>
      <c r="I2073" t="s">
        <v>21</v>
      </c>
    </row>
    <row r="2074" spans="1:9" x14ac:dyDescent="0.25">
      <c r="A2074">
        <v>20131003</v>
      </c>
      <c r="B2074" t="str">
        <f t="shared" si="159"/>
        <v>111887</v>
      </c>
      <c r="C2074" t="str">
        <f t="shared" si="160"/>
        <v>31570</v>
      </c>
      <c r="D2074" t="s">
        <v>1244</v>
      </c>
      <c r="E2074">
        <v>164.13</v>
      </c>
      <c r="F2074">
        <v>20131001</v>
      </c>
      <c r="G2074" t="s">
        <v>1222</v>
      </c>
      <c r="H2074" t="s">
        <v>414</v>
      </c>
      <c r="I2074" t="s">
        <v>21</v>
      </c>
    </row>
    <row r="2075" spans="1:9" x14ac:dyDescent="0.25">
      <c r="A2075">
        <v>20131003</v>
      </c>
      <c r="B2075" t="str">
        <f t="shared" si="159"/>
        <v>111887</v>
      </c>
      <c r="C2075" t="str">
        <f t="shared" si="160"/>
        <v>31570</v>
      </c>
      <c r="D2075" t="s">
        <v>1244</v>
      </c>
      <c r="E2075">
        <v>563.6</v>
      </c>
      <c r="F2075">
        <v>20131001</v>
      </c>
      <c r="G2075" t="s">
        <v>628</v>
      </c>
      <c r="H2075" t="s">
        <v>414</v>
      </c>
      <c r="I2075" t="s">
        <v>21</v>
      </c>
    </row>
    <row r="2076" spans="1:9" x14ac:dyDescent="0.25">
      <c r="A2076">
        <v>20131003</v>
      </c>
      <c r="B2076" t="str">
        <f t="shared" si="159"/>
        <v>111887</v>
      </c>
      <c r="C2076" t="str">
        <f t="shared" si="160"/>
        <v>31570</v>
      </c>
      <c r="D2076" t="s">
        <v>1244</v>
      </c>
      <c r="E2076">
        <v>61.61</v>
      </c>
      <c r="F2076">
        <v>20131001</v>
      </c>
      <c r="G2076" t="s">
        <v>629</v>
      </c>
      <c r="H2076" t="s">
        <v>414</v>
      </c>
      <c r="I2076" t="s">
        <v>21</v>
      </c>
    </row>
    <row r="2077" spans="1:9" x14ac:dyDescent="0.25">
      <c r="A2077">
        <v>20131003</v>
      </c>
      <c r="B2077" t="str">
        <f t="shared" si="159"/>
        <v>111887</v>
      </c>
      <c r="C2077" t="str">
        <f t="shared" si="160"/>
        <v>31570</v>
      </c>
      <c r="D2077" t="s">
        <v>1244</v>
      </c>
      <c r="E2077">
        <v>340.66</v>
      </c>
      <c r="F2077">
        <v>20131001</v>
      </c>
      <c r="G2077" t="s">
        <v>630</v>
      </c>
      <c r="H2077" t="s">
        <v>414</v>
      </c>
      <c r="I2077" t="s">
        <v>21</v>
      </c>
    </row>
    <row r="2078" spans="1:9" x14ac:dyDescent="0.25">
      <c r="A2078">
        <v>20131003</v>
      </c>
      <c r="B2078" t="str">
        <f t="shared" si="159"/>
        <v>111887</v>
      </c>
      <c r="C2078" t="str">
        <f t="shared" si="160"/>
        <v>31570</v>
      </c>
      <c r="D2078" t="s">
        <v>1244</v>
      </c>
      <c r="E2078">
        <v>370.98</v>
      </c>
      <c r="F2078">
        <v>20131001</v>
      </c>
      <c r="G2078" t="s">
        <v>530</v>
      </c>
      <c r="H2078" t="s">
        <v>414</v>
      </c>
      <c r="I2078" t="s">
        <v>21</v>
      </c>
    </row>
    <row r="2079" spans="1:9" x14ac:dyDescent="0.25">
      <c r="A2079">
        <v>20131003</v>
      </c>
      <c r="B2079" t="str">
        <f t="shared" si="159"/>
        <v>111887</v>
      </c>
      <c r="C2079" t="str">
        <f t="shared" si="160"/>
        <v>31570</v>
      </c>
      <c r="D2079" t="s">
        <v>1244</v>
      </c>
      <c r="E2079">
        <v>375.11</v>
      </c>
      <c r="F2079">
        <v>20131001</v>
      </c>
      <c r="G2079" t="s">
        <v>631</v>
      </c>
      <c r="H2079" t="s">
        <v>414</v>
      </c>
      <c r="I2079" t="s">
        <v>21</v>
      </c>
    </row>
    <row r="2080" spans="1:9" x14ac:dyDescent="0.25">
      <c r="A2080">
        <v>20131003</v>
      </c>
      <c r="B2080" t="str">
        <f t="shared" si="159"/>
        <v>111887</v>
      </c>
      <c r="C2080" t="str">
        <f t="shared" si="160"/>
        <v>31570</v>
      </c>
      <c r="D2080" t="s">
        <v>1244</v>
      </c>
      <c r="E2080">
        <v>662.17</v>
      </c>
      <c r="F2080">
        <v>20131001</v>
      </c>
      <c r="G2080" t="s">
        <v>392</v>
      </c>
      <c r="H2080" t="s">
        <v>414</v>
      </c>
      <c r="I2080" t="s">
        <v>21</v>
      </c>
    </row>
    <row r="2081" spans="1:9" x14ac:dyDescent="0.25">
      <c r="A2081">
        <v>20131003</v>
      </c>
      <c r="B2081" t="str">
        <f t="shared" si="159"/>
        <v>111887</v>
      </c>
      <c r="C2081" t="str">
        <f t="shared" si="160"/>
        <v>31570</v>
      </c>
      <c r="D2081" t="s">
        <v>1244</v>
      </c>
      <c r="E2081">
        <v>8.08</v>
      </c>
      <c r="F2081">
        <v>20131001</v>
      </c>
      <c r="G2081" t="s">
        <v>1224</v>
      </c>
      <c r="H2081" t="s">
        <v>414</v>
      </c>
      <c r="I2081" t="s">
        <v>21</v>
      </c>
    </row>
    <row r="2082" spans="1:9" x14ac:dyDescent="0.25">
      <c r="A2082">
        <v>20131003</v>
      </c>
      <c r="B2082" t="str">
        <f t="shared" si="159"/>
        <v>111887</v>
      </c>
      <c r="C2082" t="str">
        <f t="shared" si="160"/>
        <v>31570</v>
      </c>
      <c r="D2082" t="s">
        <v>1244</v>
      </c>
      <c r="E2082">
        <v>69.37</v>
      </c>
      <c r="F2082">
        <v>20131001</v>
      </c>
      <c r="G2082" t="s">
        <v>1245</v>
      </c>
      <c r="H2082" t="s">
        <v>414</v>
      </c>
      <c r="I2082" t="s">
        <v>21</v>
      </c>
    </row>
    <row r="2083" spans="1:9" x14ac:dyDescent="0.25">
      <c r="A2083">
        <v>20131003</v>
      </c>
      <c r="B2083" t="str">
        <f t="shared" si="159"/>
        <v>111887</v>
      </c>
      <c r="C2083" t="str">
        <f t="shared" si="160"/>
        <v>31570</v>
      </c>
      <c r="D2083" t="s">
        <v>1244</v>
      </c>
      <c r="E2083">
        <v>306.13</v>
      </c>
      <c r="F2083">
        <v>20131001</v>
      </c>
      <c r="G2083" t="s">
        <v>417</v>
      </c>
      <c r="H2083" t="s">
        <v>414</v>
      </c>
      <c r="I2083" t="s">
        <v>21</v>
      </c>
    </row>
    <row r="2084" spans="1:9" x14ac:dyDescent="0.25">
      <c r="A2084">
        <v>20131003</v>
      </c>
      <c r="B2084" t="str">
        <f>"111888"</f>
        <v>111888</v>
      </c>
      <c r="C2084" t="str">
        <f>"87484"</f>
        <v>87484</v>
      </c>
      <c r="D2084" t="s">
        <v>588</v>
      </c>
      <c r="E2084" s="1">
        <v>5655</v>
      </c>
      <c r="F2084">
        <v>20131002</v>
      </c>
      <c r="G2084" t="s">
        <v>589</v>
      </c>
      <c r="H2084" t="s">
        <v>1246</v>
      </c>
      <c r="I2084" t="s">
        <v>68</v>
      </c>
    </row>
    <row r="2085" spans="1:9" x14ac:dyDescent="0.25">
      <c r="A2085">
        <v>20131003</v>
      </c>
      <c r="B2085" t="str">
        <f>"111889"</f>
        <v>111889</v>
      </c>
      <c r="C2085" t="str">
        <f>"84980"</f>
        <v>84980</v>
      </c>
      <c r="D2085" t="s">
        <v>591</v>
      </c>
      <c r="E2085">
        <v>584.04</v>
      </c>
      <c r="F2085">
        <v>20131001</v>
      </c>
      <c r="G2085" t="s">
        <v>1247</v>
      </c>
      <c r="H2085" t="s">
        <v>1248</v>
      </c>
      <c r="I2085" t="s">
        <v>66</v>
      </c>
    </row>
    <row r="2086" spans="1:9" x14ac:dyDescent="0.25">
      <c r="A2086">
        <v>20131003</v>
      </c>
      <c r="B2086" t="str">
        <f>"111890"</f>
        <v>111890</v>
      </c>
      <c r="C2086" t="str">
        <f>"86683"</f>
        <v>86683</v>
      </c>
      <c r="D2086" t="s">
        <v>1249</v>
      </c>
      <c r="E2086">
        <v>53.37</v>
      </c>
      <c r="F2086">
        <v>20131002</v>
      </c>
      <c r="G2086" t="s">
        <v>1250</v>
      </c>
      <c r="H2086" t="s">
        <v>365</v>
      </c>
      <c r="I2086" t="s">
        <v>66</v>
      </c>
    </row>
    <row r="2087" spans="1:9" x14ac:dyDescent="0.25">
      <c r="A2087">
        <v>20131003</v>
      </c>
      <c r="B2087" t="str">
        <f>"111891"</f>
        <v>111891</v>
      </c>
      <c r="C2087" t="str">
        <f>"87182"</f>
        <v>87182</v>
      </c>
      <c r="D2087" t="s">
        <v>1251</v>
      </c>
      <c r="E2087">
        <v>301.26</v>
      </c>
      <c r="F2087">
        <v>20131001</v>
      </c>
      <c r="G2087" t="s">
        <v>910</v>
      </c>
      <c r="H2087" t="s">
        <v>354</v>
      </c>
      <c r="I2087" t="s">
        <v>25</v>
      </c>
    </row>
    <row r="2088" spans="1:9" x14ac:dyDescent="0.25">
      <c r="A2088">
        <v>20131003</v>
      </c>
      <c r="B2088" t="str">
        <f>"111892"</f>
        <v>111892</v>
      </c>
      <c r="C2088" t="str">
        <f>"85929"</f>
        <v>85929</v>
      </c>
      <c r="D2088" t="s">
        <v>1096</v>
      </c>
      <c r="E2088">
        <v>57.51</v>
      </c>
      <c r="F2088">
        <v>20131002</v>
      </c>
      <c r="G2088" t="s">
        <v>890</v>
      </c>
      <c r="H2088" t="s">
        <v>365</v>
      </c>
      <c r="I2088" t="s">
        <v>21</v>
      </c>
    </row>
    <row r="2089" spans="1:9" x14ac:dyDescent="0.25">
      <c r="A2089">
        <v>20131003</v>
      </c>
      <c r="B2089" t="str">
        <f>"111893"</f>
        <v>111893</v>
      </c>
      <c r="C2089" t="str">
        <f>"81525"</f>
        <v>81525</v>
      </c>
      <c r="D2089" t="s">
        <v>1252</v>
      </c>
      <c r="E2089">
        <v>16.11</v>
      </c>
      <c r="F2089">
        <v>20131002</v>
      </c>
      <c r="G2089" t="s">
        <v>601</v>
      </c>
      <c r="H2089" t="s">
        <v>563</v>
      </c>
      <c r="I2089" t="s">
        <v>21</v>
      </c>
    </row>
    <row r="2090" spans="1:9" x14ac:dyDescent="0.25">
      <c r="A2090">
        <v>20131003</v>
      </c>
      <c r="B2090" t="str">
        <f>"111894"</f>
        <v>111894</v>
      </c>
      <c r="C2090" t="str">
        <f>"36970"</f>
        <v>36970</v>
      </c>
      <c r="D2090" t="s">
        <v>1253</v>
      </c>
      <c r="E2090">
        <v>74.52</v>
      </c>
      <c r="F2090">
        <v>20131002</v>
      </c>
      <c r="G2090" t="s">
        <v>1254</v>
      </c>
      <c r="H2090" t="s">
        <v>563</v>
      </c>
      <c r="I2090" t="s">
        <v>79</v>
      </c>
    </row>
    <row r="2091" spans="1:9" x14ac:dyDescent="0.25">
      <c r="A2091">
        <v>20131003</v>
      </c>
      <c r="B2091" t="str">
        <f>"111895"</f>
        <v>111895</v>
      </c>
      <c r="C2091" t="str">
        <f>"37725"</f>
        <v>37725</v>
      </c>
      <c r="D2091" t="s">
        <v>1255</v>
      </c>
      <c r="E2091">
        <v>86.58</v>
      </c>
      <c r="F2091">
        <v>20131001</v>
      </c>
      <c r="G2091" t="s">
        <v>808</v>
      </c>
      <c r="H2091" t="s">
        <v>921</v>
      </c>
      <c r="I2091" t="s">
        <v>21</v>
      </c>
    </row>
    <row r="2092" spans="1:9" x14ac:dyDescent="0.25">
      <c r="A2092">
        <v>20131003</v>
      </c>
      <c r="B2092" t="str">
        <f>"111895"</f>
        <v>111895</v>
      </c>
      <c r="C2092" t="str">
        <f>"37725"</f>
        <v>37725</v>
      </c>
      <c r="D2092" t="s">
        <v>1255</v>
      </c>
      <c r="E2092" s="1">
        <v>1798.2</v>
      </c>
      <c r="F2092">
        <v>20131001</v>
      </c>
      <c r="G2092" t="s">
        <v>1037</v>
      </c>
      <c r="H2092" t="s">
        <v>921</v>
      </c>
      <c r="I2092" t="s">
        <v>66</v>
      </c>
    </row>
    <row r="2093" spans="1:9" x14ac:dyDescent="0.25">
      <c r="A2093">
        <v>20131003</v>
      </c>
      <c r="B2093" t="str">
        <f>"111895"</f>
        <v>111895</v>
      </c>
      <c r="C2093" t="str">
        <f>"37725"</f>
        <v>37725</v>
      </c>
      <c r="D2093" t="s">
        <v>1255</v>
      </c>
      <c r="E2093">
        <v>362.97</v>
      </c>
      <c r="F2093">
        <v>20131001</v>
      </c>
      <c r="G2093" t="s">
        <v>810</v>
      </c>
      <c r="H2093" t="s">
        <v>921</v>
      </c>
      <c r="I2093" t="s">
        <v>66</v>
      </c>
    </row>
    <row r="2094" spans="1:9" x14ac:dyDescent="0.25">
      <c r="A2094">
        <v>20131003</v>
      </c>
      <c r="B2094" t="str">
        <f>"111896"</f>
        <v>111896</v>
      </c>
      <c r="C2094" t="str">
        <f>"86485"</f>
        <v>86485</v>
      </c>
      <c r="D2094" t="s">
        <v>887</v>
      </c>
      <c r="E2094">
        <v>66.02</v>
      </c>
      <c r="F2094">
        <v>20131001</v>
      </c>
      <c r="G2094" t="s">
        <v>774</v>
      </c>
      <c r="H2094" t="s">
        <v>765</v>
      </c>
      <c r="I2094" t="s">
        <v>61</v>
      </c>
    </row>
    <row r="2095" spans="1:9" x14ac:dyDescent="0.25">
      <c r="A2095">
        <v>20131003</v>
      </c>
      <c r="B2095" t="str">
        <f>"111897"</f>
        <v>111897</v>
      </c>
      <c r="C2095" t="str">
        <f>"85122"</f>
        <v>85122</v>
      </c>
      <c r="D2095" t="s">
        <v>1103</v>
      </c>
      <c r="E2095">
        <v>57.57</v>
      </c>
      <c r="F2095">
        <v>20131003</v>
      </c>
      <c r="G2095" t="s">
        <v>364</v>
      </c>
      <c r="H2095" t="s">
        <v>365</v>
      </c>
      <c r="I2095" t="s">
        <v>21</v>
      </c>
    </row>
    <row r="2096" spans="1:9" x14ac:dyDescent="0.25">
      <c r="A2096">
        <v>20131003</v>
      </c>
      <c r="B2096" t="str">
        <f>"111898"</f>
        <v>111898</v>
      </c>
      <c r="C2096" t="str">
        <f>"84800"</f>
        <v>84800</v>
      </c>
      <c r="D2096" t="s">
        <v>1256</v>
      </c>
      <c r="E2096" s="1">
        <v>1569.95</v>
      </c>
      <c r="F2096">
        <v>20131001</v>
      </c>
      <c r="G2096" t="s">
        <v>1067</v>
      </c>
      <c r="H2096" t="s">
        <v>1257</v>
      </c>
      <c r="I2096" t="s">
        <v>21</v>
      </c>
    </row>
    <row r="2097" spans="1:9" x14ac:dyDescent="0.25">
      <c r="A2097">
        <v>20131003</v>
      </c>
      <c r="B2097" t="str">
        <f>"111899"</f>
        <v>111899</v>
      </c>
      <c r="C2097" t="str">
        <f>"87539"</f>
        <v>87539</v>
      </c>
      <c r="D2097" t="s">
        <v>1258</v>
      </c>
      <c r="E2097">
        <v>200</v>
      </c>
      <c r="F2097">
        <v>20131002</v>
      </c>
      <c r="G2097" t="s">
        <v>347</v>
      </c>
      <c r="H2097" t="s">
        <v>361</v>
      </c>
      <c r="I2097" t="s">
        <v>61</v>
      </c>
    </row>
    <row r="2098" spans="1:9" x14ac:dyDescent="0.25">
      <c r="A2098">
        <v>20131003</v>
      </c>
      <c r="B2098" t="str">
        <f>"111900"</f>
        <v>111900</v>
      </c>
      <c r="C2098" t="str">
        <f>"84876"</f>
        <v>84876</v>
      </c>
      <c r="D2098" t="s">
        <v>1259</v>
      </c>
      <c r="E2098">
        <v>534.95000000000005</v>
      </c>
      <c r="F2098">
        <v>20131002</v>
      </c>
      <c r="G2098" t="s">
        <v>1064</v>
      </c>
      <c r="H2098" t="s">
        <v>1260</v>
      </c>
      <c r="I2098" t="s">
        <v>21</v>
      </c>
    </row>
    <row r="2099" spans="1:9" x14ac:dyDescent="0.25">
      <c r="A2099">
        <v>20131003</v>
      </c>
      <c r="B2099" t="str">
        <f>"111901"</f>
        <v>111901</v>
      </c>
      <c r="C2099" t="str">
        <f>"42750"</f>
        <v>42750</v>
      </c>
      <c r="D2099" t="s">
        <v>888</v>
      </c>
      <c r="E2099">
        <v>58.42</v>
      </c>
      <c r="F2099">
        <v>20131001</v>
      </c>
      <c r="G2099" t="s">
        <v>619</v>
      </c>
      <c r="H2099" t="s">
        <v>365</v>
      </c>
      <c r="I2099" t="s">
        <v>21</v>
      </c>
    </row>
    <row r="2100" spans="1:9" x14ac:dyDescent="0.25">
      <c r="A2100">
        <v>20131003</v>
      </c>
      <c r="B2100" t="str">
        <f>"111902"</f>
        <v>111902</v>
      </c>
      <c r="C2100" t="str">
        <f>"87529"</f>
        <v>87529</v>
      </c>
      <c r="D2100" t="s">
        <v>1261</v>
      </c>
      <c r="E2100">
        <v>115.2</v>
      </c>
      <c r="F2100">
        <v>20131001</v>
      </c>
      <c r="G2100" t="s">
        <v>1093</v>
      </c>
      <c r="H2100" t="s">
        <v>765</v>
      </c>
      <c r="I2100" t="s">
        <v>61</v>
      </c>
    </row>
    <row r="2101" spans="1:9" x14ac:dyDescent="0.25">
      <c r="A2101">
        <v>20131003</v>
      </c>
      <c r="B2101" t="str">
        <f>"111903"</f>
        <v>111903</v>
      </c>
      <c r="C2101" t="str">
        <f>"81282"</f>
        <v>81282</v>
      </c>
      <c r="D2101" t="s">
        <v>1262</v>
      </c>
      <c r="E2101">
        <v>63.2</v>
      </c>
      <c r="F2101">
        <v>20131001</v>
      </c>
      <c r="G2101" t="s">
        <v>601</v>
      </c>
      <c r="H2101" t="s">
        <v>921</v>
      </c>
      <c r="I2101" t="s">
        <v>21</v>
      </c>
    </row>
    <row r="2102" spans="1:9" x14ac:dyDescent="0.25">
      <c r="A2102">
        <v>20131003</v>
      </c>
      <c r="B2102" t="str">
        <f>"111903"</f>
        <v>111903</v>
      </c>
      <c r="C2102" t="str">
        <f>"81282"</f>
        <v>81282</v>
      </c>
      <c r="D2102" t="s">
        <v>1262</v>
      </c>
      <c r="E2102">
        <v>460</v>
      </c>
      <c r="F2102">
        <v>20131001</v>
      </c>
      <c r="G2102" t="s">
        <v>1263</v>
      </c>
      <c r="H2102" t="s">
        <v>921</v>
      </c>
      <c r="I2102" t="s">
        <v>21</v>
      </c>
    </row>
    <row r="2103" spans="1:9" x14ac:dyDescent="0.25">
      <c r="A2103">
        <v>20131003</v>
      </c>
      <c r="B2103" t="str">
        <f>"111904"</f>
        <v>111904</v>
      </c>
      <c r="C2103" t="str">
        <f>"87473"</f>
        <v>87473</v>
      </c>
      <c r="D2103" t="s">
        <v>160</v>
      </c>
      <c r="E2103">
        <v>200</v>
      </c>
      <c r="F2103">
        <v>20131001</v>
      </c>
      <c r="G2103" t="s">
        <v>1264</v>
      </c>
      <c r="H2103" t="s">
        <v>357</v>
      </c>
      <c r="I2103" t="s">
        <v>21</v>
      </c>
    </row>
    <row r="2104" spans="1:9" x14ac:dyDescent="0.25">
      <c r="A2104">
        <v>20131003</v>
      </c>
      <c r="B2104" t="str">
        <f>"111905"</f>
        <v>111905</v>
      </c>
      <c r="C2104" t="str">
        <f>"46785"</f>
        <v>46785</v>
      </c>
      <c r="D2104" t="s">
        <v>1265</v>
      </c>
      <c r="E2104">
        <v>55.44</v>
      </c>
      <c r="F2104">
        <v>20131001</v>
      </c>
      <c r="G2104" t="s">
        <v>908</v>
      </c>
      <c r="H2104" t="s">
        <v>365</v>
      </c>
      <c r="I2104" t="s">
        <v>66</v>
      </c>
    </row>
    <row r="2105" spans="1:9" x14ac:dyDescent="0.25">
      <c r="A2105">
        <v>20131003</v>
      </c>
      <c r="B2105" t="str">
        <f>"111906"</f>
        <v>111906</v>
      </c>
      <c r="C2105" t="str">
        <f>"48820"</f>
        <v>48820</v>
      </c>
      <c r="D2105" t="s">
        <v>1106</v>
      </c>
      <c r="E2105">
        <v>253.21</v>
      </c>
      <c r="F2105">
        <v>20131001</v>
      </c>
      <c r="G2105" t="s">
        <v>209</v>
      </c>
      <c r="H2105" t="s">
        <v>354</v>
      </c>
      <c r="I2105" t="s">
        <v>25</v>
      </c>
    </row>
    <row r="2106" spans="1:9" x14ac:dyDescent="0.25">
      <c r="A2106">
        <v>20131003</v>
      </c>
      <c r="B2106" t="str">
        <f t="shared" ref="B2106:B2111" si="161">"111907"</f>
        <v>111907</v>
      </c>
      <c r="C2106" t="str">
        <f t="shared" ref="C2106:C2111" si="162">"81137"</f>
        <v>81137</v>
      </c>
      <c r="D2106" t="s">
        <v>1266</v>
      </c>
      <c r="E2106">
        <v>404</v>
      </c>
      <c r="F2106">
        <v>20131001</v>
      </c>
      <c r="G2106" t="s">
        <v>870</v>
      </c>
      <c r="H2106" t="s">
        <v>607</v>
      </c>
      <c r="I2106" t="s">
        <v>21</v>
      </c>
    </row>
    <row r="2107" spans="1:9" x14ac:dyDescent="0.25">
      <c r="A2107">
        <v>20131003</v>
      </c>
      <c r="B2107" t="str">
        <f t="shared" si="161"/>
        <v>111907</v>
      </c>
      <c r="C2107" t="str">
        <f t="shared" si="162"/>
        <v>81137</v>
      </c>
      <c r="D2107" t="s">
        <v>1266</v>
      </c>
      <c r="E2107">
        <v>126</v>
      </c>
      <c r="F2107">
        <v>20131001</v>
      </c>
      <c r="G2107" t="s">
        <v>870</v>
      </c>
      <c r="H2107" t="s">
        <v>607</v>
      </c>
      <c r="I2107" t="s">
        <v>21</v>
      </c>
    </row>
    <row r="2108" spans="1:9" x14ac:dyDescent="0.25">
      <c r="A2108">
        <v>20131003</v>
      </c>
      <c r="B2108" t="str">
        <f t="shared" si="161"/>
        <v>111907</v>
      </c>
      <c r="C2108" t="str">
        <f t="shared" si="162"/>
        <v>81137</v>
      </c>
      <c r="D2108" t="s">
        <v>1266</v>
      </c>
      <c r="E2108">
        <v>812.7</v>
      </c>
      <c r="F2108">
        <v>20131001</v>
      </c>
      <c r="G2108" t="s">
        <v>870</v>
      </c>
      <c r="H2108" t="s">
        <v>607</v>
      </c>
      <c r="I2108" t="s">
        <v>21</v>
      </c>
    </row>
    <row r="2109" spans="1:9" x14ac:dyDescent="0.25">
      <c r="A2109">
        <v>20131003</v>
      </c>
      <c r="B2109" t="str">
        <f t="shared" si="161"/>
        <v>111907</v>
      </c>
      <c r="C2109" t="str">
        <f t="shared" si="162"/>
        <v>81137</v>
      </c>
      <c r="D2109" t="s">
        <v>1266</v>
      </c>
      <c r="E2109" s="1">
        <v>19080</v>
      </c>
      <c r="F2109">
        <v>20131001</v>
      </c>
      <c r="G2109" t="s">
        <v>870</v>
      </c>
      <c r="H2109" t="s">
        <v>607</v>
      </c>
      <c r="I2109" t="s">
        <v>21</v>
      </c>
    </row>
    <row r="2110" spans="1:9" x14ac:dyDescent="0.25">
      <c r="A2110">
        <v>20131003</v>
      </c>
      <c r="B2110" t="str">
        <f t="shared" si="161"/>
        <v>111907</v>
      </c>
      <c r="C2110" t="str">
        <f t="shared" si="162"/>
        <v>81137</v>
      </c>
      <c r="D2110" t="s">
        <v>1266</v>
      </c>
      <c r="E2110" s="1">
        <v>1960</v>
      </c>
      <c r="F2110">
        <v>20131001</v>
      </c>
      <c r="G2110" t="s">
        <v>870</v>
      </c>
      <c r="H2110" t="s">
        <v>607</v>
      </c>
      <c r="I2110" t="s">
        <v>21</v>
      </c>
    </row>
    <row r="2111" spans="1:9" x14ac:dyDescent="0.25">
      <c r="A2111">
        <v>20131003</v>
      </c>
      <c r="B2111" t="str">
        <f t="shared" si="161"/>
        <v>111907</v>
      </c>
      <c r="C2111" t="str">
        <f t="shared" si="162"/>
        <v>81137</v>
      </c>
      <c r="D2111" t="s">
        <v>1266</v>
      </c>
      <c r="E2111">
        <v>-111</v>
      </c>
      <c r="F2111">
        <v>20131003</v>
      </c>
      <c r="G2111" t="s">
        <v>870</v>
      </c>
      <c r="H2111" t="s">
        <v>607</v>
      </c>
      <c r="I2111" t="s">
        <v>21</v>
      </c>
    </row>
    <row r="2112" spans="1:9" x14ac:dyDescent="0.25">
      <c r="A2112">
        <v>20131003</v>
      </c>
      <c r="B2112" t="str">
        <f>"111908"</f>
        <v>111908</v>
      </c>
      <c r="C2112" t="str">
        <f>"84193"</f>
        <v>84193</v>
      </c>
      <c r="D2112" t="s">
        <v>1110</v>
      </c>
      <c r="E2112">
        <v>57.57</v>
      </c>
      <c r="F2112">
        <v>20131002</v>
      </c>
      <c r="G2112" t="s">
        <v>986</v>
      </c>
      <c r="H2112" t="s">
        <v>365</v>
      </c>
      <c r="I2112" t="s">
        <v>21</v>
      </c>
    </row>
    <row r="2113" spans="1:9" x14ac:dyDescent="0.25">
      <c r="A2113">
        <v>20131003</v>
      </c>
      <c r="B2113" t="str">
        <f t="shared" ref="B2113:B2129" si="163">"111909"</f>
        <v>111909</v>
      </c>
      <c r="C2113" t="str">
        <f t="shared" ref="C2113:C2129" si="164">"29230"</f>
        <v>29230</v>
      </c>
      <c r="D2113" t="s">
        <v>1267</v>
      </c>
      <c r="E2113" s="1">
        <v>1807.56</v>
      </c>
      <c r="F2113">
        <v>20131001</v>
      </c>
      <c r="G2113" t="s">
        <v>511</v>
      </c>
      <c r="H2113" t="s">
        <v>1268</v>
      </c>
      <c r="I2113" t="s">
        <v>21</v>
      </c>
    </row>
    <row r="2114" spans="1:9" x14ac:dyDescent="0.25">
      <c r="A2114">
        <v>20131003</v>
      </c>
      <c r="B2114" t="str">
        <f t="shared" si="163"/>
        <v>111909</v>
      </c>
      <c r="C2114" t="str">
        <f t="shared" si="164"/>
        <v>29230</v>
      </c>
      <c r="D2114" t="s">
        <v>1267</v>
      </c>
      <c r="E2114" s="1">
        <v>2110.6</v>
      </c>
      <c r="F2114">
        <v>20131001</v>
      </c>
      <c r="G2114" t="s">
        <v>511</v>
      </c>
      <c r="H2114" t="s">
        <v>1268</v>
      </c>
      <c r="I2114" t="s">
        <v>21</v>
      </c>
    </row>
    <row r="2115" spans="1:9" x14ac:dyDescent="0.25">
      <c r="A2115">
        <v>20131003</v>
      </c>
      <c r="B2115" t="str">
        <f t="shared" si="163"/>
        <v>111909</v>
      </c>
      <c r="C2115" t="str">
        <f t="shared" si="164"/>
        <v>29230</v>
      </c>
      <c r="D2115" t="s">
        <v>1267</v>
      </c>
      <c r="E2115">
        <v>39.04</v>
      </c>
      <c r="F2115">
        <v>20131001</v>
      </c>
      <c r="G2115" t="s">
        <v>511</v>
      </c>
      <c r="H2115" t="s">
        <v>1268</v>
      </c>
      <c r="I2115" t="s">
        <v>21</v>
      </c>
    </row>
    <row r="2116" spans="1:9" x14ac:dyDescent="0.25">
      <c r="A2116">
        <v>20131003</v>
      </c>
      <c r="B2116" t="str">
        <f t="shared" si="163"/>
        <v>111909</v>
      </c>
      <c r="C2116" t="str">
        <f t="shared" si="164"/>
        <v>29230</v>
      </c>
      <c r="D2116" t="s">
        <v>1267</v>
      </c>
      <c r="E2116">
        <v>112.55</v>
      </c>
      <c r="F2116">
        <v>20131001</v>
      </c>
      <c r="G2116" t="s">
        <v>511</v>
      </c>
      <c r="H2116" t="s">
        <v>1268</v>
      </c>
      <c r="I2116" t="s">
        <v>21</v>
      </c>
    </row>
    <row r="2117" spans="1:9" x14ac:dyDescent="0.25">
      <c r="A2117">
        <v>20131003</v>
      </c>
      <c r="B2117" t="str">
        <f t="shared" si="163"/>
        <v>111909</v>
      </c>
      <c r="C2117" t="str">
        <f t="shared" si="164"/>
        <v>29230</v>
      </c>
      <c r="D2117" t="s">
        <v>1267</v>
      </c>
      <c r="E2117">
        <v>65.88</v>
      </c>
      <c r="F2117">
        <v>20131001</v>
      </c>
      <c r="G2117" t="s">
        <v>511</v>
      </c>
      <c r="H2117" t="s">
        <v>1268</v>
      </c>
      <c r="I2117" t="s">
        <v>21</v>
      </c>
    </row>
    <row r="2118" spans="1:9" x14ac:dyDescent="0.25">
      <c r="A2118">
        <v>20131003</v>
      </c>
      <c r="B2118" t="str">
        <f t="shared" si="163"/>
        <v>111909</v>
      </c>
      <c r="C2118" t="str">
        <f t="shared" si="164"/>
        <v>29230</v>
      </c>
      <c r="D2118" t="s">
        <v>1267</v>
      </c>
      <c r="E2118" s="1">
        <v>1284.6600000000001</v>
      </c>
      <c r="F2118">
        <v>20131001</v>
      </c>
      <c r="G2118" t="s">
        <v>621</v>
      </c>
      <c r="H2118" t="s">
        <v>1269</v>
      </c>
      <c r="I2118" t="s">
        <v>21</v>
      </c>
    </row>
    <row r="2119" spans="1:9" x14ac:dyDescent="0.25">
      <c r="A2119">
        <v>20131003</v>
      </c>
      <c r="B2119" t="str">
        <f t="shared" si="163"/>
        <v>111909</v>
      </c>
      <c r="C2119" t="str">
        <f t="shared" si="164"/>
        <v>29230</v>
      </c>
      <c r="D2119" t="s">
        <v>1267</v>
      </c>
      <c r="E2119">
        <v>878.4</v>
      </c>
      <c r="F2119">
        <v>20131001</v>
      </c>
      <c r="G2119" t="s">
        <v>1270</v>
      </c>
      <c r="H2119" t="s">
        <v>1268</v>
      </c>
      <c r="I2119" t="s">
        <v>21</v>
      </c>
    </row>
    <row r="2120" spans="1:9" x14ac:dyDescent="0.25">
      <c r="A2120">
        <v>20131003</v>
      </c>
      <c r="B2120" t="str">
        <f t="shared" si="163"/>
        <v>111909</v>
      </c>
      <c r="C2120" t="str">
        <f t="shared" si="164"/>
        <v>29230</v>
      </c>
      <c r="D2120" t="s">
        <v>1267</v>
      </c>
      <c r="E2120">
        <v>761.28</v>
      </c>
      <c r="F2120">
        <v>20131001</v>
      </c>
      <c r="G2120" t="s">
        <v>624</v>
      </c>
      <c r="H2120" t="s">
        <v>1268</v>
      </c>
      <c r="I2120" t="s">
        <v>21</v>
      </c>
    </row>
    <row r="2121" spans="1:9" x14ac:dyDescent="0.25">
      <c r="A2121">
        <v>20131003</v>
      </c>
      <c r="B2121" t="str">
        <f t="shared" si="163"/>
        <v>111909</v>
      </c>
      <c r="C2121" t="str">
        <f t="shared" si="164"/>
        <v>29230</v>
      </c>
      <c r="D2121" t="s">
        <v>1267</v>
      </c>
      <c r="E2121" s="1">
        <v>1416.88</v>
      </c>
      <c r="F2121">
        <v>20131001</v>
      </c>
      <c r="G2121" t="s">
        <v>950</v>
      </c>
      <c r="H2121" t="s">
        <v>1268</v>
      </c>
      <c r="I2121" t="s">
        <v>21</v>
      </c>
    </row>
    <row r="2122" spans="1:9" x14ac:dyDescent="0.25">
      <c r="A2122">
        <v>20131003</v>
      </c>
      <c r="B2122" t="str">
        <f t="shared" si="163"/>
        <v>111909</v>
      </c>
      <c r="C2122" t="str">
        <f t="shared" si="164"/>
        <v>29230</v>
      </c>
      <c r="D2122" t="s">
        <v>1267</v>
      </c>
      <c r="E2122">
        <v>839.97</v>
      </c>
      <c r="F2122">
        <v>20131001</v>
      </c>
      <c r="G2122" t="s">
        <v>524</v>
      </c>
      <c r="H2122" t="s">
        <v>1268</v>
      </c>
      <c r="I2122" t="s">
        <v>21</v>
      </c>
    </row>
    <row r="2123" spans="1:9" x14ac:dyDescent="0.25">
      <c r="A2123">
        <v>20131003</v>
      </c>
      <c r="B2123" t="str">
        <f t="shared" si="163"/>
        <v>111909</v>
      </c>
      <c r="C2123" t="str">
        <f t="shared" si="164"/>
        <v>29230</v>
      </c>
      <c r="D2123" t="s">
        <v>1267</v>
      </c>
      <c r="E2123">
        <v>253.76</v>
      </c>
      <c r="F2123">
        <v>20131001</v>
      </c>
      <c r="G2123" t="s">
        <v>526</v>
      </c>
      <c r="H2123" t="s">
        <v>1268</v>
      </c>
      <c r="I2123" t="s">
        <v>21</v>
      </c>
    </row>
    <row r="2124" spans="1:9" x14ac:dyDescent="0.25">
      <c r="A2124">
        <v>20131003</v>
      </c>
      <c r="B2124" t="str">
        <f t="shared" si="163"/>
        <v>111909</v>
      </c>
      <c r="C2124" t="str">
        <f t="shared" si="164"/>
        <v>29230</v>
      </c>
      <c r="D2124" t="s">
        <v>1267</v>
      </c>
      <c r="E2124">
        <v>805.2</v>
      </c>
      <c r="F2124">
        <v>20131001</v>
      </c>
      <c r="G2124" t="s">
        <v>450</v>
      </c>
      <c r="H2124" t="s">
        <v>1269</v>
      </c>
      <c r="I2124" t="s">
        <v>21</v>
      </c>
    </row>
    <row r="2125" spans="1:9" x14ac:dyDescent="0.25">
      <c r="A2125">
        <v>20131003</v>
      </c>
      <c r="B2125" t="str">
        <f t="shared" si="163"/>
        <v>111909</v>
      </c>
      <c r="C2125" t="str">
        <f t="shared" si="164"/>
        <v>29230</v>
      </c>
      <c r="D2125" t="s">
        <v>1267</v>
      </c>
      <c r="E2125">
        <v>39.04</v>
      </c>
      <c r="F2125">
        <v>20131001</v>
      </c>
      <c r="G2125" t="s">
        <v>1271</v>
      </c>
      <c r="H2125" t="s">
        <v>1268</v>
      </c>
      <c r="I2125" t="s">
        <v>21</v>
      </c>
    </row>
    <row r="2126" spans="1:9" x14ac:dyDescent="0.25">
      <c r="A2126">
        <v>20131003</v>
      </c>
      <c r="B2126" t="str">
        <f t="shared" si="163"/>
        <v>111909</v>
      </c>
      <c r="C2126" t="str">
        <f t="shared" si="164"/>
        <v>29230</v>
      </c>
      <c r="D2126" t="s">
        <v>1267</v>
      </c>
      <c r="E2126">
        <v>34.159999999999997</v>
      </c>
      <c r="F2126">
        <v>20131001</v>
      </c>
      <c r="G2126" t="s">
        <v>1271</v>
      </c>
      <c r="H2126" t="s">
        <v>1268</v>
      </c>
      <c r="I2126" t="s">
        <v>21</v>
      </c>
    </row>
    <row r="2127" spans="1:9" x14ac:dyDescent="0.25">
      <c r="A2127">
        <v>20131003</v>
      </c>
      <c r="B2127" t="str">
        <f t="shared" si="163"/>
        <v>111909</v>
      </c>
      <c r="C2127" t="str">
        <f t="shared" si="164"/>
        <v>29230</v>
      </c>
      <c r="D2127" t="s">
        <v>1267</v>
      </c>
      <c r="E2127">
        <v>80.52</v>
      </c>
      <c r="F2127">
        <v>20131001</v>
      </c>
      <c r="G2127" t="s">
        <v>1271</v>
      </c>
      <c r="H2127" t="s">
        <v>1268</v>
      </c>
      <c r="I2127" t="s">
        <v>21</v>
      </c>
    </row>
    <row r="2128" spans="1:9" x14ac:dyDescent="0.25">
      <c r="A2128">
        <v>20131003</v>
      </c>
      <c r="B2128" t="str">
        <f t="shared" si="163"/>
        <v>111909</v>
      </c>
      <c r="C2128" t="str">
        <f t="shared" si="164"/>
        <v>29230</v>
      </c>
      <c r="D2128" t="s">
        <v>1267</v>
      </c>
      <c r="E2128">
        <v>278.16000000000003</v>
      </c>
      <c r="F2128">
        <v>20131001</v>
      </c>
      <c r="G2128" t="s">
        <v>1272</v>
      </c>
      <c r="H2128" t="s">
        <v>1268</v>
      </c>
      <c r="I2128" t="s">
        <v>21</v>
      </c>
    </row>
    <row r="2129" spans="1:9" x14ac:dyDescent="0.25">
      <c r="A2129">
        <v>20131003</v>
      </c>
      <c r="B2129" t="str">
        <f t="shared" si="163"/>
        <v>111909</v>
      </c>
      <c r="C2129" t="str">
        <f t="shared" si="164"/>
        <v>29230</v>
      </c>
      <c r="D2129" t="s">
        <v>1267</v>
      </c>
      <c r="E2129">
        <v>333.52</v>
      </c>
      <c r="F2129">
        <v>20131001</v>
      </c>
      <c r="G2129" t="s">
        <v>1273</v>
      </c>
      <c r="H2129" t="s">
        <v>1268</v>
      </c>
      <c r="I2129" t="s">
        <v>21</v>
      </c>
    </row>
    <row r="2130" spans="1:9" x14ac:dyDescent="0.25">
      <c r="A2130">
        <v>20131003</v>
      </c>
      <c r="B2130" t="str">
        <f>"111910"</f>
        <v>111910</v>
      </c>
      <c r="C2130" t="str">
        <f>"87534"</f>
        <v>87534</v>
      </c>
      <c r="D2130" t="s">
        <v>1274</v>
      </c>
      <c r="E2130">
        <v>280</v>
      </c>
      <c r="F2130">
        <v>20131001</v>
      </c>
      <c r="G2130" t="s">
        <v>943</v>
      </c>
      <c r="H2130" t="s">
        <v>361</v>
      </c>
      <c r="I2130" t="s">
        <v>21</v>
      </c>
    </row>
    <row r="2131" spans="1:9" x14ac:dyDescent="0.25">
      <c r="A2131">
        <v>20131003</v>
      </c>
      <c r="B2131" t="str">
        <f>"111910"</f>
        <v>111910</v>
      </c>
      <c r="C2131" t="str">
        <f>"87534"</f>
        <v>87534</v>
      </c>
      <c r="D2131" t="s">
        <v>1274</v>
      </c>
      <c r="E2131">
        <v>-280</v>
      </c>
      <c r="F2131">
        <v>20131023</v>
      </c>
      <c r="G2131" t="s">
        <v>943</v>
      </c>
      <c r="H2131" t="s">
        <v>358</v>
      </c>
      <c r="I2131" t="s">
        <v>21</v>
      </c>
    </row>
    <row r="2132" spans="1:9" x14ac:dyDescent="0.25">
      <c r="A2132">
        <v>20131003</v>
      </c>
      <c r="B2132" t="str">
        <f>"111911"</f>
        <v>111911</v>
      </c>
      <c r="C2132" t="str">
        <f>"00760"</f>
        <v>00760</v>
      </c>
      <c r="D2132" t="s">
        <v>920</v>
      </c>
      <c r="E2132">
        <v>307.89</v>
      </c>
      <c r="F2132">
        <v>20131002</v>
      </c>
      <c r="G2132" t="s">
        <v>1033</v>
      </c>
      <c r="H2132" t="s">
        <v>921</v>
      </c>
      <c r="I2132" t="s">
        <v>21</v>
      </c>
    </row>
    <row r="2133" spans="1:9" x14ac:dyDescent="0.25">
      <c r="A2133">
        <v>20131003</v>
      </c>
      <c r="B2133" t="str">
        <f>"111912"</f>
        <v>111912</v>
      </c>
      <c r="C2133" t="str">
        <f>"87507"</f>
        <v>87507</v>
      </c>
      <c r="D2133" t="s">
        <v>1275</v>
      </c>
      <c r="E2133">
        <v>409</v>
      </c>
      <c r="F2133">
        <v>20131001</v>
      </c>
      <c r="G2133" t="s">
        <v>1020</v>
      </c>
      <c r="H2133" t="s">
        <v>1276</v>
      </c>
      <c r="I2133" t="s">
        <v>21</v>
      </c>
    </row>
    <row r="2134" spans="1:9" x14ac:dyDescent="0.25">
      <c r="A2134">
        <v>20131003</v>
      </c>
      <c r="B2134" t="str">
        <f>"111913"</f>
        <v>111913</v>
      </c>
      <c r="C2134" t="str">
        <f>"55795"</f>
        <v>55795</v>
      </c>
      <c r="D2134" t="s">
        <v>931</v>
      </c>
      <c r="E2134">
        <v>8.9700000000000006</v>
      </c>
      <c r="F2134">
        <v>20131002</v>
      </c>
      <c r="G2134" t="s">
        <v>1277</v>
      </c>
      <c r="H2134" t="s">
        <v>354</v>
      </c>
      <c r="I2134" t="s">
        <v>79</v>
      </c>
    </row>
    <row r="2135" spans="1:9" x14ac:dyDescent="0.25">
      <c r="A2135">
        <v>20131003</v>
      </c>
      <c r="B2135" t="str">
        <f>"111914"</f>
        <v>111914</v>
      </c>
      <c r="C2135" t="str">
        <f>"58490"</f>
        <v>58490</v>
      </c>
      <c r="D2135" t="s">
        <v>1278</v>
      </c>
      <c r="E2135" s="1">
        <v>1178.02</v>
      </c>
      <c r="F2135">
        <v>20131002</v>
      </c>
      <c r="G2135" t="s">
        <v>1279</v>
      </c>
      <c r="H2135" t="s">
        <v>354</v>
      </c>
      <c r="I2135" t="s">
        <v>38</v>
      </c>
    </row>
    <row r="2136" spans="1:9" x14ac:dyDescent="0.25">
      <c r="A2136">
        <v>20131003</v>
      </c>
      <c r="B2136" t="str">
        <f>"111915"</f>
        <v>111915</v>
      </c>
      <c r="C2136" t="str">
        <f>"86964"</f>
        <v>86964</v>
      </c>
      <c r="D2136" t="s">
        <v>1280</v>
      </c>
      <c r="E2136" s="1">
        <v>2312.88</v>
      </c>
      <c r="F2136">
        <v>20131001</v>
      </c>
      <c r="G2136" t="s">
        <v>1281</v>
      </c>
      <c r="H2136" t="s">
        <v>1282</v>
      </c>
      <c r="I2136" t="s">
        <v>21</v>
      </c>
    </row>
    <row r="2137" spans="1:9" x14ac:dyDescent="0.25">
      <c r="A2137">
        <v>20131003</v>
      </c>
      <c r="B2137" t="str">
        <f>"111915"</f>
        <v>111915</v>
      </c>
      <c r="C2137" t="str">
        <f>"86964"</f>
        <v>86964</v>
      </c>
      <c r="D2137" t="s">
        <v>1280</v>
      </c>
      <c r="E2137" s="1">
        <v>1466.79</v>
      </c>
      <c r="F2137">
        <v>20131001</v>
      </c>
      <c r="G2137" t="s">
        <v>840</v>
      </c>
      <c r="H2137" t="s">
        <v>1283</v>
      </c>
      <c r="I2137" t="s">
        <v>21</v>
      </c>
    </row>
    <row r="2138" spans="1:9" x14ac:dyDescent="0.25">
      <c r="A2138">
        <v>20131003</v>
      </c>
      <c r="B2138" t="str">
        <f>"111916"</f>
        <v>111916</v>
      </c>
      <c r="C2138" t="str">
        <f>"59500"</f>
        <v>59500</v>
      </c>
      <c r="D2138" t="s">
        <v>670</v>
      </c>
      <c r="E2138">
        <v>152.9</v>
      </c>
      <c r="F2138">
        <v>20131001</v>
      </c>
      <c r="G2138" t="s">
        <v>1067</v>
      </c>
      <c r="H2138" t="s">
        <v>1284</v>
      </c>
      <c r="I2138" t="s">
        <v>21</v>
      </c>
    </row>
    <row r="2139" spans="1:9" x14ac:dyDescent="0.25">
      <c r="A2139">
        <v>20131003</v>
      </c>
      <c r="B2139" t="str">
        <f>"111917"</f>
        <v>111917</v>
      </c>
      <c r="C2139" t="str">
        <f>"84225"</f>
        <v>84225</v>
      </c>
      <c r="D2139" t="s">
        <v>676</v>
      </c>
      <c r="E2139">
        <v>200</v>
      </c>
      <c r="F2139">
        <v>20131001</v>
      </c>
      <c r="G2139" t="s">
        <v>828</v>
      </c>
      <c r="H2139" t="s">
        <v>1285</v>
      </c>
      <c r="I2139" t="s">
        <v>21</v>
      </c>
    </row>
    <row r="2140" spans="1:9" x14ac:dyDescent="0.25">
      <c r="A2140">
        <v>20131003</v>
      </c>
      <c r="B2140" t="str">
        <f>"111918"</f>
        <v>111918</v>
      </c>
      <c r="C2140" t="str">
        <f>"87483"</f>
        <v>87483</v>
      </c>
      <c r="D2140" t="s">
        <v>1286</v>
      </c>
      <c r="E2140">
        <v>925</v>
      </c>
      <c r="F2140">
        <v>20131002</v>
      </c>
      <c r="G2140" t="s">
        <v>840</v>
      </c>
      <c r="H2140" t="s">
        <v>1287</v>
      </c>
      <c r="I2140" t="s">
        <v>21</v>
      </c>
    </row>
    <row r="2141" spans="1:9" x14ac:dyDescent="0.25">
      <c r="A2141">
        <v>20131003</v>
      </c>
      <c r="B2141" t="str">
        <f>"111918"</f>
        <v>111918</v>
      </c>
      <c r="C2141" t="str">
        <f>"87483"</f>
        <v>87483</v>
      </c>
      <c r="D2141" t="s">
        <v>1286</v>
      </c>
      <c r="E2141" s="1">
        <v>1170</v>
      </c>
      <c r="F2141">
        <v>20131002</v>
      </c>
      <c r="G2141" t="s">
        <v>840</v>
      </c>
      <c r="H2141" t="s">
        <v>1288</v>
      </c>
      <c r="I2141" t="s">
        <v>21</v>
      </c>
    </row>
    <row r="2142" spans="1:9" x14ac:dyDescent="0.25">
      <c r="A2142">
        <v>20131003</v>
      </c>
      <c r="B2142" t="str">
        <f>"111919"</f>
        <v>111919</v>
      </c>
      <c r="C2142" t="str">
        <f>"83617"</f>
        <v>83617</v>
      </c>
      <c r="D2142" t="s">
        <v>1289</v>
      </c>
      <c r="E2142">
        <v>180.48</v>
      </c>
      <c r="F2142">
        <v>20131001</v>
      </c>
      <c r="G2142" t="s">
        <v>892</v>
      </c>
      <c r="H2142" t="s">
        <v>365</v>
      </c>
      <c r="I2142" t="s">
        <v>79</v>
      </c>
    </row>
    <row r="2143" spans="1:9" x14ac:dyDescent="0.25">
      <c r="A2143">
        <v>20131003</v>
      </c>
      <c r="B2143" t="str">
        <f>"111920"</f>
        <v>111920</v>
      </c>
      <c r="C2143" t="str">
        <f>"87525"</f>
        <v>87525</v>
      </c>
      <c r="D2143" t="s">
        <v>1290</v>
      </c>
      <c r="E2143">
        <v>45.69</v>
      </c>
      <c r="F2143">
        <v>20131001</v>
      </c>
      <c r="G2143" t="s">
        <v>579</v>
      </c>
      <c r="H2143" t="s">
        <v>1291</v>
      </c>
      <c r="I2143" t="s">
        <v>21</v>
      </c>
    </row>
    <row r="2144" spans="1:9" x14ac:dyDescent="0.25">
      <c r="A2144">
        <v>20131003</v>
      </c>
      <c r="B2144" t="str">
        <f>"111921"</f>
        <v>111921</v>
      </c>
      <c r="C2144" t="str">
        <f>"00166"</f>
        <v>00166</v>
      </c>
      <c r="D2144" t="s">
        <v>685</v>
      </c>
      <c r="E2144" s="1">
        <v>1515.4</v>
      </c>
      <c r="F2144">
        <v>20131001</v>
      </c>
      <c r="G2144" t="s">
        <v>36</v>
      </c>
      <c r="H2144" t="s">
        <v>1292</v>
      </c>
      <c r="I2144" t="s">
        <v>38</v>
      </c>
    </row>
    <row r="2145" spans="1:9" x14ac:dyDescent="0.25">
      <c r="A2145">
        <v>20131003</v>
      </c>
      <c r="B2145" t="str">
        <f t="shared" ref="B2145:B2164" si="165">"111922"</f>
        <v>111922</v>
      </c>
      <c r="C2145" t="str">
        <f t="shared" ref="C2145:C2164" si="166">"62900"</f>
        <v>62900</v>
      </c>
      <c r="D2145" t="s">
        <v>1293</v>
      </c>
      <c r="E2145">
        <v>16.309999999999999</v>
      </c>
      <c r="F2145">
        <v>20131001</v>
      </c>
      <c r="G2145" t="s">
        <v>186</v>
      </c>
      <c r="H2145" t="s">
        <v>1294</v>
      </c>
      <c r="I2145" t="s">
        <v>61</v>
      </c>
    </row>
    <row r="2146" spans="1:9" x14ac:dyDescent="0.25">
      <c r="A2146">
        <v>20131003</v>
      </c>
      <c r="B2146" t="str">
        <f t="shared" si="165"/>
        <v>111922</v>
      </c>
      <c r="C2146" t="str">
        <f t="shared" si="166"/>
        <v>62900</v>
      </c>
      <c r="D2146" t="s">
        <v>1293</v>
      </c>
      <c r="E2146">
        <v>294.92</v>
      </c>
      <c r="F2146">
        <v>20131001</v>
      </c>
      <c r="G2146" t="s">
        <v>577</v>
      </c>
      <c r="H2146" t="s">
        <v>1294</v>
      </c>
      <c r="I2146" t="s">
        <v>21</v>
      </c>
    </row>
    <row r="2147" spans="1:9" x14ac:dyDescent="0.25">
      <c r="A2147">
        <v>20131003</v>
      </c>
      <c r="B2147" t="str">
        <f t="shared" si="165"/>
        <v>111922</v>
      </c>
      <c r="C2147" t="str">
        <f t="shared" si="166"/>
        <v>62900</v>
      </c>
      <c r="D2147" t="s">
        <v>1293</v>
      </c>
      <c r="E2147">
        <v>66.56</v>
      </c>
      <c r="F2147">
        <v>20131001</v>
      </c>
      <c r="G2147" t="s">
        <v>579</v>
      </c>
      <c r="H2147" t="s">
        <v>1294</v>
      </c>
      <c r="I2147" t="s">
        <v>21</v>
      </c>
    </row>
    <row r="2148" spans="1:9" x14ac:dyDescent="0.25">
      <c r="A2148">
        <v>20131003</v>
      </c>
      <c r="B2148" t="str">
        <f t="shared" si="165"/>
        <v>111922</v>
      </c>
      <c r="C2148" t="str">
        <f t="shared" si="166"/>
        <v>62900</v>
      </c>
      <c r="D2148" t="s">
        <v>1293</v>
      </c>
      <c r="E2148">
        <v>45.1</v>
      </c>
      <c r="F2148">
        <v>20131001</v>
      </c>
      <c r="G2148" t="s">
        <v>580</v>
      </c>
      <c r="H2148" t="s">
        <v>1294</v>
      </c>
      <c r="I2148" t="s">
        <v>21</v>
      </c>
    </row>
    <row r="2149" spans="1:9" x14ac:dyDescent="0.25">
      <c r="A2149">
        <v>20131003</v>
      </c>
      <c r="B2149" t="str">
        <f t="shared" si="165"/>
        <v>111922</v>
      </c>
      <c r="C2149" t="str">
        <f t="shared" si="166"/>
        <v>62900</v>
      </c>
      <c r="D2149" t="s">
        <v>1293</v>
      </c>
      <c r="E2149">
        <v>531.14</v>
      </c>
      <c r="F2149">
        <v>20131001</v>
      </c>
      <c r="G2149" t="s">
        <v>581</v>
      </c>
      <c r="H2149" t="s">
        <v>1294</v>
      </c>
      <c r="I2149" t="s">
        <v>21</v>
      </c>
    </row>
    <row r="2150" spans="1:9" x14ac:dyDescent="0.25">
      <c r="A2150">
        <v>20131003</v>
      </c>
      <c r="B2150" t="str">
        <f t="shared" si="165"/>
        <v>111922</v>
      </c>
      <c r="C2150" t="str">
        <f t="shared" si="166"/>
        <v>62900</v>
      </c>
      <c r="D2150" t="s">
        <v>1293</v>
      </c>
      <c r="E2150">
        <v>839.8</v>
      </c>
      <c r="F2150">
        <v>20131001</v>
      </c>
      <c r="G2150" t="s">
        <v>828</v>
      </c>
      <c r="H2150" t="s">
        <v>1295</v>
      </c>
      <c r="I2150" t="s">
        <v>21</v>
      </c>
    </row>
    <row r="2151" spans="1:9" x14ac:dyDescent="0.25">
      <c r="A2151">
        <v>20131003</v>
      </c>
      <c r="B2151" t="str">
        <f t="shared" si="165"/>
        <v>111922</v>
      </c>
      <c r="C2151" t="str">
        <f t="shared" si="166"/>
        <v>62900</v>
      </c>
      <c r="D2151" t="s">
        <v>1293</v>
      </c>
      <c r="E2151">
        <v>218.73</v>
      </c>
      <c r="F2151">
        <v>20131001</v>
      </c>
      <c r="G2151" t="s">
        <v>828</v>
      </c>
      <c r="H2151" t="s">
        <v>1294</v>
      </c>
      <c r="I2151" t="s">
        <v>21</v>
      </c>
    </row>
    <row r="2152" spans="1:9" x14ac:dyDescent="0.25">
      <c r="A2152">
        <v>20131003</v>
      </c>
      <c r="B2152" t="str">
        <f t="shared" si="165"/>
        <v>111922</v>
      </c>
      <c r="C2152" t="str">
        <f t="shared" si="166"/>
        <v>62900</v>
      </c>
      <c r="D2152" t="s">
        <v>1293</v>
      </c>
      <c r="E2152">
        <v>16.55</v>
      </c>
      <c r="F2152">
        <v>20131001</v>
      </c>
      <c r="G2152" t="s">
        <v>582</v>
      </c>
      <c r="H2152" t="s">
        <v>1294</v>
      </c>
      <c r="I2152" t="s">
        <v>21</v>
      </c>
    </row>
    <row r="2153" spans="1:9" x14ac:dyDescent="0.25">
      <c r="A2153">
        <v>20131003</v>
      </c>
      <c r="B2153" t="str">
        <f t="shared" si="165"/>
        <v>111922</v>
      </c>
      <c r="C2153" t="str">
        <f t="shared" si="166"/>
        <v>62900</v>
      </c>
      <c r="D2153" t="s">
        <v>1293</v>
      </c>
      <c r="E2153">
        <v>112.61</v>
      </c>
      <c r="F2153">
        <v>20131001</v>
      </c>
      <c r="G2153" t="s">
        <v>583</v>
      </c>
      <c r="H2153" t="s">
        <v>1294</v>
      </c>
      <c r="I2153" t="s">
        <v>21</v>
      </c>
    </row>
    <row r="2154" spans="1:9" x14ac:dyDescent="0.25">
      <c r="A2154">
        <v>20131003</v>
      </c>
      <c r="B2154" t="str">
        <f t="shared" si="165"/>
        <v>111922</v>
      </c>
      <c r="C2154" t="str">
        <f t="shared" si="166"/>
        <v>62900</v>
      </c>
      <c r="D2154" t="s">
        <v>1293</v>
      </c>
      <c r="E2154">
        <v>115.56</v>
      </c>
      <c r="F2154">
        <v>20131001</v>
      </c>
      <c r="G2154" t="s">
        <v>830</v>
      </c>
      <c r="H2154" t="s">
        <v>1294</v>
      </c>
      <c r="I2154" t="s">
        <v>21</v>
      </c>
    </row>
    <row r="2155" spans="1:9" x14ac:dyDescent="0.25">
      <c r="A2155">
        <v>20131003</v>
      </c>
      <c r="B2155" t="str">
        <f t="shared" si="165"/>
        <v>111922</v>
      </c>
      <c r="C2155" t="str">
        <f t="shared" si="166"/>
        <v>62900</v>
      </c>
      <c r="D2155" t="s">
        <v>1293</v>
      </c>
      <c r="E2155">
        <v>198.94</v>
      </c>
      <c r="F2155">
        <v>20131001</v>
      </c>
      <c r="G2155" t="s">
        <v>831</v>
      </c>
      <c r="H2155" t="s">
        <v>1294</v>
      </c>
      <c r="I2155" t="s">
        <v>21</v>
      </c>
    </row>
    <row r="2156" spans="1:9" x14ac:dyDescent="0.25">
      <c r="A2156">
        <v>20131003</v>
      </c>
      <c r="B2156" t="str">
        <f t="shared" si="165"/>
        <v>111922</v>
      </c>
      <c r="C2156" t="str">
        <f t="shared" si="166"/>
        <v>62900</v>
      </c>
      <c r="D2156" t="s">
        <v>1293</v>
      </c>
      <c r="E2156">
        <v>64.64</v>
      </c>
      <c r="F2156">
        <v>20131001</v>
      </c>
      <c r="G2156" t="s">
        <v>1296</v>
      </c>
      <c r="H2156" t="s">
        <v>1294</v>
      </c>
      <c r="I2156" t="s">
        <v>21</v>
      </c>
    </row>
    <row r="2157" spans="1:9" x14ac:dyDescent="0.25">
      <c r="A2157">
        <v>20131003</v>
      </c>
      <c r="B2157" t="str">
        <f t="shared" si="165"/>
        <v>111922</v>
      </c>
      <c r="C2157" t="str">
        <f t="shared" si="166"/>
        <v>62900</v>
      </c>
      <c r="D2157" t="s">
        <v>1293</v>
      </c>
      <c r="E2157">
        <v>13.27</v>
      </c>
      <c r="F2157">
        <v>20131001</v>
      </c>
      <c r="G2157" t="s">
        <v>834</v>
      </c>
      <c r="H2157" t="s">
        <v>1294</v>
      </c>
      <c r="I2157" t="s">
        <v>21</v>
      </c>
    </row>
    <row r="2158" spans="1:9" x14ac:dyDescent="0.25">
      <c r="A2158">
        <v>20131003</v>
      </c>
      <c r="B2158" t="str">
        <f t="shared" si="165"/>
        <v>111922</v>
      </c>
      <c r="C2158" t="str">
        <f t="shared" si="166"/>
        <v>62900</v>
      </c>
      <c r="D2158" t="s">
        <v>1293</v>
      </c>
      <c r="E2158">
        <v>21.8</v>
      </c>
      <c r="F2158">
        <v>20131001</v>
      </c>
      <c r="G2158" t="s">
        <v>584</v>
      </c>
      <c r="H2158" t="s">
        <v>1294</v>
      </c>
      <c r="I2158" t="s">
        <v>21</v>
      </c>
    </row>
    <row r="2159" spans="1:9" x14ac:dyDescent="0.25">
      <c r="A2159">
        <v>20131003</v>
      </c>
      <c r="B2159" t="str">
        <f t="shared" si="165"/>
        <v>111922</v>
      </c>
      <c r="C2159" t="str">
        <f t="shared" si="166"/>
        <v>62900</v>
      </c>
      <c r="D2159" t="s">
        <v>1293</v>
      </c>
      <c r="E2159">
        <v>5.53</v>
      </c>
      <c r="F2159">
        <v>20131001</v>
      </c>
      <c r="G2159" t="s">
        <v>557</v>
      </c>
      <c r="H2159" t="s">
        <v>1294</v>
      </c>
      <c r="I2159" t="s">
        <v>21</v>
      </c>
    </row>
    <row r="2160" spans="1:9" x14ac:dyDescent="0.25">
      <c r="A2160">
        <v>20131003</v>
      </c>
      <c r="B2160" t="str">
        <f t="shared" si="165"/>
        <v>111922</v>
      </c>
      <c r="C2160" t="str">
        <f t="shared" si="166"/>
        <v>62900</v>
      </c>
      <c r="D2160" t="s">
        <v>1293</v>
      </c>
      <c r="E2160">
        <v>74.08</v>
      </c>
      <c r="F2160">
        <v>20131001</v>
      </c>
      <c r="G2160" t="s">
        <v>585</v>
      </c>
      <c r="H2160" t="s">
        <v>1294</v>
      </c>
      <c r="I2160" t="s">
        <v>21</v>
      </c>
    </row>
    <row r="2161" spans="1:9" x14ac:dyDescent="0.25">
      <c r="A2161">
        <v>20131003</v>
      </c>
      <c r="B2161" t="str">
        <f t="shared" si="165"/>
        <v>111922</v>
      </c>
      <c r="C2161" t="str">
        <f t="shared" si="166"/>
        <v>62900</v>
      </c>
      <c r="D2161" t="s">
        <v>1293</v>
      </c>
      <c r="E2161">
        <v>2.52</v>
      </c>
      <c r="F2161">
        <v>20131001</v>
      </c>
      <c r="G2161" t="s">
        <v>137</v>
      </c>
      <c r="H2161" t="s">
        <v>1294</v>
      </c>
      <c r="I2161" t="s">
        <v>21</v>
      </c>
    </row>
    <row r="2162" spans="1:9" x14ac:dyDescent="0.25">
      <c r="A2162">
        <v>20131003</v>
      </c>
      <c r="B2162" t="str">
        <f t="shared" si="165"/>
        <v>111922</v>
      </c>
      <c r="C2162" t="str">
        <f t="shared" si="166"/>
        <v>62900</v>
      </c>
      <c r="D2162" t="s">
        <v>1293</v>
      </c>
      <c r="E2162">
        <v>7.16</v>
      </c>
      <c r="F2162">
        <v>20131001</v>
      </c>
      <c r="G2162" t="s">
        <v>840</v>
      </c>
      <c r="H2162" t="s">
        <v>1294</v>
      </c>
      <c r="I2162" t="s">
        <v>21</v>
      </c>
    </row>
    <row r="2163" spans="1:9" x14ac:dyDescent="0.25">
      <c r="A2163">
        <v>20131003</v>
      </c>
      <c r="B2163" t="str">
        <f t="shared" si="165"/>
        <v>111922</v>
      </c>
      <c r="C2163" t="str">
        <f t="shared" si="166"/>
        <v>62900</v>
      </c>
      <c r="D2163" t="s">
        <v>1293</v>
      </c>
      <c r="E2163">
        <v>57.22</v>
      </c>
      <c r="F2163">
        <v>20131001</v>
      </c>
      <c r="G2163" t="s">
        <v>331</v>
      </c>
      <c r="H2163" t="s">
        <v>1294</v>
      </c>
      <c r="I2163" t="s">
        <v>12</v>
      </c>
    </row>
    <row r="2164" spans="1:9" x14ac:dyDescent="0.25">
      <c r="A2164">
        <v>20131003</v>
      </c>
      <c r="B2164" t="str">
        <f t="shared" si="165"/>
        <v>111922</v>
      </c>
      <c r="C2164" t="str">
        <f t="shared" si="166"/>
        <v>62900</v>
      </c>
      <c r="D2164" t="s">
        <v>1293</v>
      </c>
      <c r="E2164">
        <v>48.16</v>
      </c>
      <c r="F2164">
        <v>20131001</v>
      </c>
      <c r="G2164" t="s">
        <v>847</v>
      </c>
      <c r="H2164" t="s">
        <v>1294</v>
      </c>
      <c r="I2164" t="s">
        <v>79</v>
      </c>
    </row>
    <row r="2165" spans="1:9" x14ac:dyDescent="0.25">
      <c r="A2165">
        <v>20131003</v>
      </c>
      <c r="B2165" t="str">
        <f>"111923"</f>
        <v>111923</v>
      </c>
      <c r="C2165" t="str">
        <f>"87320"</f>
        <v>87320</v>
      </c>
      <c r="D2165" t="s">
        <v>946</v>
      </c>
      <c r="E2165" s="1">
        <v>4484.7</v>
      </c>
      <c r="F2165">
        <v>20131001</v>
      </c>
      <c r="G2165" t="s">
        <v>378</v>
      </c>
      <c r="H2165" t="s">
        <v>1297</v>
      </c>
      <c r="I2165" t="s">
        <v>21</v>
      </c>
    </row>
    <row r="2166" spans="1:9" x14ac:dyDescent="0.25">
      <c r="A2166">
        <v>20131003</v>
      </c>
      <c r="B2166" t="str">
        <f>"111924"</f>
        <v>111924</v>
      </c>
      <c r="C2166" t="str">
        <f>"84165"</f>
        <v>84165</v>
      </c>
      <c r="D2166" t="s">
        <v>1298</v>
      </c>
      <c r="E2166">
        <v>112.5</v>
      </c>
      <c r="F2166">
        <v>20131002</v>
      </c>
      <c r="G2166" t="s">
        <v>808</v>
      </c>
      <c r="H2166" t="s">
        <v>365</v>
      </c>
      <c r="I2166" t="s">
        <v>21</v>
      </c>
    </row>
    <row r="2167" spans="1:9" x14ac:dyDescent="0.25">
      <c r="A2167">
        <v>20131003</v>
      </c>
      <c r="B2167" t="str">
        <f>"111924"</f>
        <v>111924</v>
      </c>
      <c r="C2167" t="str">
        <f>"84165"</f>
        <v>84165</v>
      </c>
      <c r="D2167" t="s">
        <v>1298</v>
      </c>
      <c r="E2167">
        <v>11.73</v>
      </c>
      <c r="F2167">
        <v>20131001</v>
      </c>
      <c r="G2167" t="s">
        <v>1299</v>
      </c>
      <c r="H2167" t="s">
        <v>354</v>
      </c>
      <c r="I2167" t="s">
        <v>21</v>
      </c>
    </row>
    <row r="2168" spans="1:9" x14ac:dyDescent="0.25">
      <c r="A2168">
        <v>20131003</v>
      </c>
      <c r="B2168" t="str">
        <f>"111924"</f>
        <v>111924</v>
      </c>
      <c r="C2168" t="str">
        <f>"84165"</f>
        <v>84165</v>
      </c>
      <c r="D2168" t="s">
        <v>1298</v>
      </c>
      <c r="E2168">
        <v>136.80000000000001</v>
      </c>
      <c r="F2168">
        <v>20131001</v>
      </c>
      <c r="G2168" t="s">
        <v>810</v>
      </c>
      <c r="H2168" t="s">
        <v>365</v>
      </c>
      <c r="I2168" t="s">
        <v>66</v>
      </c>
    </row>
    <row r="2169" spans="1:9" x14ac:dyDescent="0.25">
      <c r="A2169">
        <v>20131003</v>
      </c>
      <c r="B2169" t="str">
        <f>"111924"</f>
        <v>111924</v>
      </c>
      <c r="C2169" t="str">
        <f>"84165"</f>
        <v>84165</v>
      </c>
      <c r="D2169" t="s">
        <v>1298</v>
      </c>
      <c r="E2169">
        <v>55.44</v>
      </c>
      <c r="F2169">
        <v>20131002</v>
      </c>
      <c r="G2169" t="s">
        <v>1300</v>
      </c>
      <c r="H2169" t="s">
        <v>365</v>
      </c>
      <c r="I2169" t="s">
        <v>66</v>
      </c>
    </row>
    <row r="2170" spans="1:9" x14ac:dyDescent="0.25">
      <c r="A2170">
        <v>20131003</v>
      </c>
      <c r="B2170" t="str">
        <f>"111925"</f>
        <v>111925</v>
      </c>
      <c r="C2170" t="str">
        <f>"00754"</f>
        <v>00754</v>
      </c>
      <c r="D2170" t="s">
        <v>1301</v>
      </c>
      <c r="E2170">
        <v>311.25</v>
      </c>
      <c r="F2170">
        <v>20131001</v>
      </c>
      <c r="G2170" t="s">
        <v>154</v>
      </c>
      <c r="H2170" t="s">
        <v>1207</v>
      </c>
      <c r="I2170" t="s">
        <v>25</v>
      </c>
    </row>
    <row r="2171" spans="1:9" x14ac:dyDescent="0.25">
      <c r="A2171">
        <v>20131003</v>
      </c>
      <c r="B2171" t="str">
        <f>"111925"</f>
        <v>111925</v>
      </c>
      <c r="C2171" t="str">
        <f>"00754"</f>
        <v>00754</v>
      </c>
      <c r="D2171" t="s">
        <v>1301</v>
      </c>
      <c r="E2171">
        <v>311.25</v>
      </c>
      <c r="F2171">
        <v>20131001</v>
      </c>
      <c r="G2171" t="s">
        <v>156</v>
      </c>
      <c r="H2171" t="s">
        <v>1207</v>
      </c>
      <c r="I2171" t="s">
        <v>25</v>
      </c>
    </row>
    <row r="2172" spans="1:9" x14ac:dyDescent="0.25">
      <c r="A2172">
        <v>20131003</v>
      </c>
      <c r="B2172" t="str">
        <f>"111926"</f>
        <v>111926</v>
      </c>
      <c r="C2172" t="str">
        <f>"87530"</f>
        <v>87530</v>
      </c>
      <c r="D2172" t="s">
        <v>1302</v>
      </c>
      <c r="E2172">
        <v>98.22</v>
      </c>
      <c r="F2172">
        <v>20131001</v>
      </c>
      <c r="G2172" t="s">
        <v>774</v>
      </c>
      <c r="H2172" t="s">
        <v>765</v>
      </c>
      <c r="I2172" t="s">
        <v>61</v>
      </c>
    </row>
    <row r="2173" spans="1:9" x14ac:dyDescent="0.25">
      <c r="A2173">
        <v>20131003</v>
      </c>
      <c r="B2173" t="str">
        <f>"111927"</f>
        <v>111927</v>
      </c>
      <c r="C2173" t="str">
        <f>"85847"</f>
        <v>85847</v>
      </c>
      <c r="D2173" t="s">
        <v>1303</v>
      </c>
      <c r="E2173">
        <v>199</v>
      </c>
      <c r="F2173">
        <v>20131001</v>
      </c>
      <c r="G2173" t="s">
        <v>1304</v>
      </c>
      <c r="H2173" t="s">
        <v>1305</v>
      </c>
      <c r="I2173" t="s">
        <v>21</v>
      </c>
    </row>
    <row r="2174" spans="1:9" x14ac:dyDescent="0.25">
      <c r="A2174">
        <v>20131003</v>
      </c>
      <c r="B2174" t="str">
        <f t="shared" ref="B2174:B2191" si="167">"111928"</f>
        <v>111928</v>
      </c>
      <c r="C2174" t="str">
        <f t="shared" ref="C2174:C2191" si="168">"67560"</f>
        <v>67560</v>
      </c>
      <c r="D2174" t="s">
        <v>1306</v>
      </c>
      <c r="E2174">
        <v>6.1</v>
      </c>
      <c r="F2174">
        <v>20131001</v>
      </c>
      <c r="G2174" t="s">
        <v>186</v>
      </c>
      <c r="H2174" t="s">
        <v>1307</v>
      </c>
      <c r="I2174" t="s">
        <v>61</v>
      </c>
    </row>
    <row r="2175" spans="1:9" x14ac:dyDescent="0.25">
      <c r="A2175">
        <v>20131003</v>
      </c>
      <c r="B2175" t="str">
        <f t="shared" si="167"/>
        <v>111928</v>
      </c>
      <c r="C2175" t="str">
        <f t="shared" si="168"/>
        <v>67560</v>
      </c>
      <c r="D2175" t="s">
        <v>1306</v>
      </c>
      <c r="E2175">
        <v>807.82</v>
      </c>
      <c r="F2175">
        <v>20131001</v>
      </c>
      <c r="G2175" t="s">
        <v>577</v>
      </c>
      <c r="H2175" t="s">
        <v>1307</v>
      </c>
      <c r="I2175" t="s">
        <v>21</v>
      </c>
    </row>
    <row r="2176" spans="1:9" x14ac:dyDescent="0.25">
      <c r="A2176">
        <v>20131003</v>
      </c>
      <c r="B2176" t="str">
        <f t="shared" si="167"/>
        <v>111928</v>
      </c>
      <c r="C2176" t="str">
        <f t="shared" si="168"/>
        <v>67560</v>
      </c>
      <c r="D2176" t="s">
        <v>1306</v>
      </c>
      <c r="E2176">
        <v>798.88</v>
      </c>
      <c r="F2176">
        <v>20131001</v>
      </c>
      <c r="G2176" t="s">
        <v>579</v>
      </c>
      <c r="H2176" t="s">
        <v>1307</v>
      </c>
      <c r="I2176" t="s">
        <v>21</v>
      </c>
    </row>
    <row r="2177" spans="1:9" x14ac:dyDescent="0.25">
      <c r="A2177">
        <v>20131003</v>
      </c>
      <c r="B2177" t="str">
        <f t="shared" si="167"/>
        <v>111928</v>
      </c>
      <c r="C2177" t="str">
        <f t="shared" si="168"/>
        <v>67560</v>
      </c>
      <c r="D2177" t="s">
        <v>1306</v>
      </c>
      <c r="E2177">
        <v>428.65</v>
      </c>
      <c r="F2177">
        <v>20131001</v>
      </c>
      <c r="G2177" t="s">
        <v>580</v>
      </c>
      <c r="H2177" t="s">
        <v>1307</v>
      </c>
      <c r="I2177" t="s">
        <v>21</v>
      </c>
    </row>
    <row r="2178" spans="1:9" x14ac:dyDescent="0.25">
      <c r="A2178">
        <v>20131003</v>
      </c>
      <c r="B2178" t="str">
        <f t="shared" si="167"/>
        <v>111928</v>
      </c>
      <c r="C2178" t="str">
        <f t="shared" si="168"/>
        <v>67560</v>
      </c>
      <c r="D2178" t="s">
        <v>1306</v>
      </c>
      <c r="E2178">
        <v>911.59</v>
      </c>
      <c r="F2178">
        <v>20131001</v>
      </c>
      <c r="G2178" t="s">
        <v>581</v>
      </c>
      <c r="H2178" t="s">
        <v>1307</v>
      </c>
      <c r="I2178" t="s">
        <v>21</v>
      </c>
    </row>
    <row r="2179" spans="1:9" x14ac:dyDescent="0.25">
      <c r="A2179">
        <v>20131003</v>
      </c>
      <c r="B2179" t="str">
        <f t="shared" si="167"/>
        <v>111928</v>
      </c>
      <c r="C2179" t="str">
        <f t="shared" si="168"/>
        <v>67560</v>
      </c>
      <c r="D2179" t="s">
        <v>1306</v>
      </c>
      <c r="E2179">
        <v>53.93</v>
      </c>
      <c r="F2179">
        <v>20131001</v>
      </c>
      <c r="G2179" t="s">
        <v>828</v>
      </c>
      <c r="H2179" t="s">
        <v>1307</v>
      </c>
      <c r="I2179" t="s">
        <v>21</v>
      </c>
    </row>
    <row r="2180" spans="1:9" x14ac:dyDescent="0.25">
      <c r="A2180">
        <v>20131003</v>
      </c>
      <c r="B2180" t="str">
        <f t="shared" si="167"/>
        <v>111928</v>
      </c>
      <c r="C2180" t="str">
        <f t="shared" si="168"/>
        <v>67560</v>
      </c>
      <c r="D2180" t="s">
        <v>1306</v>
      </c>
      <c r="E2180">
        <v>319.52</v>
      </c>
      <c r="F2180">
        <v>20131001</v>
      </c>
      <c r="G2180" t="s">
        <v>582</v>
      </c>
      <c r="H2180" t="s">
        <v>1307</v>
      </c>
      <c r="I2180" t="s">
        <v>21</v>
      </c>
    </row>
    <row r="2181" spans="1:9" x14ac:dyDescent="0.25">
      <c r="A2181">
        <v>20131003</v>
      </c>
      <c r="B2181" t="str">
        <f t="shared" si="167"/>
        <v>111928</v>
      </c>
      <c r="C2181" t="str">
        <f t="shared" si="168"/>
        <v>67560</v>
      </c>
      <c r="D2181" t="s">
        <v>1306</v>
      </c>
      <c r="E2181">
        <v>387.08</v>
      </c>
      <c r="F2181">
        <v>20131001</v>
      </c>
      <c r="G2181" t="s">
        <v>583</v>
      </c>
      <c r="H2181" t="s">
        <v>1307</v>
      </c>
      <c r="I2181" t="s">
        <v>21</v>
      </c>
    </row>
    <row r="2182" spans="1:9" x14ac:dyDescent="0.25">
      <c r="A2182">
        <v>20131003</v>
      </c>
      <c r="B2182" t="str">
        <f t="shared" si="167"/>
        <v>111928</v>
      </c>
      <c r="C2182" t="str">
        <f t="shared" si="168"/>
        <v>67560</v>
      </c>
      <c r="D2182" t="s">
        <v>1306</v>
      </c>
      <c r="E2182">
        <v>127.23</v>
      </c>
      <c r="F2182">
        <v>20131001</v>
      </c>
      <c r="G2182" t="s">
        <v>830</v>
      </c>
      <c r="H2182" t="s">
        <v>1307</v>
      </c>
      <c r="I2182" t="s">
        <v>21</v>
      </c>
    </row>
    <row r="2183" spans="1:9" x14ac:dyDescent="0.25">
      <c r="A2183">
        <v>20131003</v>
      </c>
      <c r="B2183" t="str">
        <f t="shared" si="167"/>
        <v>111928</v>
      </c>
      <c r="C2183" t="str">
        <f t="shared" si="168"/>
        <v>67560</v>
      </c>
      <c r="D2183" t="s">
        <v>1306</v>
      </c>
      <c r="E2183">
        <v>9.31</v>
      </c>
      <c r="F2183">
        <v>20131001</v>
      </c>
      <c r="G2183" t="s">
        <v>1296</v>
      </c>
      <c r="H2183" t="s">
        <v>1307</v>
      </c>
      <c r="I2183" t="s">
        <v>21</v>
      </c>
    </row>
    <row r="2184" spans="1:9" x14ac:dyDescent="0.25">
      <c r="A2184">
        <v>20131003</v>
      </c>
      <c r="B2184" t="str">
        <f t="shared" si="167"/>
        <v>111928</v>
      </c>
      <c r="C2184" t="str">
        <f t="shared" si="168"/>
        <v>67560</v>
      </c>
      <c r="D2184" t="s">
        <v>1306</v>
      </c>
      <c r="E2184">
        <v>122.46</v>
      </c>
      <c r="F2184">
        <v>20131001</v>
      </c>
      <c r="G2184" t="s">
        <v>1308</v>
      </c>
      <c r="H2184" t="s">
        <v>1307</v>
      </c>
      <c r="I2184" t="s">
        <v>21</v>
      </c>
    </row>
    <row r="2185" spans="1:9" x14ac:dyDescent="0.25">
      <c r="A2185">
        <v>20131003</v>
      </c>
      <c r="B2185" t="str">
        <f t="shared" si="167"/>
        <v>111928</v>
      </c>
      <c r="C2185" t="str">
        <f t="shared" si="168"/>
        <v>67560</v>
      </c>
      <c r="D2185" t="s">
        <v>1306</v>
      </c>
      <c r="E2185">
        <v>65.88</v>
      </c>
      <c r="F2185">
        <v>20131001</v>
      </c>
      <c r="G2185" t="s">
        <v>834</v>
      </c>
      <c r="H2185" t="s">
        <v>1307</v>
      </c>
      <c r="I2185" t="s">
        <v>21</v>
      </c>
    </row>
    <row r="2186" spans="1:9" x14ac:dyDescent="0.25">
      <c r="A2186">
        <v>20131003</v>
      </c>
      <c r="B2186" t="str">
        <f t="shared" si="167"/>
        <v>111928</v>
      </c>
      <c r="C2186" t="str">
        <f t="shared" si="168"/>
        <v>67560</v>
      </c>
      <c r="D2186" t="s">
        <v>1306</v>
      </c>
      <c r="E2186">
        <v>190.29</v>
      </c>
      <c r="F2186">
        <v>20131001</v>
      </c>
      <c r="G2186" t="s">
        <v>584</v>
      </c>
      <c r="H2186" t="s">
        <v>1307</v>
      </c>
      <c r="I2186" t="s">
        <v>21</v>
      </c>
    </row>
    <row r="2187" spans="1:9" x14ac:dyDescent="0.25">
      <c r="A2187">
        <v>20131003</v>
      </c>
      <c r="B2187" t="str">
        <f t="shared" si="167"/>
        <v>111928</v>
      </c>
      <c r="C2187" t="str">
        <f t="shared" si="168"/>
        <v>67560</v>
      </c>
      <c r="D2187" t="s">
        <v>1306</v>
      </c>
      <c r="E2187">
        <v>15.72</v>
      </c>
      <c r="F2187">
        <v>20131001</v>
      </c>
      <c r="G2187" t="s">
        <v>557</v>
      </c>
      <c r="H2187" t="s">
        <v>1307</v>
      </c>
      <c r="I2187" t="s">
        <v>21</v>
      </c>
    </row>
    <row r="2188" spans="1:9" x14ac:dyDescent="0.25">
      <c r="A2188">
        <v>20131003</v>
      </c>
      <c r="B2188" t="str">
        <f t="shared" si="167"/>
        <v>111928</v>
      </c>
      <c r="C2188" t="str">
        <f t="shared" si="168"/>
        <v>67560</v>
      </c>
      <c r="D2188" t="s">
        <v>1306</v>
      </c>
      <c r="E2188">
        <v>103.9</v>
      </c>
      <c r="F2188">
        <v>20131001</v>
      </c>
      <c r="G2188" t="s">
        <v>585</v>
      </c>
      <c r="H2188" t="s">
        <v>1307</v>
      </c>
      <c r="I2188" t="s">
        <v>21</v>
      </c>
    </row>
    <row r="2189" spans="1:9" x14ac:dyDescent="0.25">
      <c r="A2189">
        <v>20131003</v>
      </c>
      <c r="B2189" t="str">
        <f t="shared" si="167"/>
        <v>111928</v>
      </c>
      <c r="C2189" t="str">
        <f t="shared" si="168"/>
        <v>67560</v>
      </c>
      <c r="D2189" t="s">
        <v>1306</v>
      </c>
      <c r="E2189">
        <v>110.99</v>
      </c>
      <c r="F2189">
        <v>20131001</v>
      </c>
      <c r="G2189" t="s">
        <v>840</v>
      </c>
      <c r="H2189" t="s">
        <v>1307</v>
      </c>
      <c r="I2189" t="s">
        <v>21</v>
      </c>
    </row>
    <row r="2190" spans="1:9" x14ac:dyDescent="0.25">
      <c r="A2190">
        <v>20131003</v>
      </c>
      <c r="B2190" t="str">
        <f t="shared" si="167"/>
        <v>111928</v>
      </c>
      <c r="C2190" t="str">
        <f t="shared" si="168"/>
        <v>67560</v>
      </c>
      <c r="D2190" t="s">
        <v>1306</v>
      </c>
      <c r="E2190">
        <v>308.95</v>
      </c>
      <c r="F2190">
        <v>20131001</v>
      </c>
      <c r="G2190" t="s">
        <v>331</v>
      </c>
      <c r="H2190" t="s">
        <v>1307</v>
      </c>
      <c r="I2190" t="s">
        <v>12</v>
      </c>
    </row>
    <row r="2191" spans="1:9" x14ac:dyDescent="0.25">
      <c r="A2191">
        <v>20131003</v>
      </c>
      <c r="B2191" t="str">
        <f t="shared" si="167"/>
        <v>111928</v>
      </c>
      <c r="C2191" t="str">
        <f t="shared" si="168"/>
        <v>67560</v>
      </c>
      <c r="D2191" t="s">
        <v>1306</v>
      </c>
      <c r="E2191">
        <v>271.47000000000003</v>
      </c>
      <c r="F2191">
        <v>20131001</v>
      </c>
      <c r="G2191" t="s">
        <v>847</v>
      </c>
      <c r="H2191" t="s">
        <v>1307</v>
      </c>
      <c r="I2191" t="s">
        <v>79</v>
      </c>
    </row>
    <row r="2192" spans="1:9" x14ac:dyDescent="0.25">
      <c r="A2192">
        <v>20131003</v>
      </c>
      <c r="B2192" t="str">
        <f>"111929"</f>
        <v>111929</v>
      </c>
      <c r="C2192" t="str">
        <f>"82845"</f>
        <v>82845</v>
      </c>
      <c r="D2192" t="s">
        <v>1146</v>
      </c>
      <c r="E2192">
        <v>490</v>
      </c>
      <c r="F2192">
        <v>20131001</v>
      </c>
      <c r="G2192" t="s">
        <v>1147</v>
      </c>
      <c r="H2192" t="s">
        <v>1309</v>
      </c>
      <c r="I2192" t="s">
        <v>21</v>
      </c>
    </row>
    <row r="2193" spans="1:9" x14ac:dyDescent="0.25">
      <c r="A2193">
        <v>20131003</v>
      </c>
      <c r="B2193" t="str">
        <f>"111930"</f>
        <v>111930</v>
      </c>
      <c r="C2193" t="str">
        <f>"68960"</f>
        <v>68960</v>
      </c>
      <c r="D2193" t="s">
        <v>689</v>
      </c>
      <c r="E2193">
        <v>182</v>
      </c>
      <c r="F2193">
        <v>20131002</v>
      </c>
      <c r="G2193" t="s">
        <v>1019</v>
      </c>
      <c r="H2193" t="s">
        <v>357</v>
      </c>
      <c r="I2193" t="s">
        <v>131</v>
      </c>
    </row>
    <row r="2194" spans="1:9" x14ac:dyDescent="0.25">
      <c r="A2194">
        <v>20131003</v>
      </c>
      <c r="B2194" t="str">
        <f>"111931"</f>
        <v>111931</v>
      </c>
      <c r="C2194" t="str">
        <f>"85070"</f>
        <v>85070</v>
      </c>
      <c r="D2194" t="s">
        <v>1310</v>
      </c>
      <c r="E2194">
        <v>285</v>
      </c>
      <c r="F2194">
        <v>20131001</v>
      </c>
      <c r="G2194" t="s">
        <v>892</v>
      </c>
      <c r="H2194" t="s">
        <v>1054</v>
      </c>
      <c r="I2194" t="s">
        <v>79</v>
      </c>
    </row>
    <row r="2195" spans="1:9" x14ac:dyDescent="0.25">
      <c r="A2195">
        <v>20131003</v>
      </c>
      <c r="B2195" t="str">
        <f>"111932"</f>
        <v>111932</v>
      </c>
      <c r="C2195" t="str">
        <f>"83139"</f>
        <v>83139</v>
      </c>
      <c r="D2195" t="s">
        <v>1311</v>
      </c>
      <c r="E2195">
        <v>131.97999999999999</v>
      </c>
      <c r="F2195">
        <v>20131001</v>
      </c>
      <c r="G2195" t="s">
        <v>935</v>
      </c>
      <c r="H2195" t="s">
        <v>1312</v>
      </c>
      <c r="I2195" t="s">
        <v>21</v>
      </c>
    </row>
    <row r="2196" spans="1:9" x14ac:dyDescent="0.25">
      <c r="A2196">
        <v>20131003</v>
      </c>
      <c r="B2196" t="str">
        <f>"111933"</f>
        <v>111933</v>
      </c>
      <c r="C2196" t="str">
        <f>"70665"</f>
        <v>70665</v>
      </c>
      <c r="D2196" t="s">
        <v>693</v>
      </c>
      <c r="E2196">
        <v>200</v>
      </c>
      <c r="F2196">
        <v>20131001</v>
      </c>
      <c r="G2196" t="s">
        <v>364</v>
      </c>
      <c r="H2196" t="s">
        <v>1313</v>
      </c>
      <c r="I2196" t="s">
        <v>21</v>
      </c>
    </row>
    <row r="2197" spans="1:9" x14ac:dyDescent="0.25">
      <c r="A2197">
        <v>20131003</v>
      </c>
      <c r="B2197" t="str">
        <f>"111934"</f>
        <v>111934</v>
      </c>
      <c r="C2197" t="str">
        <f>"70680"</f>
        <v>70680</v>
      </c>
      <c r="D2197" t="s">
        <v>1314</v>
      </c>
      <c r="E2197">
        <v>80</v>
      </c>
      <c r="F2197">
        <v>20131001</v>
      </c>
      <c r="G2197" t="s">
        <v>156</v>
      </c>
      <c r="H2197" t="s">
        <v>960</v>
      </c>
      <c r="I2197" t="s">
        <v>25</v>
      </c>
    </row>
    <row r="2198" spans="1:9" x14ac:dyDescent="0.25">
      <c r="A2198">
        <v>20131003</v>
      </c>
      <c r="B2198" t="str">
        <f>"111935"</f>
        <v>111935</v>
      </c>
      <c r="C2198" t="str">
        <f>"87277"</f>
        <v>87277</v>
      </c>
      <c r="D2198" t="s">
        <v>1315</v>
      </c>
      <c r="E2198">
        <v>180</v>
      </c>
      <c r="F2198">
        <v>20131001</v>
      </c>
      <c r="G2198" t="s">
        <v>1214</v>
      </c>
      <c r="H2198" t="s">
        <v>1316</v>
      </c>
      <c r="I2198" t="s">
        <v>79</v>
      </c>
    </row>
    <row r="2199" spans="1:9" x14ac:dyDescent="0.25">
      <c r="A2199">
        <v>20131003</v>
      </c>
      <c r="B2199" t="str">
        <f>"111936"</f>
        <v>111936</v>
      </c>
      <c r="C2199" t="str">
        <f>"86613"</f>
        <v>86613</v>
      </c>
      <c r="D2199" t="s">
        <v>1317</v>
      </c>
      <c r="E2199">
        <v>32.46</v>
      </c>
      <c r="F2199">
        <v>20131001</v>
      </c>
      <c r="G2199" t="s">
        <v>1188</v>
      </c>
      <c r="H2199" t="s">
        <v>354</v>
      </c>
      <c r="I2199" t="s">
        <v>21</v>
      </c>
    </row>
    <row r="2200" spans="1:9" x14ac:dyDescent="0.25">
      <c r="A2200">
        <v>20131003</v>
      </c>
      <c r="B2200" t="str">
        <f>"111937"</f>
        <v>111937</v>
      </c>
      <c r="C2200" t="str">
        <f>"75500"</f>
        <v>75500</v>
      </c>
      <c r="D2200" t="s">
        <v>711</v>
      </c>
      <c r="E2200">
        <v>48</v>
      </c>
      <c r="F2200">
        <v>20131001</v>
      </c>
      <c r="G2200" t="s">
        <v>1071</v>
      </c>
      <c r="H2200" t="s">
        <v>1318</v>
      </c>
      <c r="I2200" t="s">
        <v>21</v>
      </c>
    </row>
    <row r="2201" spans="1:9" x14ac:dyDescent="0.25">
      <c r="A2201">
        <v>20131003</v>
      </c>
      <c r="B2201" t="str">
        <f>"111938"</f>
        <v>111938</v>
      </c>
      <c r="C2201" t="str">
        <f>"69310"</f>
        <v>69310</v>
      </c>
      <c r="D2201" t="s">
        <v>716</v>
      </c>
      <c r="E2201">
        <v>300.60000000000002</v>
      </c>
      <c r="F2201">
        <v>20131001</v>
      </c>
      <c r="G2201" t="s">
        <v>720</v>
      </c>
      <c r="H2201" t="s">
        <v>488</v>
      </c>
      <c r="I2201" t="s">
        <v>21</v>
      </c>
    </row>
    <row r="2202" spans="1:9" x14ac:dyDescent="0.25">
      <c r="A2202">
        <v>20131003</v>
      </c>
      <c r="B2202" t="str">
        <f>"111939"</f>
        <v>111939</v>
      </c>
      <c r="C2202" t="str">
        <f>"76301"</f>
        <v>76301</v>
      </c>
      <c r="D2202" t="s">
        <v>1319</v>
      </c>
      <c r="E2202">
        <v>138</v>
      </c>
      <c r="F2202">
        <v>20131002</v>
      </c>
      <c r="G2202" t="s">
        <v>1079</v>
      </c>
      <c r="H2202" t="s">
        <v>1320</v>
      </c>
      <c r="I2202" t="s">
        <v>21</v>
      </c>
    </row>
    <row r="2203" spans="1:9" x14ac:dyDescent="0.25">
      <c r="A2203">
        <v>20131003</v>
      </c>
      <c r="B2203" t="str">
        <f>"111940"</f>
        <v>111940</v>
      </c>
      <c r="C2203" t="str">
        <f>"87536"</f>
        <v>87536</v>
      </c>
      <c r="D2203" t="s">
        <v>1321</v>
      </c>
      <c r="E2203">
        <v>66.48</v>
      </c>
      <c r="F2203">
        <v>20131001</v>
      </c>
      <c r="G2203" t="s">
        <v>1064</v>
      </c>
      <c r="H2203" t="s">
        <v>1322</v>
      </c>
      <c r="I2203" t="s">
        <v>21</v>
      </c>
    </row>
    <row r="2204" spans="1:9" x14ac:dyDescent="0.25">
      <c r="A2204">
        <v>20131003</v>
      </c>
      <c r="B2204" t="str">
        <f>"111941"</f>
        <v>111941</v>
      </c>
      <c r="C2204" t="str">
        <f>"76904"</f>
        <v>76904</v>
      </c>
      <c r="D2204" t="s">
        <v>1323</v>
      </c>
      <c r="E2204">
        <v>105</v>
      </c>
      <c r="F2204">
        <v>20131002</v>
      </c>
      <c r="G2204" t="s">
        <v>837</v>
      </c>
      <c r="H2204" t="s">
        <v>783</v>
      </c>
      <c r="I2204" t="s">
        <v>21</v>
      </c>
    </row>
    <row r="2205" spans="1:9" x14ac:dyDescent="0.25">
      <c r="A2205">
        <v>20131003</v>
      </c>
      <c r="B2205" t="str">
        <f>"111942"</f>
        <v>111942</v>
      </c>
      <c r="C2205" t="str">
        <f>"76915"</f>
        <v>76915</v>
      </c>
      <c r="D2205" t="s">
        <v>1324</v>
      </c>
      <c r="E2205" s="1">
        <v>1824.92</v>
      </c>
      <c r="F2205">
        <v>20131002</v>
      </c>
      <c r="G2205" t="s">
        <v>413</v>
      </c>
      <c r="H2205" t="s">
        <v>414</v>
      </c>
      <c r="I2205" t="s">
        <v>21</v>
      </c>
    </row>
    <row r="2206" spans="1:9" x14ac:dyDescent="0.25">
      <c r="A2206">
        <v>20131003</v>
      </c>
      <c r="B2206" t="str">
        <f>"111942"</f>
        <v>111942</v>
      </c>
      <c r="C2206" t="str">
        <f>"76915"</f>
        <v>76915</v>
      </c>
      <c r="D2206" t="s">
        <v>1324</v>
      </c>
      <c r="E2206">
        <v>151.1</v>
      </c>
      <c r="F2206">
        <v>20131002</v>
      </c>
      <c r="G2206" t="s">
        <v>413</v>
      </c>
      <c r="H2206" t="s">
        <v>414</v>
      </c>
      <c r="I2206" t="s">
        <v>21</v>
      </c>
    </row>
    <row r="2207" spans="1:9" x14ac:dyDescent="0.25">
      <c r="A2207">
        <v>20131003</v>
      </c>
      <c r="B2207" t="str">
        <f>"111942"</f>
        <v>111942</v>
      </c>
      <c r="C2207" t="str">
        <f>"76915"</f>
        <v>76915</v>
      </c>
      <c r="D2207" t="s">
        <v>1324</v>
      </c>
      <c r="E2207">
        <v>424.03</v>
      </c>
      <c r="F2207">
        <v>20131002</v>
      </c>
      <c r="G2207" t="s">
        <v>413</v>
      </c>
      <c r="H2207" t="s">
        <v>414</v>
      </c>
      <c r="I2207" t="s">
        <v>21</v>
      </c>
    </row>
    <row r="2208" spans="1:9" x14ac:dyDescent="0.25">
      <c r="A2208">
        <v>20131003</v>
      </c>
      <c r="B2208" t="str">
        <f>"111943"</f>
        <v>111943</v>
      </c>
      <c r="C2208" t="str">
        <f>"86496"</f>
        <v>86496</v>
      </c>
      <c r="D2208" t="s">
        <v>1325</v>
      </c>
      <c r="E2208">
        <v>133</v>
      </c>
      <c r="F2208">
        <v>20131001</v>
      </c>
      <c r="G2208" t="s">
        <v>774</v>
      </c>
      <c r="H2208" t="s">
        <v>765</v>
      </c>
      <c r="I2208" t="s">
        <v>61</v>
      </c>
    </row>
    <row r="2209" spans="1:9" x14ac:dyDescent="0.25">
      <c r="A2209">
        <v>20131003</v>
      </c>
      <c r="B2209" t="str">
        <f>"111944"</f>
        <v>111944</v>
      </c>
      <c r="C2209" t="str">
        <f>"82714"</f>
        <v>82714</v>
      </c>
      <c r="D2209" t="s">
        <v>1174</v>
      </c>
      <c r="E2209">
        <v>80</v>
      </c>
      <c r="F2209">
        <v>20131001</v>
      </c>
      <c r="G2209" t="s">
        <v>1093</v>
      </c>
      <c r="H2209" t="s">
        <v>765</v>
      </c>
      <c r="I2209" t="s">
        <v>61</v>
      </c>
    </row>
    <row r="2210" spans="1:9" x14ac:dyDescent="0.25">
      <c r="A2210">
        <v>20131003</v>
      </c>
      <c r="B2210" t="str">
        <f>"111945"</f>
        <v>111945</v>
      </c>
      <c r="C2210" t="str">
        <f>"87177"</f>
        <v>87177</v>
      </c>
      <c r="D2210" t="s">
        <v>1326</v>
      </c>
      <c r="E2210">
        <v>55.44</v>
      </c>
      <c r="F2210">
        <v>20131002</v>
      </c>
      <c r="G2210" t="s">
        <v>908</v>
      </c>
      <c r="H2210" t="s">
        <v>365</v>
      </c>
      <c r="I2210" t="s">
        <v>66</v>
      </c>
    </row>
    <row r="2211" spans="1:9" x14ac:dyDescent="0.25">
      <c r="A2211">
        <v>20131003</v>
      </c>
      <c r="B2211" t="str">
        <f>"111946"</f>
        <v>111946</v>
      </c>
      <c r="C2211" t="str">
        <f>"00067"</f>
        <v>00067</v>
      </c>
      <c r="D2211" t="s">
        <v>1327</v>
      </c>
      <c r="E2211">
        <v>701.64</v>
      </c>
      <c r="F2211">
        <v>20131001</v>
      </c>
      <c r="G2211" t="s">
        <v>356</v>
      </c>
      <c r="H2211" t="s">
        <v>357</v>
      </c>
      <c r="I2211" t="s">
        <v>61</v>
      </c>
    </row>
    <row r="2212" spans="1:9" x14ac:dyDescent="0.25">
      <c r="A2212">
        <v>20131003</v>
      </c>
      <c r="B2212" t="str">
        <f>"111947"</f>
        <v>111947</v>
      </c>
      <c r="C2212" t="str">
        <f>"00072"</f>
        <v>00072</v>
      </c>
      <c r="D2212" t="s">
        <v>1327</v>
      </c>
      <c r="E2212">
        <v>624.75</v>
      </c>
      <c r="F2212">
        <v>20131001</v>
      </c>
      <c r="G2212" t="s">
        <v>356</v>
      </c>
      <c r="H2212" t="s">
        <v>357</v>
      </c>
      <c r="I2212" t="s">
        <v>61</v>
      </c>
    </row>
    <row r="2213" spans="1:9" x14ac:dyDescent="0.25">
      <c r="A2213">
        <v>20131003</v>
      </c>
      <c r="B2213" t="str">
        <f>"111948"</f>
        <v>111948</v>
      </c>
      <c r="C2213" t="str">
        <f>"79400"</f>
        <v>79400</v>
      </c>
      <c r="D2213" t="s">
        <v>1328</v>
      </c>
      <c r="E2213" s="1">
        <v>29536.09</v>
      </c>
      <c r="F2213">
        <v>20131002</v>
      </c>
      <c r="G2213" t="s">
        <v>1329</v>
      </c>
      <c r="H2213" t="s">
        <v>1330</v>
      </c>
      <c r="I2213" t="s">
        <v>21</v>
      </c>
    </row>
    <row r="2214" spans="1:9" x14ac:dyDescent="0.25">
      <c r="A2214">
        <v>20131003</v>
      </c>
      <c r="B2214" t="str">
        <f>"111949"</f>
        <v>111949</v>
      </c>
      <c r="C2214" t="str">
        <f>"79625"</f>
        <v>79625</v>
      </c>
      <c r="D2214" t="s">
        <v>1331</v>
      </c>
      <c r="E2214">
        <v>41.43</v>
      </c>
      <c r="F2214">
        <v>20131002</v>
      </c>
      <c r="G2214" t="s">
        <v>39</v>
      </c>
      <c r="H2214" t="s">
        <v>354</v>
      </c>
      <c r="I2214" t="s">
        <v>38</v>
      </c>
    </row>
    <row r="2215" spans="1:9" x14ac:dyDescent="0.25">
      <c r="A2215">
        <v>20131003</v>
      </c>
      <c r="B2215" t="str">
        <f>"111950"</f>
        <v>111950</v>
      </c>
      <c r="C2215" t="str">
        <f>"86521"</f>
        <v>86521</v>
      </c>
      <c r="D2215" t="s">
        <v>988</v>
      </c>
      <c r="E2215">
        <v>80</v>
      </c>
      <c r="F2215">
        <v>20131001</v>
      </c>
      <c r="G2215" t="s">
        <v>1093</v>
      </c>
      <c r="H2215" t="s">
        <v>765</v>
      </c>
      <c r="I2215" t="s">
        <v>61</v>
      </c>
    </row>
    <row r="2216" spans="1:9" x14ac:dyDescent="0.25">
      <c r="A2216">
        <v>20131003</v>
      </c>
      <c r="B2216" t="str">
        <f>"111951"</f>
        <v>111951</v>
      </c>
      <c r="C2216" t="str">
        <f>"87141"</f>
        <v>87141</v>
      </c>
      <c r="D2216" t="s">
        <v>1332</v>
      </c>
      <c r="E2216">
        <v>526.84</v>
      </c>
      <c r="F2216">
        <v>20131002</v>
      </c>
      <c r="G2216" t="s">
        <v>1333</v>
      </c>
      <c r="H2216" t="s">
        <v>1334</v>
      </c>
      <c r="I2216" t="s">
        <v>21</v>
      </c>
    </row>
    <row r="2217" spans="1:9" x14ac:dyDescent="0.25">
      <c r="A2217">
        <v>20131003</v>
      </c>
      <c r="B2217" t="str">
        <f>"111952"</f>
        <v>111952</v>
      </c>
      <c r="C2217" t="str">
        <f>"86422"</f>
        <v>86422</v>
      </c>
      <c r="D2217" t="s">
        <v>1335</v>
      </c>
      <c r="E2217">
        <v>69.98</v>
      </c>
      <c r="F2217">
        <v>20131002</v>
      </c>
      <c r="G2217" t="s">
        <v>145</v>
      </c>
      <c r="H2217" t="s">
        <v>354</v>
      </c>
      <c r="I2217" t="s">
        <v>38</v>
      </c>
    </row>
    <row r="2218" spans="1:9" x14ac:dyDescent="0.25">
      <c r="A2218">
        <v>20131004</v>
      </c>
      <c r="B2218" t="str">
        <f>"111953"</f>
        <v>111953</v>
      </c>
      <c r="C2218" t="str">
        <f>"87541"</f>
        <v>87541</v>
      </c>
      <c r="D2218" t="s">
        <v>1336</v>
      </c>
      <c r="E2218" s="1">
        <v>2500</v>
      </c>
      <c r="F2218">
        <v>20131003</v>
      </c>
      <c r="G2218" t="s">
        <v>367</v>
      </c>
      <c r="H2218" t="s">
        <v>1337</v>
      </c>
      <c r="I2218" t="s">
        <v>21</v>
      </c>
    </row>
    <row r="2219" spans="1:9" x14ac:dyDescent="0.25">
      <c r="A2219">
        <v>20131010</v>
      </c>
      <c r="B2219" t="str">
        <f t="shared" ref="B2219:B2230" si="169">"111954"</f>
        <v>111954</v>
      </c>
      <c r="C2219" t="str">
        <f t="shared" ref="C2219:C2230" si="170">"01890"</f>
        <v>01890</v>
      </c>
      <c r="D2219" t="s">
        <v>447</v>
      </c>
      <c r="E2219">
        <v>156.43</v>
      </c>
      <c r="F2219">
        <v>20131004</v>
      </c>
      <c r="G2219" t="s">
        <v>1338</v>
      </c>
      <c r="H2219" t="s">
        <v>414</v>
      </c>
      <c r="I2219" t="s">
        <v>21</v>
      </c>
    </row>
    <row r="2220" spans="1:9" x14ac:dyDescent="0.25">
      <c r="A2220">
        <v>20131010</v>
      </c>
      <c r="B2220" t="str">
        <f t="shared" si="169"/>
        <v>111954</v>
      </c>
      <c r="C2220" t="str">
        <f t="shared" si="170"/>
        <v>01890</v>
      </c>
      <c r="D2220" t="s">
        <v>447</v>
      </c>
      <c r="E2220">
        <v>20.89</v>
      </c>
      <c r="F2220">
        <v>20131004</v>
      </c>
      <c r="G2220" t="s">
        <v>1338</v>
      </c>
      <c r="H2220" t="s">
        <v>414</v>
      </c>
      <c r="I2220" t="s">
        <v>21</v>
      </c>
    </row>
    <row r="2221" spans="1:9" x14ac:dyDescent="0.25">
      <c r="A2221">
        <v>20131010</v>
      </c>
      <c r="B2221" t="str">
        <f t="shared" si="169"/>
        <v>111954</v>
      </c>
      <c r="C2221" t="str">
        <f t="shared" si="170"/>
        <v>01890</v>
      </c>
      <c r="D2221" t="s">
        <v>447</v>
      </c>
      <c r="E2221">
        <v>287.98</v>
      </c>
      <c r="F2221">
        <v>20131004</v>
      </c>
      <c r="G2221" t="s">
        <v>1338</v>
      </c>
      <c r="H2221" t="s">
        <v>414</v>
      </c>
      <c r="I2221" t="s">
        <v>21</v>
      </c>
    </row>
    <row r="2222" spans="1:9" x14ac:dyDescent="0.25">
      <c r="A2222">
        <v>20131010</v>
      </c>
      <c r="B2222" t="str">
        <f t="shared" si="169"/>
        <v>111954</v>
      </c>
      <c r="C2222" t="str">
        <f t="shared" si="170"/>
        <v>01890</v>
      </c>
      <c r="D2222" t="s">
        <v>447</v>
      </c>
      <c r="E2222">
        <v>226.95</v>
      </c>
      <c r="F2222">
        <v>20131004</v>
      </c>
      <c r="G2222" t="s">
        <v>1338</v>
      </c>
      <c r="H2222" t="s">
        <v>414</v>
      </c>
      <c r="I2222" t="s">
        <v>21</v>
      </c>
    </row>
    <row r="2223" spans="1:9" x14ac:dyDescent="0.25">
      <c r="A2223">
        <v>20131010</v>
      </c>
      <c r="B2223" t="str">
        <f t="shared" si="169"/>
        <v>111954</v>
      </c>
      <c r="C2223" t="str">
        <f t="shared" si="170"/>
        <v>01890</v>
      </c>
      <c r="D2223" t="s">
        <v>447</v>
      </c>
      <c r="E2223">
        <v>28</v>
      </c>
      <c r="F2223">
        <v>20131004</v>
      </c>
      <c r="G2223" t="s">
        <v>1338</v>
      </c>
      <c r="H2223" t="s">
        <v>414</v>
      </c>
      <c r="I2223" t="s">
        <v>21</v>
      </c>
    </row>
    <row r="2224" spans="1:9" x14ac:dyDescent="0.25">
      <c r="A2224">
        <v>20131010</v>
      </c>
      <c r="B2224" t="str">
        <f t="shared" si="169"/>
        <v>111954</v>
      </c>
      <c r="C2224" t="str">
        <f t="shared" si="170"/>
        <v>01890</v>
      </c>
      <c r="D2224" t="s">
        <v>447</v>
      </c>
      <c r="E2224">
        <v>143.77000000000001</v>
      </c>
      <c r="F2224">
        <v>20131004</v>
      </c>
      <c r="G2224" t="s">
        <v>448</v>
      </c>
      <c r="H2224" t="s">
        <v>414</v>
      </c>
      <c r="I2224" t="s">
        <v>21</v>
      </c>
    </row>
    <row r="2225" spans="1:9" x14ac:dyDescent="0.25">
      <c r="A2225">
        <v>20131010</v>
      </c>
      <c r="B2225" t="str">
        <f t="shared" si="169"/>
        <v>111954</v>
      </c>
      <c r="C2225" t="str">
        <f t="shared" si="170"/>
        <v>01890</v>
      </c>
      <c r="D2225" t="s">
        <v>447</v>
      </c>
      <c r="E2225">
        <v>730.6</v>
      </c>
      <c r="F2225">
        <v>20131004</v>
      </c>
      <c r="G2225" t="s">
        <v>448</v>
      </c>
      <c r="H2225" t="s">
        <v>414</v>
      </c>
      <c r="I2225" t="s">
        <v>21</v>
      </c>
    </row>
    <row r="2226" spans="1:9" x14ac:dyDescent="0.25">
      <c r="A2226">
        <v>20131010</v>
      </c>
      <c r="B2226" t="str">
        <f t="shared" si="169"/>
        <v>111954</v>
      </c>
      <c r="C2226" t="str">
        <f t="shared" si="170"/>
        <v>01890</v>
      </c>
      <c r="D2226" t="s">
        <v>447</v>
      </c>
      <c r="E2226">
        <v>134.6</v>
      </c>
      <c r="F2226">
        <v>20131004</v>
      </c>
      <c r="G2226" t="s">
        <v>448</v>
      </c>
      <c r="H2226" t="s">
        <v>414</v>
      </c>
      <c r="I2226" t="s">
        <v>21</v>
      </c>
    </row>
    <row r="2227" spans="1:9" x14ac:dyDescent="0.25">
      <c r="A2227">
        <v>20131010</v>
      </c>
      <c r="B2227" t="str">
        <f t="shared" si="169"/>
        <v>111954</v>
      </c>
      <c r="C2227" t="str">
        <f t="shared" si="170"/>
        <v>01890</v>
      </c>
      <c r="D2227" t="s">
        <v>447</v>
      </c>
      <c r="E2227">
        <v>40.6</v>
      </c>
      <c r="F2227">
        <v>20131004</v>
      </c>
      <c r="G2227" t="s">
        <v>448</v>
      </c>
      <c r="H2227" t="s">
        <v>414</v>
      </c>
      <c r="I2227" t="s">
        <v>21</v>
      </c>
    </row>
    <row r="2228" spans="1:9" x14ac:dyDescent="0.25">
      <c r="A2228">
        <v>20131010</v>
      </c>
      <c r="B2228" t="str">
        <f t="shared" si="169"/>
        <v>111954</v>
      </c>
      <c r="C2228" t="str">
        <f t="shared" si="170"/>
        <v>01890</v>
      </c>
      <c r="D2228" t="s">
        <v>447</v>
      </c>
      <c r="E2228">
        <v>151.21</v>
      </c>
      <c r="F2228">
        <v>20131004</v>
      </c>
      <c r="G2228" t="s">
        <v>496</v>
      </c>
      <c r="H2228" t="s">
        <v>414</v>
      </c>
      <c r="I2228" t="s">
        <v>21</v>
      </c>
    </row>
    <row r="2229" spans="1:9" x14ac:dyDescent="0.25">
      <c r="A2229">
        <v>20131010</v>
      </c>
      <c r="B2229" t="str">
        <f t="shared" si="169"/>
        <v>111954</v>
      </c>
      <c r="C2229" t="str">
        <f t="shared" si="170"/>
        <v>01890</v>
      </c>
      <c r="D2229" t="s">
        <v>447</v>
      </c>
      <c r="E2229">
        <v>181.04</v>
      </c>
      <c r="F2229">
        <v>20131004</v>
      </c>
      <c r="G2229" t="s">
        <v>496</v>
      </c>
      <c r="H2229" t="s">
        <v>1339</v>
      </c>
      <c r="I2229" t="s">
        <v>21</v>
      </c>
    </row>
    <row r="2230" spans="1:9" x14ac:dyDescent="0.25">
      <c r="A2230">
        <v>20131010</v>
      </c>
      <c r="B2230" t="str">
        <f t="shared" si="169"/>
        <v>111954</v>
      </c>
      <c r="C2230" t="str">
        <f t="shared" si="170"/>
        <v>01890</v>
      </c>
      <c r="D2230" t="s">
        <v>447</v>
      </c>
      <c r="E2230">
        <v>327.14</v>
      </c>
      <c r="F2230">
        <v>20131004</v>
      </c>
      <c r="G2230" t="s">
        <v>392</v>
      </c>
      <c r="H2230" t="s">
        <v>414</v>
      </c>
      <c r="I2230" t="s">
        <v>21</v>
      </c>
    </row>
    <row r="2231" spans="1:9" x14ac:dyDescent="0.25">
      <c r="A2231">
        <v>20131010</v>
      </c>
      <c r="B2231" t="str">
        <f>"111955"</f>
        <v>111955</v>
      </c>
      <c r="C2231" t="str">
        <f>"86889"</f>
        <v>86889</v>
      </c>
      <c r="D2231" t="s">
        <v>449</v>
      </c>
      <c r="E2231" s="1">
        <v>1206.93</v>
      </c>
      <c r="F2231">
        <v>20131007</v>
      </c>
      <c r="G2231" t="s">
        <v>511</v>
      </c>
      <c r="H2231" t="s">
        <v>1340</v>
      </c>
      <c r="I2231" t="s">
        <v>21</v>
      </c>
    </row>
    <row r="2232" spans="1:9" x14ac:dyDescent="0.25">
      <c r="A2232">
        <v>20131010</v>
      </c>
      <c r="B2232" t="str">
        <f>"111955"</f>
        <v>111955</v>
      </c>
      <c r="C2232" t="str">
        <f>"86889"</f>
        <v>86889</v>
      </c>
      <c r="D2232" t="s">
        <v>449</v>
      </c>
      <c r="E2232">
        <v>813.98</v>
      </c>
      <c r="F2232">
        <v>20131007</v>
      </c>
      <c r="G2232" t="s">
        <v>624</v>
      </c>
      <c r="H2232" t="s">
        <v>1340</v>
      </c>
      <c r="I2232" t="s">
        <v>21</v>
      </c>
    </row>
    <row r="2233" spans="1:9" x14ac:dyDescent="0.25">
      <c r="A2233">
        <v>20131010</v>
      </c>
      <c r="B2233" t="str">
        <f>"111956"</f>
        <v>111956</v>
      </c>
      <c r="C2233" t="str">
        <f>"02500"</f>
        <v>02500</v>
      </c>
      <c r="D2233" t="s">
        <v>1341</v>
      </c>
      <c r="E2233">
        <v>341.86</v>
      </c>
      <c r="F2233">
        <v>20131009</v>
      </c>
      <c r="G2233" t="s">
        <v>699</v>
      </c>
      <c r="H2233" t="s">
        <v>1342</v>
      </c>
      <c r="I2233" t="s">
        <v>61</v>
      </c>
    </row>
    <row r="2234" spans="1:9" x14ac:dyDescent="0.25">
      <c r="A2234">
        <v>20131010</v>
      </c>
      <c r="B2234" t="str">
        <f>"111956"</f>
        <v>111956</v>
      </c>
      <c r="C2234" t="str">
        <f>"02500"</f>
        <v>02500</v>
      </c>
      <c r="D2234" t="s">
        <v>1341</v>
      </c>
      <c r="E2234">
        <v>576.1</v>
      </c>
      <c r="F2234">
        <v>20131009</v>
      </c>
      <c r="G2234" t="s">
        <v>699</v>
      </c>
      <c r="H2234" t="s">
        <v>1343</v>
      </c>
      <c r="I2234" t="s">
        <v>61</v>
      </c>
    </row>
    <row r="2235" spans="1:9" x14ac:dyDescent="0.25">
      <c r="A2235">
        <v>20131010</v>
      </c>
      <c r="B2235" t="str">
        <f>"111956"</f>
        <v>111956</v>
      </c>
      <c r="C2235" t="str">
        <f>"02500"</f>
        <v>02500</v>
      </c>
      <c r="D2235" t="s">
        <v>1341</v>
      </c>
      <c r="E2235" s="1">
        <v>2769.68</v>
      </c>
      <c r="F2235">
        <v>20131009</v>
      </c>
      <c r="G2235" t="s">
        <v>699</v>
      </c>
      <c r="H2235" t="s">
        <v>1344</v>
      </c>
      <c r="I2235" t="s">
        <v>61</v>
      </c>
    </row>
    <row r="2236" spans="1:9" x14ac:dyDescent="0.25">
      <c r="A2236">
        <v>20131010</v>
      </c>
      <c r="B2236" t="str">
        <f>"111956"</f>
        <v>111956</v>
      </c>
      <c r="C2236" t="str">
        <f>"02500"</f>
        <v>02500</v>
      </c>
      <c r="D2236" t="s">
        <v>1341</v>
      </c>
      <c r="E2236">
        <v>925</v>
      </c>
      <c r="F2236">
        <v>20131009</v>
      </c>
      <c r="G2236" t="s">
        <v>189</v>
      </c>
      <c r="H2236" t="s">
        <v>1345</v>
      </c>
      <c r="I2236" t="s">
        <v>25</v>
      </c>
    </row>
    <row r="2237" spans="1:9" x14ac:dyDescent="0.25">
      <c r="A2237">
        <v>20131010</v>
      </c>
      <c r="B2237" t="str">
        <f t="shared" ref="B2237:B2250" si="171">"111957"</f>
        <v>111957</v>
      </c>
      <c r="C2237" t="str">
        <f t="shared" ref="C2237:C2251" si="172">"52460"</f>
        <v>52460</v>
      </c>
      <c r="D2237" t="s">
        <v>452</v>
      </c>
      <c r="E2237">
        <v>412.42</v>
      </c>
      <c r="F2237">
        <v>20131008</v>
      </c>
      <c r="G2237" t="s">
        <v>453</v>
      </c>
      <c r="H2237" t="s">
        <v>454</v>
      </c>
      <c r="I2237" t="s">
        <v>21</v>
      </c>
    </row>
    <row r="2238" spans="1:9" x14ac:dyDescent="0.25">
      <c r="A2238">
        <v>20131010</v>
      </c>
      <c r="B2238" t="str">
        <f t="shared" si="171"/>
        <v>111957</v>
      </c>
      <c r="C2238" t="str">
        <f t="shared" si="172"/>
        <v>52460</v>
      </c>
      <c r="D2238" t="s">
        <v>452</v>
      </c>
      <c r="E2238">
        <v>905.29</v>
      </c>
      <c r="F2238">
        <v>20131008</v>
      </c>
      <c r="G2238" t="s">
        <v>455</v>
      </c>
      <c r="H2238" t="s">
        <v>454</v>
      </c>
      <c r="I2238" t="s">
        <v>21</v>
      </c>
    </row>
    <row r="2239" spans="1:9" x14ac:dyDescent="0.25">
      <c r="A2239">
        <v>20131010</v>
      </c>
      <c r="B2239" t="str">
        <f t="shared" si="171"/>
        <v>111957</v>
      </c>
      <c r="C2239" t="str">
        <f t="shared" si="172"/>
        <v>52460</v>
      </c>
      <c r="D2239" t="s">
        <v>452</v>
      </c>
      <c r="E2239" s="1">
        <v>2295.6</v>
      </c>
      <c r="F2239">
        <v>20131008</v>
      </c>
      <c r="G2239" t="s">
        <v>455</v>
      </c>
      <c r="H2239" t="s">
        <v>454</v>
      </c>
      <c r="I2239" t="s">
        <v>21</v>
      </c>
    </row>
    <row r="2240" spans="1:9" x14ac:dyDescent="0.25">
      <c r="A2240">
        <v>20131010</v>
      </c>
      <c r="B2240" t="str">
        <f t="shared" si="171"/>
        <v>111957</v>
      </c>
      <c r="C2240" t="str">
        <f t="shared" si="172"/>
        <v>52460</v>
      </c>
      <c r="D2240" t="s">
        <v>452</v>
      </c>
      <c r="E2240" s="1">
        <v>1133.54</v>
      </c>
      <c r="F2240">
        <v>20131008</v>
      </c>
      <c r="G2240" t="s">
        <v>456</v>
      </c>
      <c r="H2240" t="s">
        <v>454</v>
      </c>
      <c r="I2240" t="s">
        <v>21</v>
      </c>
    </row>
    <row r="2241" spans="1:9" x14ac:dyDescent="0.25">
      <c r="A2241">
        <v>20131010</v>
      </c>
      <c r="B2241" t="str">
        <f t="shared" si="171"/>
        <v>111957</v>
      </c>
      <c r="C2241" t="str">
        <f t="shared" si="172"/>
        <v>52460</v>
      </c>
      <c r="D2241" t="s">
        <v>452</v>
      </c>
      <c r="E2241" s="1">
        <v>1032.3800000000001</v>
      </c>
      <c r="F2241">
        <v>20131008</v>
      </c>
      <c r="G2241" t="s">
        <v>457</v>
      </c>
      <c r="H2241" t="s">
        <v>454</v>
      </c>
      <c r="I2241" t="s">
        <v>21</v>
      </c>
    </row>
    <row r="2242" spans="1:9" x14ac:dyDescent="0.25">
      <c r="A2242">
        <v>20131010</v>
      </c>
      <c r="B2242" t="str">
        <f t="shared" si="171"/>
        <v>111957</v>
      </c>
      <c r="C2242" t="str">
        <f t="shared" si="172"/>
        <v>52460</v>
      </c>
      <c r="D2242" t="s">
        <v>452</v>
      </c>
      <c r="E2242" s="1">
        <v>1032.3800000000001</v>
      </c>
      <c r="F2242">
        <v>20131008</v>
      </c>
      <c r="G2242" t="s">
        <v>459</v>
      </c>
      <c r="H2242" t="s">
        <v>454</v>
      </c>
      <c r="I2242" t="s">
        <v>21</v>
      </c>
    </row>
    <row r="2243" spans="1:9" x14ac:dyDescent="0.25">
      <c r="A2243">
        <v>20131010</v>
      </c>
      <c r="B2243" t="str">
        <f t="shared" si="171"/>
        <v>111957</v>
      </c>
      <c r="C2243" t="str">
        <f t="shared" si="172"/>
        <v>52460</v>
      </c>
      <c r="D2243" t="s">
        <v>452</v>
      </c>
      <c r="E2243">
        <v>962.36</v>
      </c>
      <c r="F2243">
        <v>20131008</v>
      </c>
      <c r="G2243" t="s">
        <v>460</v>
      </c>
      <c r="H2243" t="s">
        <v>454</v>
      </c>
      <c r="I2243" t="s">
        <v>21</v>
      </c>
    </row>
    <row r="2244" spans="1:9" x14ac:dyDescent="0.25">
      <c r="A2244">
        <v>20131010</v>
      </c>
      <c r="B2244" t="str">
        <f t="shared" si="171"/>
        <v>111957</v>
      </c>
      <c r="C2244" t="str">
        <f t="shared" si="172"/>
        <v>52460</v>
      </c>
      <c r="D2244" t="s">
        <v>452</v>
      </c>
      <c r="E2244">
        <v>594.04</v>
      </c>
      <c r="F2244">
        <v>20131008</v>
      </c>
      <c r="G2244" t="s">
        <v>461</v>
      </c>
      <c r="H2244" t="s">
        <v>454</v>
      </c>
      <c r="I2244" t="s">
        <v>21</v>
      </c>
    </row>
    <row r="2245" spans="1:9" x14ac:dyDescent="0.25">
      <c r="A2245">
        <v>20131010</v>
      </c>
      <c r="B2245" t="str">
        <f t="shared" si="171"/>
        <v>111957</v>
      </c>
      <c r="C2245" t="str">
        <f t="shared" si="172"/>
        <v>52460</v>
      </c>
      <c r="D2245" t="s">
        <v>452</v>
      </c>
      <c r="E2245" s="1">
        <v>1032.3800000000001</v>
      </c>
      <c r="F2245">
        <v>20131008</v>
      </c>
      <c r="G2245" t="s">
        <v>462</v>
      </c>
      <c r="H2245" t="s">
        <v>454</v>
      </c>
      <c r="I2245" t="s">
        <v>21</v>
      </c>
    </row>
    <row r="2246" spans="1:9" x14ac:dyDescent="0.25">
      <c r="A2246">
        <v>20131010</v>
      </c>
      <c r="B2246" t="str">
        <f t="shared" si="171"/>
        <v>111957</v>
      </c>
      <c r="C2246" t="str">
        <f t="shared" si="172"/>
        <v>52460</v>
      </c>
      <c r="D2246" t="s">
        <v>452</v>
      </c>
      <c r="E2246">
        <v>272.37</v>
      </c>
      <c r="F2246">
        <v>20131008</v>
      </c>
      <c r="G2246" t="s">
        <v>463</v>
      </c>
      <c r="H2246" t="s">
        <v>454</v>
      </c>
      <c r="I2246" t="s">
        <v>21</v>
      </c>
    </row>
    <row r="2247" spans="1:9" x14ac:dyDescent="0.25">
      <c r="A2247">
        <v>20131010</v>
      </c>
      <c r="B2247" t="str">
        <f t="shared" si="171"/>
        <v>111957</v>
      </c>
      <c r="C2247" t="str">
        <f t="shared" si="172"/>
        <v>52460</v>
      </c>
      <c r="D2247" t="s">
        <v>452</v>
      </c>
      <c r="E2247">
        <v>412.42</v>
      </c>
      <c r="F2247">
        <v>20131008</v>
      </c>
      <c r="G2247" t="s">
        <v>464</v>
      </c>
      <c r="H2247" t="s">
        <v>454</v>
      </c>
      <c r="I2247" t="s">
        <v>21</v>
      </c>
    </row>
    <row r="2248" spans="1:9" x14ac:dyDescent="0.25">
      <c r="A2248">
        <v>20131010</v>
      </c>
      <c r="B2248" t="str">
        <f t="shared" si="171"/>
        <v>111957</v>
      </c>
      <c r="C2248" t="str">
        <f t="shared" si="172"/>
        <v>52460</v>
      </c>
      <c r="D2248" t="s">
        <v>452</v>
      </c>
      <c r="E2248">
        <v>459.12</v>
      </c>
      <c r="F2248">
        <v>20131008</v>
      </c>
      <c r="G2248" t="s">
        <v>465</v>
      </c>
      <c r="H2248" t="s">
        <v>454</v>
      </c>
      <c r="I2248" t="s">
        <v>21</v>
      </c>
    </row>
    <row r="2249" spans="1:9" x14ac:dyDescent="0.25">
      <c r="A2249">
        <v>20131010</v>
      </c>
      <c r="B2249" t="str">
        <f t="shared" si="171"/>
        <v>111957</v>
      </c>
      <c r="C2249" t="str">
        <f t="shared" si="172"/>
        <v>52460</v>
      </c>
      <c r="D2249" t="s">
        <v>452</v>
      </c>
      <c r="E2249">
        <v>701.7</v>
      </c>
      <c r="F2249">
        <v>20131008</v>
      </c>
      <c r="G2249" t="s">
        <v>466</v>
      </c>
      <c r="H2249" t="s">
        <v>454</v>
      </c>
      <c r="I2249" t="s">
        <v>21</v>
      </c>
    </row>
    <row r="2250" spans="1:9" x14ac:dyDescent="0.25">
      <c r="A2250">
        <v>20131010</v>
      </c>
      <c r="B2250" t="str">
        <f t="shared" si="171"/>
        <v>111957</v>
      </c>
      <c r="C2250" t="str">
        <f t="shared" si="172"/>
        <v>52460</v>
      </c>
      <c r="D2250" t="s">
        <v>452</v>
      </c>
      <c r="E2250">
        <v>272.37</v>
      </c>
      <c r="F2250">
        <v>20131008</v>
      </c>
      <c r="G2250" t="s">
        <v>467</v>
      </c>
      <c r="H2250" t="s">
        <v>454</v>
      </c>
      <c r="I2250" t="s">
        <v>21</v>
      </c>
    </row>
    <row r="2251" spans="1:9" x14ac:dyDescent="0.25">
      <c r="A2251">
        <v>20131010</v>
      </c>
      <c r="B2251" t="str">
        <f>"111958"</f>
        <v>111958</v>
      </c>
      <c r="C2251" t="str">
        <f t="shared" si="172"/>
        <v>52460</v>
      </c>
      <c r="D2251" t="s">
        <v>452</v>
      </c>
      <c r="E2251">
        <v>34.56</v>
      </c>
      <c r="F2251">
        <v>20131008</v>
      </c>
      <c r="G2251" t="s">
        <v>145</v>
      </c>
      <c r="H2251" t="s">
        <v>1346</v>
      </c>
      <c r="I2251" t="s">
        <v>38</v>
      </c>
    </row>
    <row r="2252" spans="1:9" x14ac:dyDescent="0.25">
      <c r="A2252">
        <v>20131010</v>
      </c>
      <c r="B2252" t="str">
        <f>"111959"</f>
        <v>111959</v>
      </c>
      <c r="C2252" t="str">
        <f>"87514"</f>
        <v>87514</v>
      </c>
      <c r="D2252" t="s">
        <v>1347</v>
      </c>
      <c r="E2252">
        <v>825</v>
      </c>
      <c r="F2252">
        <v>20131009</v>
      </c>
      <c r="G2252" t="s">
        <v>1028</v>
      </c>
      <c r="H2252" t="s">
        <v>1348</v>
      </c>
      <c r="I2252" t="s">
        <v>38</v>
      </c>
    </row>
    <row r="2253" spans="1:9" x14ac:dyDescent="0.25">
      <c r="A2253">
        <v>20131010</v>
      </c>
      <c r="B2253" t="str">
        <f>"111960"</f>
        <v>111960</v>
      </c>
      <c r="C2253" t="str">
        <f>"87466"</f>
        <v>87466</v>
      </c>
      <c r="D2253" t="s">
        <v>468</v>
      </c>
      <c r="E2253">
        <v>350</v>
      </c>
      <c r="F2253">
        <v>20131008</v>
      </c>
      <c r="G2253" t="s">
        <v>469</v>
      </c>
      <c r="H2253" t="s">
        <v>501</v>
      </c>
      <c r="I2253" t="s">
        <v>21</v>
      </c>
    </row>
    <row r="2254" spans="1:9" x14ac:dyDescent="0.25">
      <c r="A2254">
        <v>20131010</v>
      </c>
      <c r="B2254" t="str">
        <f>"111961"</f>
        <v>111961</v>
      </c>
      <c r="C2254" t="str">
        <f>"86961"</f>
        <v>86961</v>
      </c>
      <c r="D2254" t="s">
        <v>1349</v>
      </c>
      <c r="E2254">
        <v>981</v>
      </c>
      <c r="F2254">
        <v>20131008</v>
      </c>
      <c r="G2254" t="s">
        <v>837</v>
      </c>
      <c r="H2254" t="s">
        <v>799</v>
      </c>
      <c r="I2254" t="s">
        <v>21</v>
      </c>
    </row>
    <row r="2255" spans="1:9" x14ac:dyDescent="0.25">
      <c r="A2255">
        <v>20131010</v>
      </c>
      <c r="B2255" t="str">
        <f t="shared" ref="B2255:B2266" si="173">"111962"</f>
        <v>111962</v>
      </c>
      <c r="C2255" t="str">
        <f t="shared" ref="C2255:C2266" si="174">"84047"</f>
        <v>84047</v>
      </c>
      <c r="D2255" t="s">
        <v>472</v>
      </c>
      <c r="E2255">
        <v>315.14999999999998</v>
      </c>
      <c r="F2255">
        <v>20131007</v>
      </c>
      <c r="G2255" t="s">
        <v>473</v>
      </c>
      <c r="H2255" t="s">
        <v>474</v>
      </c>
      <c r="I2255" t="s">
        <v>21</v>
      </c>
    </row>
    <row r="2256" spans="1:9" x14ac:dyDescent="0.25">
      <c r="A2256">
        <v>20131010</v>
      </c>
      <c r="B2256" t="str">
        <f t="shared" si="173"/>
        <v>111962</v>
      </c>
      <c r="C2256" t="str">
        <f t="shared" si="174"/>
        <v>84047</v>
      </c>
      <c r="D2256" t="s">
        <v>472</v>
      </c>
      <c r="E2256">
        <v>183.15</v>
      </c>
      <c r="F2256">
        <v>20131007</v>
      </c>
      <c r="G2256" t="s">
        <v>475</v>
      </c>
      <c r="H2256" t="s">
        <v>474</v>
      </c>
      <c r="I2256" t="s">
        <v>21</v>
      </c>
    </row>
    <row r="2257" spans="1:9" x14ac:dyDescent="0.25">
      <c r="A2257">
        <v>20131010</v>
      </c>
      <c r="B2257" t="str">
        <f t="shared" si="173"/>
        <v>111962</v>
      </c>
      <c r="C2257" t="str">
        <f t="shared" si="174"/>
        <v>84047</v>
      </c>
      <c r="D2257" t="s">
        <v>472</v>
      </c>
      <c r="E2257">
        <v>183.15</v>
      </c>
      <c r="F2257">
        <v>20131007</v>
      </c>
      <c r="G2257" t="s">
        <v>476</v>
      </c>
      <c r="H2257" t="s">
        <v>474</v>
      </c>
      <c r="I2257" t="s">
        <v>21</v>
      </c>
    </row>
    <row r="2258" spans="1:9" x14ac:dyDescent="0.25">
      <c r="A2258">
        <v>20131010</v>
      </c>
      <c r="B2258" t="str">
        <f t="shared" si="173"/>
        <v>111962</v>
      </c>
      <c r="C2258" t="str">
        <f t="shared" si="174"/>
        <v>84047</v>
      </c>
      <c r="D2258" t="s">
        <v>472</v>
      </c>
      <c r="E2258">
        <v>183.15</v>
      </c>
      <c r="F2258">
        <v>20131007</v>
      </c>
      <c r="G2258" t="s">
        <v>477</v>
      </c>
      <c r="H2258" t="s">
        <v>474</v>
      </c>
      <c r="I2258" t="s">
        <v>21</v>
      </c>
    </row>
    <row r="2259" spans="1:9" x14ac:dyDescent="0.25">
      <c r="A2259">
        <v>20131010</v>
      </c>
      <c r="B2259" t="str">
        <f t="shared" si="173"/>
        <v>111962</v>
      </c>
      <c r="C2259" t="str">
        <f t="shared" si="174"/>
        <v>84047</v>
      </c>
      <c r="D2259" t="s">
        <v>472</v>
      </c>
      <c r="E2259">
        <v>202.95</v>
      </c>
      <c r="F2259">
        <v>20131007</v>
      </c>
      <c r="G2259" t="s">
        <v>478</v>
      </c>
      <c r="H2259" t="s">
        <v>474</v>
      </c>
      <c r="I2259" t="s">
        <v>21</v>
      </c>
    </row>
    <row r="2260" spans="1:9" x14ac:dyDescent="0.25">
      <c r="A2260">
        <v>20131010</v>
      </c>
      <c r="B2260" t="str">
        <f t="shared" si="173"/>
        <v>111962</v>
      </c>
      <c r="C2260" t="str">
        <f t="shared" si="174"/>
        <v>84047</v>
      </c>
      <c r="D2260" t="s">
        <v>472</v>
      </c>
      <c r="E2260">
        <v>183.15</v>
      </c>
      <c r="F2260">
        <v>20131007</v>
      </c>
      <c r="G2260" t="s">
        <v>479</v>
      </c>
      <c r="H2260" t="s">
        <v>474</v>
      </c>
      <c r="I2260" t="s">
        <v>21</v>
      </c>
    </row>
    <row r="2261" spans="1:9" x14ac:dyDescent="0.25">
      <c r="A2261">
        <v>20131010</v>
      </c>
      <c r="B2261" t="str">
        <f t="shared" si="173"/>
        <v>111962</v>
      </c>
      <c r="C2261" t="str">
        <f t="shared" si="174"/>
        <v>84047</v>
      </c>
      <c r="D2261" t="s">
        <v>472</v>
      </c>
      <c r="E2261">
        <v>183.15</v>
      </c>
      <c r="F2261">
        <v>20131007</v>
      </c>
      <c r="G2261" t="s">
        <v>480</v>
      </c>
      <c r="H2261" t="s">
        <v>474</v>
      </c>
      <c r="I2261" t="s">
        <v>21</v>
      </c>
    </row>
    <row r="2262" spans="1:9" x14ac:dyDescent="0.25">
      <c r="A2262">
        <v>20131010</v>
      </c>
      <c r="B2262" t="str">
        <f t="shared" si="173"/>
        <v>111962</v>
      </c>
      <c r="C2262" t="str">
        <f t="shared" si="174"/>
        <v>84047</v>
      </c>
      <c r="D2262" t="s">
        <v>472</v>
      </c>
      <c r="E2262">
        <v>183.15</v>
      </c>
      <c r="F2262">
        <v>20131007</v>
      </c>
      <c r="G2262" t="s">
        <v>481</v>
      </c>
      <c r="H2262" t="s">
        <v>474</v>
      </c>
      <c r="I2262" t="s">
        <v>21</v>
      </c>
    </row>
    <row r="2263" spans="1:9" x14ac:dyDescent="0.25">
      <c r="A2263">
        <v>20131010</v>
      </c>
      <c r="B2263" t="str">
        <f t="shared" si="173"/>
        <v>111962</v>
      </c>
      <c r="C2263" t="str">
        <f t="shared" si="174"/>
        <v>84047</v>
      </c>
      <c r="D2263" t="s">
        <v>472</v>
      </c>
      <c r="E2263">
        <v>106.15</v>
      </c>
      <c r="F2263">
        <v>20131007</v>
      </c>
      <c r="G2263" t="s">
        <v>482</v>
      </c>
      <c r="H2263" t="s">
        <v>474</v>
      </c>
      <c r="I2263" t="s">
        <v>21</v>
      </c>
    </row>
    <row r="2264" spans="1:9" x14ac:dyDescent="0.25">
      <c r="A2264">
        <v>20131010</v>
      </c>
      <c r="B2264" t="str">
        <f t="shared" si="173"/>
        <v>111962</v>
      </c>
      <c r="C2264" t="str">
        <f t="shared" si="174"/>
        <v>84047</v>
      </c>
      <c r="D2264" t="s">
        <v>472</v>
      </c>
      <c r="E2264">
        <v>183.15</v>
      </c>
      <c r="F2264">
        <v>20131007</v>
      </c>
      <c r="G2264" t="s">
        <v>483</v>
      </c>
      <c r="H2264" t="s">
        <v>474</v>
      </c>
      <c r="I2264" t="s">
        <v>21</v>
      </c>
    </row>
    <row r="2265" spans="1:9" x14ac:dyDescent="0.25">
      <c r="A2265">
        <v>20131010</v>
      </c>
      <c r="B2265" t="str">
        <f t="shared" si="173"/>
        <v>111962</v>
      </c>
      <c r="C2265" t="str">
        <f t="shared" si="174"/>
        <v>84047</v>
      </c>
      <c r="D2265" t="s">
        <v>472</v>
      </c>
      <c r="E2265">
        <v>217.25</v>
      </c>
      <c r="F2265">
        <v>20131007</v>
      </c>
      <c r="G2265" t="s">
        <v>484</v>
      </c>
      <c r="H2265" t="s">
        <v>474</v>
      </c>
      <c r="I2265" t="s">
        <v>21</v>
      </c>
    </row>
    <row r="2266" spans="1:9" x14ac:dyDescent="0.25">
      <c r="A2266">
        <v>20131010</v>
      </c>
      <c r="B2266" t="str">
        <f t="shared" si="173"/>
        <v>111962</v>
      </c>
      <c r="C2266" t="str">
        <f t="shared" si="174"/>
        <v>84047</v>
      </c>
      <c r="D2266" t="s">
        <v>472</v>
      </c>
      <c r="E2266">
        <v>150.15</v>
      </c>
      <c r="F2266">
        <v>20131007</v>
      </c>
      <c r="G2266" t="s">
        <v>485</v>
      </c>
      <c r="H2266" t="s">
        <v>474</v>
      </c>
      <c r="I2266" t="s">
        <v>21</v>
      </c>
    </row>
    <row r="2267" spans="1:9" x14ac:dyDescent="0.25">
      <c r="A2267">
        <v>20131010</v>
      </c>
      <c r="B2267" t="str">
        <f t="shared" ref="B2267:B2277" si="175">"111963"</f>
        <v>111963</v>
      </c>
      <c r="C2267" t="str">
        <f t="shared" ref="C2267:C2277" si="176">"00255"</f>
        <v>00255</v>
      </c>
      <c r="D2267" t="s">
        <v>489</v>
      </c>
      <c r="E2267">
        <v>22.04</v>
      </c>
      <c r="F2267">
        <v>20131007</v>
      </c>
      <c r="G2267" t="s">
        <v>1350</v>
      </c>
      <c r="H2267" t="s">
        <v>488</v>
      </c>
      <c r="I2267" t="s">
        <v>21</v>
      </c>
    </row>
    <row r="2268" spans="1:9" x14ac:dyDescent="0.25">
      <c r="A2268">
        <v>20131010</v>
      </c>
      <c r="B2268" t="str">
        <f t="shared" si="175"/>
        <v>111963</v>
      </c>
      <c r="C2268" t="str">
        <f t="shared" si="176"/>
        <v>00255</v>
      </c>
      <c r="D2268" t="s">
        <v>489</v>
      </c>
      <c r="E2268">
        <v>222.85</v>
      </c>
      <c r="F2268">
        <v>20131007</v>
      </c>
      <c r="G2268" t="s">
        <v>1351</v>
      </c>
      <c r="H2268" t="s">
        <v>488</v>
      </c>
      <c r="I2268" t="s">
        <v>21</v>
      </c>
    </row>
    <row r="2269" spans="1:9" x14ac:dyDescent="0.25">
      <c r="A2269">
        <v>20131010</v>
      </c>
      <c r="B2269" t="str">
        <f t="shared" si="175"/>
        <v>111963</v>
      </c>
      <c r="C2269" t="str">
        <f t="shared" si="176"/>
        <v>00255</v>
      </c>
      <c r="D2269" t="s">
        <v>489</v>
      </c>
      <c r="E2269">
        <v>37.270000000000003</v>
      </c>
      <c r="F2269">
        <v>20131007</v>
      </c>
      <c r="G2269" t="s">
        <v>490</v>
      </c>
      <c r="H2269" t="s">
        <v>488</v>
      </c>
      <c r="I2269" t="s">
        <v>21</v>
      </c>
    </row>
    <row r="2270" spans="1:9" x14ac:dyDescent="0.25">
      <c r="A2270">
        <v>20131010</v>
      </c>
      <c r="B2270" t="str">
        <f t="shared" si="175"/>
        <v>111963</v>
      </c>
      <c r="C2270" t="str">
        <f t="shared" si="176"/>
        <v>00255</v>
      </c>
      <c r="D2270" t="s">
        <v>489</v>
      </c>
      <c r="E2270">
        <v>182.62</v>
      </c>
      <c r="F2270">
        <v>20131007</v>
      </c>
      <c r="G2270" t="s">
        <v>490</v>
      </c>
      <c r="H2270" t="s">
        <v>488</v>
      </c>
      <c r="I2270" t="s">
        <v>21</v>
      </c>
    </row>
    <row r="2271" spans="1:9" x14ac:dyDescent="0.25">
      <c r="A2271">
        <v>20131010</v>
      </c>
      <c r="B2271" t="str">
        <f t="shared" si="175"/>
        <v>111963</v>
      </c>
      <c r="C2271" t="str">
        <f t="shared" si="176"/>
        <v>00255</v>
      </c>
      <c r="D2271" t="s">
        <v>489</v>
      </c>
      <c r="E2271">
        <v>37.270000000000003</v>
      </c>
      <c r="F2271">
        <v>20131007</v>
      </c>
      <c r="G2271" t="s">
        <v>490</v>
      </c>
      <c r="H2271" t="s">
        <v>488</v>
      </c>
      <c r="I2271" t="s">
        <v>21</v>
      </c>
    </row>
    <row r="2272" spans="1:9" x14ac:dyDescent="0.25">
      <c r="A2272">
        <v>20131010</v>
      </c>
      <c r="B2272" t="str">
        <f t="shared" si="175"/>
        <v>111963</v>
      </c>
      <c r="C2272" t="str">
        <f t="shared" si="176"/>
        <v>00255</v>
      </c>
      <c r="D2272" t="s">
        <v>489</v>
      </c>
      <c r="E2272">
        <v>258.44</v>
      </c>
      <c r="F2272">
        <v>20131008</v>
      </c>
      <c r="G2272" t="s">
        <v>491</v>
      </c>
      <c r="H2272" t="s">
        <v>488</v>
      </c>
      <c r="I2272" t="s">
        <v>21</v>
      </c>
    </row>
    <row r="2273" spans="1:9" x14ac:dyDescent="0.25">
      <c r="A2273">
        <v>20131010</v>
      </c>
      <c r="B2273" t="str">
        <f t="shared" si="175"/>
        <v>111963</v>
      </c>
      <c r="C2273" t="str">
        <f t="shared" si="176"/>
        <v>00255</v>
      </c>
      <c r="D2273" t="s">
        <v>489</v>
      </c>
      <c r="E2273">
        <v>37.270000000000003</v>
      </c>
      <c r="F2273">
        <v>20131007</v>
      </c>
      <c r="G2273" t="s">
        <v>492</v>
      </c>
      <c r="H2273" t="s">
        <v>488</v>
      </c>
      <c r="I2273" t="s">
        <v>21</v>
      </c>
    </row>
    <row r="2274" spans="1:9" x14ac:dyDescent="0.25">
      <c r="A2274">
        <v>20131010</v>
      </c>
      <c r="B2274" t="str">
        <f t="shared" si="175"/>
        <v>111963</v>
      </c>
      <c r="C2274" t="str">
        <f t="shared" si="176"/>
        <v>00255</v>
      </c>
      <c r="D2274" t="s">
        <v>489</v>
      </c>
      <c r="E2274">
        <v>106.49</v>
      </c>
      <c r="F2274">
        <v>20131007</v>
      </c>
      <c r="G2274" t="s">
        <v>492</v>
      </c>
      <c r="H2274" t="s">
        <v>488</v>
      </c>
      <c r="I2274" t="s">
        <v>21</v>
      </c>
    </row>
    <row r="2275" spans="1:9" x14ac:dyDescent="0.25">
      <c r="A2275">
        <v>20131010</v>
      </c>
      <c r="B2275" t="str">
        <f t="shared" si="175"/>
        <v>111963</v>
      </c>
      <c r="C2275" t="str">
        <f t="shared" si="176"/>
        <v>00255</v>
      </c>
      <c r="D2275" t="s">
        <v>489</v>
      </c>
      <c r="E2275">
        <v>165.18</v>
      </c>
      <c r="F2275">
        <v>20131007</v>
      </c>
      <c r="G2275" t="s">
        <v>493</v>
      </c>
      <c r="H2275" t="s">
        <v>488</v>
      </c>
      <c r="I2275" t="s">
        <v>21</v>
      </c>
    </row>
    <row r="2276" spans="1:9" x14ac:dyDescent="0.25">
      <c r="A2276">
        <v>20131010</v>
      </c>
      <c r="B2276" t="str">
        <f t="shared" si="175"/>
        <v>111963</v>
      </c>
      <c r="C2276" t="str">
        <f t="shared" si="176"/>
        <v>00255</v>
      </c>
      <c r="D2276" t="s">
        <v>489</v>
      </c>
      <c r="E2276">
        <v>76.73</v>
      </c>
      <c r="F2276">
        <v>20131007</v>
      </c>
      <c r="G2276" t="s">
        <v>1352</v>
      </c>
      <c r="H2276" t="s">
        <v>488</v>
      </c>
      <c r="I2276" t="s">
        <v>21</v>
      </c>
    </row>
    <row r="2277" spans="1:9" x14ac:dyDescent="0.25">
      <c r="A2277">
        <v>20131010</v>
      </c>
      <c r="B2277" t="str">
        <f t="shared" si="175"/>
        <v>111963</v>
      </c>
      <c r="C2277" t="str">
        <f t="shared" si="176"/>
        <v>00255</v>
      </c>
      <c r="D2277" t="s">
        <v>489</v>
      </c>
      <c r="E2277">
        <v>136.19</v>
      </c>
      <c r="F2277">
        <v>20131007</v>
      </c>
      <c r="G2277" t="s">
        <v>494</v>
      </c>
      <c r="H2277" t="s">
        <v>488</v>
      </c>
      <c r="I2277" t="s">
        <v>21</v>
      </c>
    </row>
    <row r="2278" spans="1:9" x14ac:dyDescent="0.25">
      <c r="A2278">
        <v>20131010</v>
      </c>
      <c r="B2278" t="str">
        <f>"111964"</f>
        <v>111964</v>
      </c>
      <c r="C2278" t="str">
        <f>"86456"</f>
        <v>86456</v>
      </c>
      <c r="D2278" t="s">
        <v>495</v>
      </c>
      <c r="E2278">
        <v>87.8</v>
      </c>
      <c r="F2278">
        <v>20131007</v>
      </c>
      <c r="G2278" t="s">
        <v>496</v>
      </c>
      <c r="H2278" t="s">
        <v>414</v>
      </c>
      <c r="I2278" t="s">
        <v>21</v>
      </c>
    </row>
    <row r="2279" spans="1:9" x14ac:dyDescent="0.25">
      <c r="A2279">
        <v>20131010</v>
      </c>
      <c r="B2279" t="str">
        <f>"111964"</f>
        <v>111964</v>
      </c>
      <c r="C2279" t="str">
        <f>"86456"</f>
        <v>86456</v>
      </c>
      <c r="D2279" t="s">
        <v>495</v>
      </c>
      <c r="E2279">
        <v>161.37</v>
      </c>
      <c r="F2279">
        <v>20131007</v>
      </c>
      <c r="G2279" t="s">
        <v>413</v>
      </c>
      <c r="H2279" t="s">
        <v>414</v>
      </c>
      <c r="I2279" t="s">
        <v>21</v>
      </c>
    </row>
    <row r="2280" spans="1:9" x14ac:dyDescent="0.25">
      <c r="A2280">
        <v>20131010</v>
      </c>
      <c r="B2280" t="str">
        <f>"111964"</f>
        <v>111964</v>
      </c>
      <c r="C2280" t="str">
        <f>"86456"</f>
        <v>86456</v>
      </c>
      <c r="D2280" t="s">
        <v>495</v>
      </c>
      <c r="E2280">
        <v>149.99</v>
      </c>
      <c r="F2280">
        <v>20131007</v>
      </c>
      <c r="G2280" t="s">
        <v>415</v>
      </c>
      <c r="H2280" t="s">
        <v>414</v>
      </c>
      <c r="I2280" t="s">
        <v>21</v>
      </c>
    </row>
    <row r="2281" spans="1:9" x14ac:dyDescent="0.25">
      <c r="A2281">
        <v>20131010</v>
      </c>
      <c r="B2281" t="str">
        <f>"111964"</f>
        <v>111964</v>
      </c>
      <c r="C2281" t="str">
        <f>"86456"</f>
        <v>86456</v>
      </c>
      <c r="D2281" t="s">
        <v>495</v>
      </c>
      <c r="E2281">
        <v>21.98</v>
      </c>
      <c r="F2281">
        <v>20131007</v>
      </c>
      <c r="G2281" t="s">
        <v>627</v>
      </c>
      <c r="H2281" t="s">
        <v>414</v>
      </c>
      <c r="I2281" t="s">
        <v>21</v>
      </c>
    </row>
    <row r="2282" spans="1:9" x14ac:dyDescent="0.25">
      <c r="A2282">
        <v>20131010</v>
      </c>
      <c r="B2282" t="str">
        <f>"111964"</f>
        <v>111964</v>
      </c>
      <c r="C2282" t="str">
        <f>"86456"</f>
        <v>86456</v>
      </c>
      <c r="D2282" t="s">
        <v>495</v>
      </c>
      <c r="E2282">
        <v>47.22</v>
      </c>
      <c r="F2282">
        <v>20131007</v>
      </c>
      <c r="G2282" t="s">
        <v>392</v>
      </c>
      <c r="H2282" t="s">
        <v>414</v>
      </c>
      <c r="I2282" t="s">
        <v>21</v>
      </c>
    </row>
    <row r="2283" spans="1:9" x14ac:dyDescent="0.25">
      <c r="A2283">
        <v>20131010</v>
      </c>
      <c r="B2283" t="str">
        <f>"111965"</f>
        <v>111965</v>
      </c>
      <c r="C2283" t="str">
        <f>"09600"</f>
        <v>09600</v>
      </c>
      <c r="D2283" t="s">
        <v>497</v>
      </c>
      <c r="E2283">
        <v>320.10000000000002</v>
      </c>
      <c r="F2283">
        <v>20131004</v>
      </c>
      <c r="G2283" t="s">
        <v>498</v>
      </c>
      <c r="H2283" t="s">
        <v>499</v>
      </c>
      <c r="I2283" t="s">
        <v>21</v>
      </c>
    </row>
    <row r="2284" spans="1:9" x14ac:dyDescent="0.25">
      <c r="A2284">
        <v>20131010</v>
      </c>
      <c r="B2284" t="str">
        <f>"111965"</f>
        <v>111965</v>
      </c>
      <c r="C2284" t="str">
        <f>"09600"</f>
        <v>09600</v>
      </c>
      <c r="D2284" t="s">
        <v>497</v>
      </c>
      <c r="E2284">
        <v>15.9</v>
      </c>
      <c r="F2284">
        <v>20131004</v>
      </c>
      <c r="G2284" t="s">
        <v>496</v>
      </c>
      <c r="H2284" t="s">
        <v>414</v>
      </c>
      <c r="I2284" t="s">
        <v>21</v>
      </c>
    </row>
    <row r="2285" spans="1:9" x14ac:dyDescent="0.25">
      <c r="A2285">
        <v>20131010</v>
      </c>
      <c r="B2285" t="str">
        <f>"111966"</f>
        <v>111966</v>
      </c>
      <c r="C2285" t="str">
        <f>"85312"</f>
        <v>85312</v>
      </c>
      <c r="D2285" t="s">
        <v>775</v>
      </c>
      <c r="E2285">
        <v>94.07</v>
      </c>
      <c r="F2285">
        <v>20131008</v>
      </c>
      <c r="G2285" t="s">
        <v>1003</v>
      </c>
      <c r="H2285" t="s">
        <v>765</v>
      </c>
      <c r="I2285" t="s">
        <v>61</v>
      </c>
    </row>
    <row r="2286" spans="1:9" x14ac:dyDescent="0.25">
      <c r="A2286">
        <v>20131010</v>
      </c>
      <c r="B2286" t="str">
        <f>"111967"</f>
        <v>111967</v>
      </c>
      <c r="C2286" t="str">
        <f>"85945"</f>
        <v>85945</v>
      </c>
      <c r="D2286" t="s">
        <v>1353</v>
      </c>
      <c r="E2286">
        <v>110</v>
      </c>
      <c r="F2286">
        <v>20131008</v>
      </c>
      <c r="G2286" t="s">
        <v>1093</v>
      </c>
      <c r="H2286" t="s">
        <v>765</v>
      </c>
      <c r="I2286" t="s">
        <v>61</v>
      </c>
    </row>
    <row r="2287" spans="1:9" x14ac:dyDescent="0.25">
      <c r="A2287">
        <v>20131010</v>
      </c>
      <c r="B2287" t="str">
        <f>"111968"</f>
        <v>111968</v>
      </c>
      <c r="C2287" t="str">
        <f>"87465"</f>
        <v>87465</v>
      </c>
      <c r="D2287" t="s">
        <v>500</v>
      </c>
      <c r="E2287">
        <v>60</v>
      </c>
      <c r="F2287">
        <v>20131008</v>
      </c>
      <c r="G2287" t="s">
        <v>469</v>
      </c>
      <c r="H2287" t="s">
        <v>501</v>
      </c>
      <c r="I2287" t="s">
        <v>21</v>
      </c>
    </row>
    <row r="2288" spans="1:9" x14ac:dyDescent="0.25">
      <c r="A2288">
        <v>20131010</v>
      </c>
      <c r="B2288" t="str">
        <f t="shared" ref="B2288:B2293" si="177">"111969"</f>
        <v>111969</v>
      </c>
      <c r="C2288" t="str">
        <f t="shared" ref="C2288:C2293" si="178">"11570"</f>
        <v>11570</v>
      </c>
      <c r="D2288" t="s">
        <v>1354</v>
      </c>
      <c r="E2288">
        <v>150</v>
      </c>
      <c r="F2288">
        <v>20131004</v>
      </c>
      <c r="G2288" t="s">
        <v>511</v>
      </c>
      <c r="H2288" t="s">
        <v>1355</v>
      </c>
      <c r="I2288" t="s">
        <v>21</v>
      </c>
    </row>
    <row r="2289" spans="1:9" x14ac:dyDescent="0.25">
      <c r="A2289">
        <v>20131010</v>
      </c>
      <c r="B2289" t="str">
        <f t="shared" si="177"/>
        <v>111969</v>
      </c>
      <c r="C2289" t="str">
        <f t="shared" si="178"/>
        <v>11570</v>
      </c>
      <c r="D2289" t="s">
        <v>1354</v>
      </c>
      <c r="E2289">
        <v>30</v>
      </c>
      <c r="F2289">
        <v>20131004</v>
      </c>
      <c r="G2289" t="s">
        <v>950</v>
      </c>
      <c r="H2289" t="s">
        <v>1355</v>
      </c>
      <c r="I2289" t="s">
        <v>21</v>
      </c>
    </row>
    <row r="2290" spans="1:9" x14ac:dyDescent="0.25">
      <c r="A2290">
        <v>20131010</v>
      </c>
      <c r="B2290" t="str">
        <f t="shared" si="177"/>
        <v>111969</v>
      </c>
      <c r="C2290" t="str">
        <f t="shared" si="178"/>
        <v>11570</v>
      </c>
      <c r="D2290" t="s">
        <v>1354</v>
      </c>
      <c r="E2290">
        <v>95</v>
      </c>
      <c r="F2290">
        <v>20131008</v>
      </c>
      <c r="G2290" t="s">
        <v>524</v>
      </c>
      <c r="H2290" t="s">
        <v>1355</v>
      </c>
      <c r="I2290" t="s">
        <v>21</v>
      </c>
    </row>
    <row r="2291" spans="1:9" x14ac:dyDescent="0.25">
      <c r="A2291">
        <v>20131010</v>
      </c>
      <c r="B2291" t="str">
        <f t="shared" si="177"/>
        <v>111969</v>
      </c>
      <c r="C2291" t="str">
        <f t="shared" si="178"/>
        <v>11570</v>
      </c>
      <c r="D2291" t="s">
        <v>1354</v>
      </c>
      <c r="E2291">
        <v>60</v>
      </c>
      <c r="F2291">
        <v>20131008</v>
      </c>
      <c r="G2291" t="s">
        <v>526</v>
      </c>
      <c r="H2291" t="s">
        <v>1355</v>
      </c>
      <c r="I2291" t="s">
        <v>21</v>
      </c>
    </row>
    <row r="2292" spans="1:9" x14ac:dyDescent="0.25">
      <c r="A2292">
        <v>20131010</v>
      </c>
      <c r="B2292" t="str">
        <f t="shared" si="177"/>
        <v>111969</v>
      </c>
      <c r="C2292" t="str">
        <f t="shared" si="178"/>
        <v>11570</v>
      </c>
      <c r="D2292" t="s">
        <v>1354</v>
      </c>
      <c r="E2292">
        <v>75</v>
      </c>
      <c r="F2292">
        <v>20131004</v>
      </c>
      <c r="G2292" t="s">
        <v>450</v>
      </c>
      <c r="H2292" t="s">
        <v>1355</v>
      </c>
      <c r="I2292" t="s">
        <v>21</v>
      </c>
    </row>
    <row r="2293" spans="1:9" x14ac:dyDescent="0.25">
      <c r="A2293">
        <v>20131010</v>
      </c>
      <c r="B2293" t="str">
        <f t="shared" si="177"/>
        <v>111969</v>
      </c>
      <c r="C2293" t="str">
        <f t="shared" si="178"/>
        <v>11570</v>
      </c>
      <c r="D2293" t="s">
        <v>1354</v>
      </c>
      <c r="E2293">
        <v>95</v>
      </c>
      <c r="F2293">
        <v>20131004</v>
      </c>
      <c r="G2293" t="s">
        <v>450</v>
      </c>
      <c r="H2293" t="s">
        <v>1355</v>
      </c>
      <c r="I2293" t="s">
        <v>21</v>
      </c>
    </row>
    <row r="2294" spans="1:9" x14ac:dyDescent="0.25">
      <c r="A2294">
        <v>20131010</v>
      </c>
      <c r="B2294" t="str">
        <f>"111970"</f>
        <v>111970</v>
      </c>
      <c r="C2294" t="str">
        <f>"11575"</f>
        <v>11575</v>
      </c>
      <c r="D2294" t="s">
        <v>1356</v>
      </c>
      <c r="E2294">
        <v>6</v>
      </c>
      <c r="F2294">
        <v>20131008</v>
      </c>
      <c r="G2294" t="s">
        <v>340</v>
      </c>
      <c r="H2294" t="s">
        <v>707</v>
      </c>
      <c r="I2294" t="s">
        <v>21</v>
      </c>
    </row>
    <row r="2295" spans="1:9" x14ac:dyDescent="0.25">
      <c r="A2295">
        <v>20131010</v>
      </c>
      <c r="B2295" t="str">
        <f>"111971"</f>
        <v>111971</v>
      </c>
      <c r="C2295" t="str">
        <f>"81301"</f>
        <v>81301</v>
      </c>
      <c r="D2295" t="s">
        <v>779</v>
      </c>
      <c r="E2295">
        <v>33.479999999999997</v>
      </c>
      <c r="F2295">
        <v>20131007</v>
      </c>
      <c r="G2295" t="s">
        <v>892</v>
      </c>
      <c r="H2295" t="s">
        <v>563</v>
      </c>
      <c r="I2295" t="s">
        <v>79</v>
      </c>
    </row>
    <row r="2296" spans="1:9" x14ac:dyDescent="0.25">
      <c r="A2296">
        <v>20131010</v>
      </c>
      <c r="B2296" t="str">
        <f>"111972"</f>
        <v>111972</v>
      </c>
      <c r="C2296" t="str">
        <f>"82560"</f>
        <v>82560</v>
      </c>
      <c r="D2296" t="s">
        <v>403</v>
      </c>
      <c r="E2296" s="1">
        <v>4085</v>
      </c>
      <c r="F2296">
        <v>20131009</v>
      </c>
      <c r="G2296" t="s">
        <v>404</v>
      </c>
      <c r="H2296" t="s">
        <v>405</v>
      </c>
      <c r="I2296" t="s">
        <v>12</v>
      </c>
    </row>
    <row r="2297" spans="1:9" x14ac:dyDescent="0.25">
      <c r="A2297">
        <v>20131010</v>
      </c>
      <c r="B2297" t="str">
        <f>"111973"</f>
        <v>111973</v>
      </c>
      <c r="C2297" t="str">
        <f>"11851"</f>
        <v>11851</v>
      </c>
      <c r="D2297" t="s">
        <v>342</v>
      </c>
      <c r="E2297">
        <v>40</v>
      </c>
      <c r="F2297">
        <v>20131008</v>
      </c>
      <c r="G2297" t="s">
        <v>181</v>
      </c>
      <c r="H2297" t="s">
        <v>783</v>
      </c>
      <c r="I2297" t="s">
        <v>38</v>
      </c>
    </row>
    <row r="2298" spans="1:9" x14ac:dyDescent="0.25">
      <c r="A2298">
        <v>20131010</v>
      </c>
      <c r="B2298" t="str">
        <f>"111973"</f>
        <v>111973</v>
      </c>
      <c r="C2298" t="str">
        <f>"11851"</f>
        <v>11851</v>
      </c>
      <c r="D2298" t="s">
        <v>342</v>
      </c>
      <c r="E2298">
        <v>40</v>
      </c>
      <c r="F2298">
        <v>20131008</v>
      </c>
      <c r="G2298" t="s">
        <v>181</v>
      </c>
      <c r="H2298" t="s">
        <v>783</v>
      </c>
      <c r="I2298" t="s">
        <v>38</v>
      </c>
    </row>
    <row r="2299" spans="1:9" x14ac:dyDescent="0.25">
      <c r="A2299">
        <v>20131010</v>
      </c>
      <c r="B2299" t="str">
        <f>"111973"</f>
        <v>111973</v>
      </c>
      <c r="C2299" t="str">
        <f>"11851"</f>
        <v>11851</v>
      </c>
      <c r="D2299" t="s">
        <v>342</v>
      </c>
      <c r="E2299">
        <v>40</v>
      </c>
      <c r="F2299">
        <v>20131008</v>
      </c>
      <c r="G2299" t="s">
        <v>181</v>
      </c>
      <c r="H2299" t="s">
        <v>783</v>
      </c>
      <c r="I2299" t="s">
        <v>38</v>
      </c>
    </row>
    <row r="2300" spans="1:9" x14ac:dyDescent="0.25">
      <c r="A2300">
        <v>20131010</v>
      </c>
      <c r="B2300" t="str">
        <f>"111973"</f>
        <v>111973</v>
      </c>
      <c r="C2300" t="str">
        <f>"11851"</f>
        <v>11851</v>
      </c>
      <c r="D2300" t="s">
        <v>342</v>
      </c>
      <c r="E2300">
        <v>65</v>
      </c>
      <c r="F2300">
        <v>20131009</v>
      </c>
      <c r="G2300" t="s">
        <v>191</v>
      </c>
      <c r="H2300" t="s">
        <v>1357</v>
      </c>
      <c r="I2300" t="s">
        <v>25</v>
      </c>
    </row>
    <row r="2301" spans="1:9" x14ac:dyDescent="0.25">
      <c r="A2301">
        <v>20131010</v>
      </c>
      <c r="B2301" t="str">
        <f>"111974"</f>
        <v>111974</v>
      </c>
      <c r="C2301" t="str">
        <f>"11805"</f>
        <v>11805</v>
      </c>
      <c r="D2301" t="s">
        <v>1358</v>
      </c>
      <c r="E2301" s="1">
        <v>5773.97</v>
      </c>
      <c r="F2301">
        <v>20131009</v>
      </c>
      <c r="G2301" t="s">
        <v>404</v>
      </c>
      <c r="H2301" t="s">
        <v>133</v>
      </c>
      <c r="I2301" t="s">
        <v>12</v>
      </c>
    </row>
    <row r="2302" spans="1:9" x14ac:dyDescent="0.25">
      <c r="A2302">
        <v>20131010</v>
      </c>
      <c r="B2302" t="str">
        <f>"111975"</f>
        <v>111975</v>
      </c>
      <c r="C2302" t="str">
        <f>"86528"</f>
        <v>86528</v>
      </c>
      <c r="D2302" t="s">
        <v>785</v>
      </c>
      <c r="E2302">
        <v>102.88</v>
      </c>
      <c r="F2302">
        <v>20131007</v>
      </c>
      <c r="G2302" t="s">
        <v>774</v>
      </c>
      <c r="H2302" t="s">
        <v>765</v>
      </c>
      <c r="I2302" t="s">
        <v>61</v>
      </c>
    </row>
    <row r="2303" spans="1:9" x14ac:dyDescent="0.25">
      <c r="A2303">
        <v>20131010</v>
      </c>
      <c r="B2303" t="str">
        <f>"111975"</f>
        <v>111975</v>
      </c>
      <c r="C2303" t="str">
        <f>"86528"</f>
        <v>86528</v>
      </c>
      <c r="D2303" t="s">
        <v>785</v>
      </c>
      <c r="E2303">
        <v>77.88</v>
      </c>
      <c r="F2303">
        <v>20131008</v>
      </c>
      <c r="G2303" t="s">
        <v>1003</v>
      </c>
      <c r="H2303" t="s">
        <v>765</v>
      </c>
      <c r="I2303" t="s">
        <v>61</v>
      </c>
    </row>
    <row r="2304" spans="1:9" x14ac:dyDescent="0.25">
      <c r="A2304">
        <v>20131010</v>
      </c>
      <c r="B2304" t="str">
        <f>"111976"</f>
        <v>111976</v>
      </c>
      <c r="C2304" t="str">
        <f>"12140"</f>
        <v>12140</v>
      </c>
      <c r="D2304" t="s">
        <v>406</v>
      </c>
      <c r="E2304" s="1">
        <v>46554.9</v>
      </c>
      <c r="F2304">
        <v>20131009</v>
      </c>
      <c r="G2304" t="s">
        <v>404</v>
      </c>
      <c r="H2304" t="s">
        <v>408</v>
      </c>
      <c r="I2304" t="s">
        <v>12</v>
      </c>
    </row>
    <row r="2305" spans="1:9" x14ac:dyDescent="0.25">
      <c r="A2305">
        <v>20131010</v>
      </c>
      <c r="B2305" t="str">
        <f>"111977"</f>
        <v>111977</v>
      </c>
      <c r="C2305" t="str">
        <f>"87228"</f>
        <v>87228</v>
      </c>
      <c r="D2305" t="s">
        <v>792</v>
      </c>
      <c r="E2305">
        <v>120</v>
      </c>
      <c r="F2305">
        <v>20131007</v>
      </c>
      <c r="G2305" t="s">
        <v>793</v>
      </c>
      <c r="H2305" t="s">
        <v>357</v>
      </c>
      <c r="I2305" t="s">
        <v>21</v>
      </c>
    </row>
    <row r="2306" spans="1:9" x14ac:dyDescent="0.25">
      <c r="A2306">
        <v>20131010</v>
      </c>
      <c r="B2306" t="str">
        <f>"111977"</f>
        <v>111977</v>
      </c>
      <c r="C2306" t="str">
        <f>"87228"</f>
        <v>87228</v>
      </c>
      <c r="D2306" t="s">
        <v>792</v>
      </c>
      <c r="E2306">
        <v>155</v>
      </c>
      <c r="F2306">
        <v>20131007</v>
      </c>
      <c r="G2306" t="s">
        <v>1359</v>
      </c>
      <c r="H2306" t="s">
        <v>1360</v>
      </c>
      <c r="I2306" t="s">
        <v>21</v>
      </c>
    </row>
    <row r="2307" spans="1:9" x14ac:dyDescent="0.25">
      <c r="A2307">
        <v>20131010</v>
      </c>
      <c r="B2307" t="str">
        <f>"111978"</f>
        <v>111978</v>
      </c>
      <c r="C2307" t="str">
        <f>"87264"</f>
        <v>87264</v>
      </c>
      <c r="D2307" t="s">
        <v>1361</v>
      </c>
      <c r="E2307">
        <v>100</v>
      </c>
      <c r="F2307">
        <v>20131008</v>
      </c>
      <c r="G2307" t="s">
        <v>1362</v>
      </c>
      <c r="H2307" t="s">
        <v>1363</v>
      </c>
      <c r="I2307" t="s">
        <v>21</v>
      </c>
    </row>
    <row r="2308" spans="1:9" x14ac:dyDescent="0.25">
      <c r="A2308">
        <v>20131010</v>
      </c>
      <c r="B2308" t="str">
        <f>"111979"</f>
        <v>111979</v>
      </c>
      <c r="C2308" t="str">
        <f>"83114"</f>
        <v>83114</v>
      </c>
      <c r="D2308" t="s">
        <v>1364</v>
      </c>
      <c r="E2308" s="1">
        <v>2251.21</v>
      </c>
      <c r="F2308">
        <v>20131004</v>
      </c>
      <c r="G2308" t="s">
        <v>902</v>
      </c>
      <c r="H2308" t="s">
        <v>1365</v>
      </c>
      <c r="I2308" t="s">
        <v>21</v>
      </c>
    </row>
    <row r="2309" spans="1:9" x14ac:dyDescent="0.25">
      <c r="A2309">
        <v>20131010</v>
      </c>
      <c r="B2309" t="str">
        <f>"111980"</f>
        <v>111980</v>
      </c>
      <c r="C2309" t="str">
        <f>"84466"</f>
        <v>84466</v>
      </c>
      <c r="D2309" t="s">
        <v>1366</v>
      </c>
      <c r="E2309">
        <v>105.47</v>
      </c>
      <c r="F2309">
        <v>20131007</v>
      </c>
      <c r="G2309" t="s">
        <v>830</v>
      </c>
      <c r="H2309" t="s">
        <v>354</v>
      </c>
      <c r="I2309" t="s">
        <v>21</v>
      </c>
    </row>
    <row r="2310" spans="1:9" x14ac:dyDescent="0.25">
      <c r="A2310">
        <v>20131010</v>
      </c>
      <c r="B2310" t="str">
        <f>"111981"</f>
        <v>111981</v>
      </c>
      <c r="C2310" t="str">
        <f>"10075"</f>
        <v>10075</v>
      </c>
      <c r="D2310" t="s">
        <v>1199</v>
      </c>
      <c r="E2310">
        <v>190.87</v>
      </c>
      <c r="F2310">
        <v>20131009</v>
      </c>
      <c r="G2310" t="s">
        <v>579</v>
      </c>
      <c r="H2310" t="s">
        <v>1367</v>
      </c>
      <c r="I2310" t="s">
        <v>21</v>
      </c>
    </row>
    <row r="2311" spans="1:9" x14ac:dyDescent="0.25">
      <c r="A2311">
        <v>20131010</v>
      </c>
      <c r="B2311" t="str">
        <f>"111982"</f>
        <v>111982</v>
      </c>
      <c r="C2311" t="str">
        <f>"15897"</f>
        <v>15897</v>
      </c>
      <c r="D2311" t="s">
        <v>1012</v>
      </c>
      <c r="E2311">
        <v>25.98</v>
      </c>
      <c r="F2311">
        <v>20131009</v>
      </c>
      <c r="G2311" t="s">
        <v>1013</v>
      </c>
      <c r="H2311" t="s">
        <v>354</v>
      </c>
      <c r="I2311" t="s">
        <v>38</v>
      </c>
    </row>
    <row r="2312" spans="1:9" x14ac:dyDescent="0.25">
      <c r="A2312">
        <v>20131010</v>
      </c>
      <c r="B2312" t="str">
        <f>"111983"</f>
        <v>111983</v>
      </c>
      <c r="C2312" t="str">
        <f>"86576"</f>
        <v>86576</v>
      </c>
      <c r="D2312" t="s">
        <v>409</v>
      </c>
      <c r="E2312">
        <v>23.85</v>
      </c>
      <c r="F2312">
        <v>20131009</v>
      </c>
      <c r="G2312" t="s">
        <v>410</v>
      </c>
      <c r="H2312" t="s">
        <v>411</v>
      </c>
      <c r="I2312" t="s">
        <v>12</v>
      </c>
    </row>
    <row r="2313" spans="1:9" x14ac:dyDescent="0.25">
      <c r="A2313">
        <v>20131010</v>
      </c>
      <c r="B2313" t="str">
        <f>"111984"</f>
        <v>111984</v>
      </c>
      <c r="C2313" t="str">
        <f>"85796"</f>
        <v>85796</v>
      </c>
      <c r="D2313" t="s">
        <v>796</v>
      </c>
      <c r="E2313">
        <v>125.55</v>
      </c>
      <c r="F2313">
        <v>20131008</v>
      </c>
      <c r="G2313" t="s">
        <v>890</v>
      </c>
      <c r="H2313" t="s">
        <v>365</v>
      </c>
      <c r="I2313" t="s">
        <v>21</v>
      </c>
    </row>
    <row r="2314" spans="1:9" x14ac:dyDescent="0.25">
      <c r="A2314">
        <v>20131010</v>
      </c>
      <c r="B2314" t="str">
        <f>"111985"</f>
        <v>111985</v>
      </c>
      <c r="C2314" t="str">
        <f>"16988"</f>
        <v>16988</v>
      </c>
      <c r="D2314" t="s">
        <v>510</v>
      </c>
      <c r="E2314">
        <v>467.84</v>
      </c>
      <c r="F2314">
        <v>20131004</v>
      </c>
      <c r="G2314" t="s">
        <v>498</v>
      </c>
      <c r="H2314" t="s">
        <v>414</v>
      </c>
      <c r="I2314" t="s">
        <v>21</v>
      </c>
    </row>
    <row r="2315" spans="1:9" x14ac:dyDescent="0.25">
      <c r="A2315">
        <v>20131010</v>
      </c>
      <c r="B2315" t="str">
        <f>"111985"</f>
        <v>111985</v>
      </c>
      <c r="C2315" t="str">
        <f>"16988"</f>
        <v>16988</v>
      </c>
      <c r="D2315" t="s">
        <v>510</v>
      </c>
      <c r="E2315">
        <v>725</v>
      </c>
      <c r="F2315">
        <v>20131004</v>
      </c>
      <c r="G2315" t="s">
        <v>511</v>
      </c>
      <c r="H2315" t="s">
        <v>1368</v>
      </c>
      <c r="I2315" t="s">
        <v>21</v>
      </c>
    </row>
    <row r="2316" spans="1:9" x14ac:dyDescent="0.25">
      <c r="A2316">
        <v>20131010</v>
      </c>
      <c r="B2316" t="str">
        <f>"111985"</f>
        <v>111985</v>
      </c>
      <c r="C2316" t="str">
        <f>"16988"</f>
        <v>16988</v>
      </c>
      <c r="D2316" t="s">
        <v>510</v>
      </c>
      <c r="E2316">
        <v>927.82</v>
      </c>
      <c r="F2316">
        <v>20131007</v>
      </c>
      <c r="G2316" t="s">
        <v>511</v>
      </c>
      <c r="H2316" t="s">
        <v>512</v>
      </c>
      <c r="I2316" t="s">
        <v>21</v>
      </c>
    </row>
    <row r="2317" spans="1:9" x14ac:dyDescent="0.25">
      <c r="A2317">
        <v>20131010</v>
      </c>
      <c r="B2317" t="str">
        <f>"111985"</f>
        <v>111985</v>
      </c>
      <c r="C2317" t="str">
        <f>"16988"</f>
        <v>16988</v>
      </c>
      <c r="D2317" t="s">
        <v>510</v>
      </c>
      <c r="E2317">
        <v>380.52</v>
      </c>
      <c r="F2317">
        <v>20131004</v>
      </c>
      <c r="G2317" t="s">
        <v>413</v>
      </c>
      <c r="H2317" t="s">
        <v>414</v>
      </c>
      <c r="I2317" t="s">
        <v>21</v>
      </c>
    </row>
    <row r="2318" spans="1:9" x14ac:dyDescent="0.25">
      <c r="A2318">
        <v>20131010</v>
      </c>
      <c r="B2318" t="str">
        <f>"111986"</f>
        <v>111986</v>
      </c>
      <c r="C2318" t="str">
        <f>"00444"</f>
        <v>00444</v>
      </c>
      <c r="D2318" t="s">
        <v>1369</v>
      </c>
      <c r="E2318" s="1">
        <v>1040</v>
      </c>
      <c r="F2318">
        <v>20131003</v>
      </c>
      <c r="G2318" t="s">
        <v>1263</v>
      </c>
      <c r="H2318" t="s">
        <v>1370</v>
      </c>
      <c r="I2318" t="s">
        <v>21</v>
      </c>
    </row>
    <row r="2319" spans="1:9" x14ac:dyDescent="0.25">
      <c r="A2319">
        <v>20131010</v>
      </c>
      <c r="B2319" t="str">
        <f>"111986"</f>
        <v>111986</v>
      </c>
      <c r="C2319" t="str">
        <f>"00444"</f>
        <v>00444</v>
      </c>
      <c r="D2319" t="s">
        <v>1369</v>
      </c>
      <c r="E2319">
        <v>260</v>
      </c>
      <c r="F2319">
        <v>20131003</v>
      </c>
      <c r="G2319" t="s">
        <v>1371</v>
      </c>
      <c r="H2319" t="s">
        <v>1054</v>
      </c>
      <c r="I2319" t="s">
        <v>66</v>
      </c>
    </row>
    <row r="2320" spans="1:9" x14ac:dyDescent="0.25">
      <c r="A2320">
        <v>20131010</v>
      </c>
      <c r="B2320" t="str">
        <f t="shared" ref="B2320:B2335" si="179">"111987"</f>
        <v>111987</v>
      </c>
      <c r="C2320" t="str">
        <f t="shared" ref="C2320:C2335" si="180">"16998"</f>
        <v>16998</v>
      </c>
      <c r="D2320" t="s">
        <v>1372</v>
      </c>
      <c r="E2320" s="1">
        <v>2995</v>
      </c>
      <c r="F2320">
        <v>20131004</v>
      </c>
      <c r="G2320" t="s">
        <v>511</v>
      </c>
      <c r="H2320" t="s">
        <v>1373</v>
      </c>
      <c r="I2320" t="s">
        <v>21</v>
      </c>
    </row>
    <row r="2321" spans="1:9" x14ac:dyDescent="0.25">
      <c r="A2321">
        <v>20131010</v>
      </c>
      <c r="B2321" t="str">
        <f t="shared" si="179"/>
        <v>111987</v>
      </c>
      <c r="C2321" t="str">
        <f t="shared" si="180"/>
        <v>16998</v>
      </c>
      <c r="D2321" t="s">
        <v>1372</v>
      </c>
      <c r="E2321" s="1">
        <v>2500</v>
      </c>
      <c r="F2321">
        <v>20131004</v>
      </c>
      <c r="G2321" t="s">
        <v>621</v>
      </c>
      <c r="H2321" t="s">
        <v>1374</v>
      </c>
      <c r="I2321" t="s">
        <v>21</v>
      </c>
    </row>
    <row r="2322" spans="1:9" x14ac:dyDescent="0.25">
      <c r="A2322">
        <v>20131010</v>
      </c>
      <c r="B2322" t="str">
        <f t="shared" si="179"/>
        <v>111987</v>
      </c>
      <c r="C2322" t="str">
        <f t="shared" si="180"/>
        <v>16998</v>
      </c>
      <c r="D2322" t="s">
        <v>1372</v>
      </c>
      <c r="E2322" s="1">
        <v>1523.6</v>
      </c>
      <c r="F2322">
        <v>20131004</v>
      </c>
      <c r="G2322" t="s">
        <v>621</v>
      </c>
      <c r="H2322" t="s">
        <v>1375</v>
      </c>
      <c r="I2322" t="s">
        <v>21</v>
      </c>
    </row>
    <row r="2323" spans="1:9" x14ac:dyDescent="0.25">
      <c r="A2323">
        <v>20131010</v>
      </c>
      <c r="B2323" t="str">
        <f t="shared" si="179"/>
        <v>111987</v>
      </c>
      <c r="C2323" t="str">
        <f t="shared" si="180"/>
        <v>16998</v>
      </c>
      <c r="D2323" t="s">
        <v>1372</v>
      </c>
      <c r="E2323" s="1">
        <v>3601.75</v>
      </c>
      <c r="F2323">
        <v>20131004</v>
      </c>
      <c r="G2323" t="s">
        <v>621</v>
      </c>
      <c r="H2323" t="s">
        <v>1376</v>
      </c>
      <c r="I2323" t="s">
        <v>21</v>
      </c>
    </row>
    <row r="2324" spans="1:9" x14ac:dyDescent="0.25">
      <c r="A2324">
        <v>20131010</v>
      </c>
      <c r="B2324" t="str">
        <f t="shared" si="179"/>
        <v>111987</v>
      </c>
      <c r="C2324" t="str">
        <f t="shared" si="180"/>
        <v>16998</v>
      </c>
      <c r="D2324" t="s">
        <v>1372</v>
      </c>
      <c r="E2324">
        <v>339.95</v>
      </c>
      <c r="F2324">
        <v>20131007</v>
      </c>
      <c r="G2324" t="s">
        <v>621</v>
      </c>
      <c r="H2324" t="s">
        <v>1375</v>
      </c>
      <c r="I2324" t="s">
        <v>21</v>
      </c>
    </row>
    <row r="2325" spans="1:9" x14ac:dyDescent="0.25">
      <c r="A2325">
        <v>20131010</v>
      </c>
      <c r="B2325" t="str">
        <f t="shared" si="179"/>
        <v>111987</v>
      </c>
      <c r="C2325" t="str">
        <f t="shared" si="180"/>
        <v>16998</v>
      </c>
      <c r="D2325" t="s">
        <v>1372</v>
      </c>
      <c r="E2325" s="1">
        <v>1267.4000000000001</v>
      </c>
      <c r="F2325">
        <v>20131004</v>
      </c>
      <c r="G2325" t="s">
        <v>1270</v>
      </c>
      <c r="H2325" t="s">
        <v>1377</v>
      </c>
      <c r="I2325" t="s">
        <v>21</v>
      </c>
    </row>
    <row r="2326" spans="1:9" x14ac:dyDescent="0.25">
      <c r="A2326">
        <v>20131010</v>
      </c>
      <c r="B2326" t="str">
        <f t="shared" si="179"/>
        <v>111987</v>
      </c>
      <c r="C2326" t="str">
        <f t="shared" si="180"/>
        <v>16998</v>
      </c>
      <c r="D2326" t="s">
        <v>1372</v>
      </c>
      <c r="E2326" s="1">
        <v>1940.28</v>
      </c>
      <c r="F2326">
        <v>20131004</v>
      </c>
      <c r="G2326" t="s">
        <v>1270</v>
      </c>
      <c r="H2326" t="s">
        <v>1375</v>
      </c>
      <c r="I2326" t="s">
        <v>21</v>
      </c>
    </row>
    <row r="2327" spans="1:9" x14ac:dyDescent="0.25">
      <c r="A2327">
        <v>20131010</v>
      </c>
      <c r="B2327" t="str">
        <f t="shared" si="179"/>
        <v>111987</v>
      </c>
      <c r="C2327" t="str">
        <f t="shared" si="180"/>
        <v>16998</v>
      </c>
      <c r="D2327" t="s">
        <v>1372</v>
      </c>
      <c r="E2327">
        <v>103.5</v>
      </c>
      <c r="F2327">
        <v>20131004</v>
      </c>
      <c r="G2327" t="s">
        <v>624</v>
      </c>
      <c r="H2327" t="s">
        <v>1375</v>
      </c>
      <c r="I2327" t="s">
        <v>21</v>
      </c>
    </row>
    <row r="2328" spans="1:9" x14ac:dyDescent="0.25">
      <c r="A2328">
        <v>20131010</v>
      </c>
      <c r="B2328" t="str">
        <f t="shared" si="179"/>
        <v>111987</v>
      </c>
      <c r="C2328" t="str">
        <f t="shared" si="180"/>
        <v>16998</v>
      </c>
      <c r="D2328" t="s">
        <v>1372</v>
      </c>
      <c r="E2328" s="1">
        <v>1029.45</v>
      </c>
      <c r="F2328">
        <v>20131004</v>
      </c>
      <c r="G2328" t="s">
        <v>524</v>
      </c>
      <c r="H2328" t="s">
        <v>1375</v>
      </c>
      <c r="I2328" t="s">
        <v>21</v>
      </c>
    </row>
    <row r="2329" spans="1:9" x14ac:dyDescent="0.25">
      <c r="A2329">
        <v>20131010</v>
      </c>
      <c r="B2329" t="str">
        <f t="shared" si="179"/>
        <v>111987</v>
      </c>
      <c r="C2329" t="str">
        <f t="shared" si="180"/>
        <v>16998</v>
      </c>
      <c r="D2329" t="s">
        <v>1372</v>
      </c>
      <c r="E2329">
        <v>207</v>
      </c>
      <c r="F2329">
        <v>20131004</v>
      </c>
      <c r="G2329" t="s">
        <v>450</v>
      </c>
      <c r="H2329" t="s">
        <v>1375</v>
      </c>
      <c r="I2329" t="s">
        <v>21</v>
      </c>
    </row>
    <row r="2330" spans="1:9" x14ac:dyDescent="0.25">
      <c r="A2330">
        <v>20131010</v>
      </c>
      <c r="B2330" t="str">
        <f t="shared" si="179"/>
        <v>111987</v>
      </c>
      <c r="C2330" t="str">
        <f t="shared" si="180"/>
        <v>16998</v>
      </c>
      <c r="D2330" t="s">
        <v>1372</v>
      </c>
      <c r="E2330" s="1">
        <v>1114.8599999999999</v>
      </c>
      <c r="F2330">
        <v>20131004</v>
      </c>
      <c r="G2330" t="s">
        <v>1271</v>
      </c>
      <c r="H2330" t="s">
        <v>1378</v>
      </c>
      <c r="I2330" t="s">
        <v>21</v>
      </c>
    </row>
    <row r="2331" spans="1:9" x14ac:dyDescent="0.25">
      <c r="A2331">
        <v>20131010</v>
      </c>
      <c r="B2331" t="str">
        <f t="shared" si="179"/>
        <v>111987</v>
      </c>
      <c r="C2331" t="str">
        <f t="shared" si="180"/>
        <v>16998</v>
      </c>
      <c r="D2331" t="s">
        <v>1372</v>
      </c>
      <c r="E2331" s="1">
        <v>1356.45</v>
      </c>
      <c r="F2331">
        <v>20131004</v>
      </c>
      <c r="G2331" t="s">
        <v>1271</v>
      </c>
      <c r="H2331" t="s">
        <v>656</v>
      </c>
      <c r="I2331" t="s">
        <v>21</v>
      </c>
    </row>
    <row r="2332" spans="1:9" x14ac:dyDescent="0.25">
      <c r="A2332">
        <v>20131010</v>
      </c>
      <c r="B2332" t="str">
        <f t="shared" si="179"/>
        <v>111987</v>
      </c>
      <c r="C2332" t="str">
        <f t="shared" si="180"/>
        <v>16998</v>
      </c>
      <c r="D2332" t="s">
        <v>1372</v>
      </c>
      <c r="E2332" s="1">
        <v>14995</v>
      </c>
      <c r="F2332">
        <v>20131004</v>
      </c>
      <c r="G2332" t="s">
        <v>1271</v>
      </c>
      <c r="H2332" t="s">
        <v>1379</v>
      </c>
      <c r="I2332" t="s">
        <v>21</v>
      </c>
    </row>
    <row r="2333" spans="1:9" x14ac:dyDescent="0.25">
      <c r="A2333">
        <v>20131010</v>
      </c>
      <c r="B2333" t="str">
        <f t="shared" si="179"/>
        <v>111987</v>
      </c>
      <c r="C2333" t="str">
        <f t="shared" si="180"/>
        <v>16998</v>
      </c>
      <c r="D2333" t="s">
        <v>1372</v>
      </c>
      <c r="E2333" s="1">
        <v>1500</v>
      </c>
      <c r="F2333">
        <v>20131004</v>
      </c>
      <c r="G2333" t="s">
        <v>1380</v>
      </c>
      <c r="H2333" t="s">
        <v>1381</v>
      </c>
      <c r="I2333" t="s">
        <v>21</v>
      </c>
    </row>
    <row r="2334" spans="1:9" x14ac:dyDescent="0.25">
      <c r="A2334">
        <v>20131010</v>
      </c>
      <c r="B2334" t="str">
        <f t="shared" si="179"/>
        <v>111987</v>
      </c>
      <c r="C2334" t="str">
        <f t="shared" si="180"/>
        <v>16998</v>
      </c>
      <c r="D2334" t="s">
        <v>1372</v>
      </c>
      <c r="E2334">
        <v>313.39999999999998</v>
      </c>
      <c r="F2334">
        <v>20131004</v>
      </c>
      <c r="G2334" t="s">
        <v>1380</v>
      </c>
      <c r="H2334" t="s">
        <v>1375</v>
      </c>
      <c r="I2334" t="s">
        <v>21</v>
      </c>
    </row>
    <row r="2335" spans="1:9" x14ac:dyDescent="0.25">
      <c r="A2335">
        <v>20131010</v>
      </c>
      <c r="B2335" t="str">
        <f t="shared" si="179"/>
        <v>111987</v>
      </c>
      <c r="C2335" t="str">
        <f t="shared" si="180"/>
        <v>16998</v>
      </c>
      <c r="D2335" t="s">
        <v>1372</v>
      </c>
      <c r="E2335">
        <v>409.65</v>
      </c>
      <c r="F2335">
        <v>20131004</v>
      </c>
      <c r="G2335" t="s">
        <v>417</v>
      </c>
      <c r="H2335" t="s">
        <v>414</v>
      </c>
      <c r="I2335" t="s">
        <v>21</v>
      </c>
    </row>
    <row r="2336" spans="1:9" x14ac:dyDescent="0.25">
      <c r="A2336">
        <v>20131010</v>
      </c>
      <c r="B2336" t="str">
        <f>"111988"</f>
        <v>111988</v>
      </c>
      <c r="C2336" t="str">
        <f>"85203"</f>
        <v>85203</v>
      </c>
      <c r="D2336" t="s">
        <v>1210</v>
      </c>
      <c r="E2336">
        <v>720</v>
      </c>
      <c r="F2336">
        <v>20131008</v>
      </c>
      <c r="G2336" t="s">
        <v>356</v>
      </c>
      <c r="H2336" t="s">
        <v>357</v>
      </c>
      <c r="I2336" t="s">
        <v>61</v>
      </c>
    </row>
    <row r="2337" spans="1:9" x14ac:dyDescent="0.25">
      <c r="A2337">
        <v>20131010</v>
      </c>
      <c r="B2337" t="str">
        <f>"111989"</f>
        <v>111989</v>
      </c>
      <c r="C2337" t="str">
        <f>"87549"</f>
        <v>87549</v>
      </c>
      <c r="D2337" t="s">
        <v>1382</v>
      </c>
      <c r="E2337">
        <v>49.99</v>
      </c>
      <c r="F2337">
        <v>20131008</v>
      </c>
      <c r="G2337" t="s">
        <v>99</v>
      </c>
      <c r="H2337" t="s">
        <v>1383</v>
      </c>
      <c r="I2337" t="s">
        <v>21</v>
      </c>
    </row>
    <row r="2338" spans="1:9" x14ac:dyDescent="0.25">
      <c r="A2338">
        <v>20131010</v>
      </c>
      <c r="B2338" t="str">
        <f t="shared" ref="B2338:B2349" si="181">"111990"</f>
        <v>111990</v>
      </c>
      <c r="C2338" t="str">
        <f t="shared" ref="C2338:C2349" si="182">"18200"</f>
        <v>18200</v>
      </c>
      <c r="D2338" t="s">
        <v>516</v>
      </c>
      <c r="E2338">
        <v>221.22</v>
      </c>
      <c r="F2338">
        <v>20131007</v>
      </c>
      <c r="G2338" t="s">
        <v>453</v>
      </c>
      <c r="H2338" t="s">
        <v>488</v>
      </c>
      <c r="I2338" t="s">
        <v>21</v>
      </c>
    </row>
    <row r="2339" spans="1:9" x14ac:dyDescent="0.25">
      <c r="A2339">
        <v>20131010</v>
      </c>
      <c r="B2339" t="str">
        <f t="shared" si="181"/>
        <v>111990</v>
      </c>
      <c r="C2339" t="str">
        <f t="shared" si="182"/>
        <v>18200</v>
      </c>
      <c r="D2339" t="s">
        <v>516</v>
      </c>
      <c r="E2339">
        <v>315.60000000000002</v>
      </c>
      <c r="F2339">
        <v>20131007</v>
      </c>
      <c r="G2339" t="s">
        <v>455</v>
      </c>
      <c r="H2339" t="s">
        <v>488</v>
      </c>
      <c r="I2339" t="s">
        <v>21</v>
      </c>
    </row>
    <row r="2340" spans="1:9" x14ac:dyDescent="0.25">
      <c r="A2340">
        <v>20131010</v>
      </c>
      <c r="B2340" t="str">
        <f t="shared" si="181"/>
        <v>111990</v>
      </c>
      <c r="C2340" t="str">
        <f t="shared" si="182"/>
        <v>18200</v>
      </c>
      <c r="D2340" t="s">
        <v>516</v>
      </c>
      <c r="E2340">
        <v>95.52</v>
      </c>
      <c r="F2340">
        <v>20131007</v>
      </c>
      <c r="G2340" t="s">
        <v>455</v>
      </c>
      <c r="H2340" t="s">
        <v>488</v>
      </c>
      <c r="I2340" t="s">
        <v>21</v>
      </c>
    </row>
    <row r="2341" spans="1:9" x14ac:dyDescent="0.25">
      <c r="A2341">
        <v>20131010</v>
      </c>
      <c r="B2341" t="str">
        <f t="shared" si="181"/>
        <v>111990</v>
      </c>
      <c r="C2341" t="str">
        <f t="shared" si="182"/>
        <v>18200</v>
      </c>
      <c r="D2341" t="s">
        <v>516</v>
      </c>
      <c r="E2341" s="1">
        <v>1759.4</v>
      </c>
      <c r="F2341">
        <v>20131007</v>
      </c>
      <c r="G2341" t="s">
        <v>455</v>
      </c>
      <c r="H2341" t="s">
        <v>488</v>
      </c>
      <c r="I2341" t="s">
        <v>21</v>
      </c>
    </row>
    <row r="2342" spans="1:9" x14ac:dyDescent="0.25">
      <c r="A2342">
        <v>20131010</v>
      </c>
      <c r="B2342" t="str">
        <f t="shared" si="181"/>
        <v>111990</v>
      </c>
      <c r="C2342" t="str">
        <f t="shared" si="182"/>
        <v>18200</v>
      </c>
      <c r="D2342" t="s">
        <v>516</v>
      </c>
      <c r="E2342">
        <v>66.290000000000006</v>
      </c>
      <c r="F2342">
        <v>20131007</v>
      </c>
      <c r="G2342" t="s">
        <v>455</v>
      </c>
      <c r="H2342" t="s">
        <v>488</v>
      </c>
      <c r="I2342" t="s">
        <v>21</v>
      </c>
    </row>
    <row r="2343" spans="1:9" x14ac:dyDescent="0.25">
      <c r="A2343">
        <v>20131010</v>
      </c>
      <c r="B2343" t="str">
        <f t="shared" si="181"/>
        <v>111990</v>
      </c>
      <c r="C2343" t="str">
        <f t="shared" si="182"/>
        <v>18200</v>
      </c>
      <c r="D2343" t="s">
        <v>516</v>
      </c>
      <c r="E2343">
        <v>929.75</v>
      </c>
      <c r="F2343">
        <v>20131007</v>
      </c>
      <c r="G2343" t="s">
        <v>459</v>
      </c>
      <c r="H2343" t="s">
        <v>488</v>
      </c>
      <c r="I2343" t="s">
        <v>21</v>
      </c>
    </row>
    <row r="2344" spans="1:9" x14ac:dyDescent="0.25">
      <c r="A2344">
        <v>20131010</v>
      </c>
      <c r="B2344" t="str">
        <f t="shared" si="181"/>
        <v>111990</v>
      </c>
      <c r="C2344" t="str">
        <f t="shared" si="182"/>
        <v>18200</v>
      </c>
      <c r="D2344" t="s">
        <v>516</v>
      </c>
      <c r="E2344">
        <v>378.47</v>
      </c>
      <c r="F2344">
        <v>20131007</v>
      </c>
      <c r="G2344" t="s">
        <v>462</v>
      </c>
      <c r="H2344" t="s">
        <v>488</v>
      </c>
      <c r="I2344" t="s">
        <v>21</v>
      </c>
    </row>
    <row r="2345" spans="1:9" x14ac:dyDescent="0.25">
      <c r="A2345">
        <v>20131010</v>
      </c>
      <c r="B2345" t="str">
        <f t="shared" si="181"/>
        <v>111990</v>
      </c>
      <c r="C2345" t="str">
        <f t="shared" si="182"/>
        <v>18200</v>
      </c>
      <c r="D2345" t="s">
        <v>516</v>
      </c>
      <c r="E2345">
        <v>699.12</v>
      </c>
      <c r="F2345">
        <v>20131007</v>
      </c>
      <c r="G2345" t="s">
        <v>465</v>
      </c>
      <c r="H2345" t="s">
        <v>488</v>
      </c>
      <c r="I2345" t="s">
        <v>21</v>
      </c>
    </row>
    <row r="2346" spans="1:9" x14ac:dyDescent="0.25">
      <c r="A2346">
        <v>20131010</v>
      </c>
      <c r="B2346" t="str">
        <f t="shared" si="181"/>
        <v>111990</v>
      </c>
      <c r="C2346" t="str">
        <f t="shared" si="182"/>
        <v>18200</v>
      </c>
      <c r="D2346" t="s">
        <v>516</v>
      </c>
      <c r="E2346">
        <v>84.12</v>
      </c>
      <c r="F2346">
        <v>20131007</v>
      </c>
      <c r="G2346" t="s">
        <v>466</v>
      </c>
      <c r="H2346" t="s">
        <v>488</v>
      </c>
      <c r="I2346" t="s">
        <v>21</v>
      </c>
    </row>
    <row r="2347" spans="1:9" x14ac:dyDescent="0.25">
      <c r="A2347">
        <v>20131010</v>
      </c>
      <c r="B2347" t="str">
        <f t="shared" si="181"/>
        <v>111990</v>
      </c>
      <c r="C2347" t="str">
        <f t="shared" si="182"/>
        <v>18200</v>
      </c>
      <c r="D2347" t="s">
        <v>516</v>
      </c>
      <c r="E2347">
        <v>808.8</v>
      </c>
      <c r="F2347">
        <v>20131007</v>
      </c>
      <c r="G2347" t="s">
        <v>466</v>
      </c>
      <c r="H2347" t="s">
        <v>488</v>
      </c>
      <c r="I2347" t="s">
        <v>21</v>
      </c>
    </row>
    <row r="2348" spans="1:9" x14ac:dyDescent="0.25">
      <c r="A2348">
        <v>20131010</v>
      </c>
      <c r="B2348" t="str">
        <f t="shared" si="181"/>
        <v>111990</v>
      </c>
      <c r="C2348" t="str">
        <f t="shared" si="182"/>
        <v>18200</v>
      </c>
      <c r="D2348" t="s">
        <v>516</v>
      </c>
      <c r="E2348" s="1">
        <v>1031.25</v>
      </c>
      <c r="F2348">
        <v>20131007</v>
      </c>
      <c r="G2348" t="s">
        <v>466</v>
      </c>
      <c r="H2348" t="s">
        <v>488</v>
      </c>
      <c r="I2348" t="s">
        <v>21</v>
      </c>
    </row>
    <row r="2349" spans="1:9" x14ac:dyDescent="0.25">
      <c r="A2349">
        <v>20131010</v>
      </c>
      <c r="B2349" t="str">
        <f t="shared" si="181"/>
        <v>111990</v>
      </c>
      <c r="C2349" t="str">
        <f t="shared" si="182"/>
        <v>18200</v>
      </c>
      <c r="D2349" t="s">
        <v>516</v>
      </c>
      <c r="E2349">
        <v>46.4</v>
      </c>
      <c r="F2349">
        <v>20131007</v>
      </c>
      <c r="G2349" t="s">
        <v>467</v>
      </c>
      <c r="H2349" t="s">
        <v>488</v>
      </c>
      <c r="I2349" t="s">
        <v>21</v>
      </c>
    </row>
    <row r="2350" spans="1:9" x14ac:dyDescent="0.25">
      <c r="A2350">
        <v>20131010</v>
      </c>
      <c r="B2350" t="str">
        <f>"111991"</f>
        <v>111991</v>
      </c>
      <c r="C2350" t="str">
        <f>"19701"</f>
        <v>19701</v>
      </c>
      <c r="D2350" t="s">
        <v>1384</v>
      </c>
      <c r="E2350">
        <v>435</v>
      </c>
      <c r="F2350">
        <v>20131003</v>
      </c>
      <c r="G2350" t="s">
        <v>367</v>
      </c>
      <c r="H2350" t="s">
        <v>1385</v>
      </c>
      <c r="I2350" t="s">
        <v>21</v>
      </c>
    </row>
    <row r="2351" spans="1:9" x14ac:dyDescent="0.25">
      <c r="A2351">
        <v>20131010</v>
      </c>
      <c r="B2351" t="str">
        <f>"111992"</f>
        <v>111992</v>
      </c>
      <c r="C2351" t="str">
        <f>"87150"</f>
        <v>87150</v>
      </c>
      <c r="D2351" t="s">
        <v>1386</v>
      </c>
      <c r="E2351" s="1">
        <v>1093.46</v>
      </c>
      <c r="F2351">
        <v>20131009</v>
      </c>
      <c r="G2351" t="s">
        <v>404</v>
      </c>
      <c r="H2351" t="s">
        <v>1387</v>
      </c>
      <c r="I2351" t="s">
        <v>12</v>
      </c>
    </row>
    <row r="2352" spans="1:9" x14ac:dyDescent="0.25">
      <c r="A2352">
        <v>20131010</v>
      </c>
      <c r="B2352" t="str">
        <f>"111992"</f>
        <v>111992</v>
      </c>
      <c r="C2352" t="str">
        <f>"87150"</f>
        <v>87150</v>
      </c>
      <c r="D2352" t="s">
        <v>1386</v>
      </c>
      <c r="E2352">
        <v>33.9</v>
      </c>
      <c r="F2352">
        <v>20131009</v>
      </c>
      <c r="G2352" t="s">
        <v>202</v>
      </c>
      <c r="H2352" t="s">
        <v>1388</v>
      </c>
      <c r="I2352" t="s">
        <v>12</v>
      </c>
    </row>
    <row r="2353" spans="1:9" x14ac:dyDescent="0.25">
      <c r="A2353">
        <v>20131010</v>
      </c>
      <c r="B2353" t="str">
        <f>"111993"</f>
        <v>111993</v>
      </c>
      <c r="C2353" t="str">
        <f>"20265"</f>
        <v>20265</v>
      </c>
      <c r="D2353" t="s">
        <v>1389</v>
      </c>
      <c r="E2353" s="1">
        <v>1383</v>
      </c>
      <c r="F2353">
        <v>20131007</v>
      </c>
      <c r="G2353" t="s">
        <v>633</v>
      </c>
      <c r="H2353" t="s">
        <v>634</v>
      </c>
      <c r="I2353" t="s">
        <v>21</v>
      </c>
    </row>
    <row r="2354" spans="1:9" x14ac:dyDescent="0.25">
      <c r="A2354">
        <v>20131010</v>
      </c>
      <c r="B2354" t="str">
        <f>"111994"</f>
        <v>111994</v>
      </c>
      <c r="C2354" t="str">
        <f>"80911"</f>
        <v>80911</v>
      </c>
      <c r="D2354" t="s">
        <v>1390</v>
      </c>
      <c r="E2354">
        <v>146</v>
      </c>
      <c r="F2354">
        <v>20131009</v>
      </c>
      <c r="G2354" t="s">
        <v>699</v>
      </c>
      <c r="H2354" t="s">
        <v>1391</v>
      </c>
      <c r="I2354" t="s">
        <v>61</v>
      </c>
    </row>
    <row r="2355" spans="1:9" x14ac:dyDescent="0.25">
      <c r="A2355">
        <v>20131010</v>
      </c>
      <c r="B2355" t="str">
        <f>"111995"</f>
        <v>111995</v>
      </c>
      <c r="C2355" t="str">
        <f>"22200"</f>
        <v>22200</v>
      </c>
      <c r="D2355" t="s">
        <v>519</v>
      </c>
      <c r="E2355">
        <v>287.3</v>
      </c>
      <c r="F2355">
        <v>20131008</v>
      </c>
      <c r="G2355" t="s">
        <v>473</v>
      </c>
      <c r="H2355" t="s">
        <v>1392</v>
      </c>
      <c r="I2355" t="s">
        <v>21</v>
      </c>
    </row>
    <row r="2356" spans="1:9" x14ac:dyDescent="0.25">
      <c r="A2356">
        <v>20131010</v>
      </c>
      <c r="B2356" t="str">
        <f>"111996"</f>
        <v>111996</v>
      </c>
      <c r="C2356" t="str">
        <f>"22200"</f>
        <v>22200</v>
      </c>
      <c r="D2356" t="s">
        <v>519</v>
      </c>
      <c r="E2356">
        <v>705.85</v>
      </c>
      <c r="F2356">
        <v>20131009</v>
      </c>
      <c r="G2356" t="s">
        <v>794</v>
      </c>
      <c r="H2356" t="s">
        <v>1393</v>
      </c>
      <c r="I2356" t="s">
        <v>21</v>
      </c>
    </row>
    <row r="2357" spans="1:9" x14ac:dyDescent="0.25">
      <c r="A2357">
        <v>20131010</v>
      </c>
      <c r="B2357" t="str">
        <f>"111997"</f>
        <v>111997</v>
      </c>
      <c r="C2357" t="str">
        <f>"22200"</f>
        <v>22200</v>
      </c>
      <c r="D2357" t="s">
        <v>519</v>
      </c>
      <c r="E2357">
        <v>435</v>
      </c>
      <c r="F2357">
        <v>20131009</v>
      </c>
      <c r="G2357" t="s">
        <v>202</v>
      </c>
      <c r="H2357" t="s">
        <v>1394</v>
      </c>
      <c r="I2357" t="s">
        <v>12</v>
      </c>
    </row>
    <row r="2358" spans="1:9" x14ac:dyDescent="0.25">
      <c r="A2358">
        <v>20131010</v>
      </c>
      <c r="B2358" t="str">
        <f>"111998"</f>
        <v>111998</v>
      </c>
      <c r="C2358" t="str">
        <f>"22220"</f>
        <v>22220</v>
      </c>
      <c r="D2358" t="s">
        <v>521</v>
      </c>
      <c r="E2358">
        <v>159.04</v>
      </c>
      <c r="F2358">
        <v>20131004</v>
      </c>
      <c r="G2358" t="s">
        <v>99</v>
      </c>
      <c r="H2358" t="s">
        <v>1395</v>
      </c>
      <c r="I2358" t="s">
        <v>21</v>
      </c>
    </row>
    <row r="2359" spans="1:9" x14ac:dyDescent="0.25">
      <c r="A2359">
        <v>20131010</v>
      </c>
      <c r="B2359" t="str">
        <f t="shared" ref="B2359:B2364" si="183">"111999"</f>
        <v>111999</v>
      </c>
      <c r="C2359" t="str">
        <f t="shared" ref="C2359:C2364" si="184">"22500"</f>
        <v>22500</v>
      </c>
      <c r="D2359" t="s">
        <v>523</v>
      </c>
      <c r="E2359">
        <v>42</v>
      </c>
      <c r="F2359">
        <v>20131007</v>
      </c>
      <c r="G2359" t="s">
        <v>511</v>
      </c>
      <c r="H2359" t="s">
        <v>656</v>
      </c>
      <c r="I2359" t="s">
        <v>21</v>
      </c>
    </row>
    <row r="2360" spans="1:9" x14ac:dyDescent="0.25">
      <c r="A2360">
        <v>20131010</v>
      </c>
      <c r="B2360" t="str">
        <f t="shared" si="183"/>
        <v>111999</v>
      </c>
      <c r="C2360" t="str">
        <f t="shared" si="184"/>
        <v>22500</v>
      </c>
      <c r="D2360" t="s">
        <v>523</v>
      </c>
      <c r="E2360">
        <v>140</v>
      </c>
      <c r="F2360">
        <v>20131007</v>
      </c>
      <c r="G2360" t="s">
        <v>450</v>
      </c>
      <c r="H2360" t="s">
        <v>656</v>
      </c>
      <c r="I2360" t="s">
        <v>21</v>
      </c>
    </row>
    <row r="2361" spans="1:9" x14ac:dyDescent="0.25">
      <c r="A2361">
        <v>20131010</v>
      </c>
      <c r="B2361" t="str">
        <f t="shared" si="183"/>
        <v>111999</v>
      </c>
      <c r="C2361" t="str">
        <f t="shared" si="184"/>
        <v>22500</v>
      </c>
      <c r="D2361" t="s">
        <v>523</v>
      </c>
      <c r="E2361">
        <v>78</v>
      </c>
      <c r="F2361">
        <v>20131007</v>
      </c>
      <c r="G2361" t="s">
        <v>1272</v>
      </c>
      <c r="H2361" t="s">
        <v>656</v>
      </c>
      <c r="I2361" t="s">
        <v>21</v>
      </c>
    </row>
    <row r="2362" spans="1:9" x14ac:dyDescent="0.25">
      <c r="A2362">
        <v>20131010</v>
      </c>
      <c r="B2362" t="str">
        <f t="shared" si="183"/>
        <v>111999</v>
      </c>
      <c r="C2362" t="str">
        <f t="shared" si="184"/>
        <v>22500</v>
      </c>
      <c r="D2362" t="s">
        <v>523</v>
      </c>
      <c r="E2362">
        <v>170</v>
      </c>
      <c r="F2362">
        <v>20131007</v>
      </c>
      <c r="G2362" t="s">
        <v>1272</v>
      </c>
      <c r="H2362" t="s">
        <v>656</v>
      </c>
      <c r="I2362" t="s">
        <v>21</v>
      </c>
    </row>
    <row r="2363" spans="1:9" x14ac:dyDescent="0.25">
      <c r="A2363">
        <v>20131010</v>
      </c>
      <c r="B2363" t="str">
        <f t="shared" si="183"/>
        <v>111999</v>
      </c>
      <c r="C2363" t="str">
        <f t="shared" si="184"/>
        <v>22500</v>
      </c>
      <c r="D2363" t="s">
        <v>523</v>
      </c>
      <c r="E2363">
        <v>57.54</v>
      </c>
      <c r="F2363">
        <v>20131007</v>
      </c>
      <c r="G2363" t="s">
        <v>627</v>
      </c>
      <c r="H2363" t="s">
        <v>414</v>
      </c>
      <c r="I2363" t="s">
        <v>21</v>
      </c>
    </row>
    <row r="2364" spans="1:9" x14ac:dyDescent="0.25">
      <c r="A2364">
        <v>20131010</v>
      </c>
      <c r="B2364" t="str">
        <f t="shared" si="183"/>
        <v>111999</v>
      </c>
      <c r="C2364" t="str">
        <f t="shared" si="184"/>
        <v>22500</v>
      </c>
      <c r="D2364" t="s">
        <v>523</v>
      </c>
      <c r="E2364">
        <v>47.17</v>
      </c>
      <c r="F2364">
        <v>20131007</v>
      </c>
      <c r="G2364" t="s">
        <v>631</v>
      </c>
      <c r="H2364" t="s">
        <v>414</v>
      </c>
      <c r="I2364" t="s">
        <v>21</v>
      </c>
    </row>
    <row r="2365" spans="1:9" x14ac:dyDescent="0.25">
      <c r="A2365">
        <v>20131010</v>
      </c>
      <c r="B2365" t="str">
        <f t="shared" ref="B2365:B2380" si="185">"112000"</f>
        <v>112000</v>
      </c>
      <c r="C2365" t="str">
        <f t="shared" ref="C2365:C2380" si="186">"23168"</f>
        <v>23168</v>
      </c>
      <c r="D2365" t="s">
        <v>1396</v>
      </c>
      <c r="E2365">
        <v>962.11</v>
      </c>
      <c r="F2365">
        <v>20131004</v>
      </c>
      <c r="G2365" t="s">
        <v>511</v>
      </c>
      <c r="H2365" t="s">
        <v>1397</v>
      </c>
      <c r="I2365" t="s">
        <v>21</v>
      </c>
    </row>
    <row r="2366" spans="1:9" x14ac:dyDescent="0.25">
      <c r="A2366">
        <v>20131010</v>
      </c>
      <c r="B2366" t="str">
        <f t="shared" si="185"/>
        <v>112000</v>
      </c>
      <c r="C2366" t="str">
        <f t="shared" si="186"/>
        <v>23168</v>
      </c>
      <c r="D2366" t="s">
        <v>1396</v>
      </c>
      <c r="E2366" s="1">
        <v>2217.12</v>
      </c>
      <c r="F2366">
        <v>20131004</v>
      </c>
      <c r="G2366" t="s">
        <v>511</v>
      </c>
      <c r="H2366" t="s">
        <v>1397</v>
      </c>
      <c r="I2366" t="s">
        <v>21</v>
      </c>
    </row>
    <row r="2367" spans="1:9" x14ac:dyDescent="0.25">
      <c r="A2367">
        <v>20131010</v>
      </c>
      <c r="B2367" t="str">
        <f t="shared" si="185"/>
        <v>112000</v>
      </c>
      <c r="C2367" t="str">
        <f t="shared" si="186"/>
        <v>23168</v>
      </c>
      <c r="D2367" t="s">
        <v>1396</v>
      </c>
      <c r="E2367">
        <v>377</v>
      </c>
      <c r="F2367">
        <v>20131004</v>
      </c>
      <c r="G2367" t="s">
        <v>450</v>
      </c>
      <c r="H2367" t="s">
        <v>1398</v>
      </c>
      <c r="I2367" t="s">
        <v>21</v>
      </c>
    </row>
    <row r="2368" spans="1:9" x14ac:dyDescent="0.25">
      <c r="A2368">
        <v>20131010</v>
      </c>
      <c r="B2368" t="str">
        <f t="shared" si="185"/>
        <v>112000</v>
      </c>
      <c r="C2368" t="str">
        <f t="shared" si="186"/>
        <v>23168</v>
      </c>
      <c r="D2368" t="s">
        <v>1396</v>
      </c>
      <c r="E2368">
        <v>306.93</v>
      </c>
      <c r="F2368">
        <v>20131007</v>
      </c>
      <c r="G2368" t="s">
        <v>1399</v>
      </c>
      <c r="H2368" t="s">
        <v>1400</v>
      </c>
      <c r="I2368" t="s">
        <v>21</v>
      </c>
    </row>
    <row r="2369" spans="1:9" x14ac:dyDescent="0.25">
      <c r="A2369">
        <v>20131010</v>
      </c>
      <c r="B2369" t="str">
        <f t="shared" si="185"/>
        <v>112000</v>
      </c>
      <c r="C2369" t="str">
        <f t="shared" si="186"/>
        <v>23168</v>
      </c>
      <c r="D2369" t="s">
        <v>1396</v>
      </c>
      <c r="E2369">
        <v>290.70999999999998</v>
      </c>
      <c r="F2369">
        <v>20131007</v>
      </c>
      <c r="G2369" t="s">
        <v>1399</v>
      </c>
      <c r="H2369" t="s">
        <v>1400</v>
      </c>
      <c r="I2369" t="s">
        <v>21</v>
      </c>
    </row>
    <row r="2370" spans="1:9" x14ac:dyDescent="0.25">
      <c r="A2370">
        <v>20131010</v>
      </c>
      <c r="B2370" t="str">
        <f t="shared" si="185"/>
        <v>112000</v>
      </c>
      <c r="C2370" t="str">
        <f t="shared" si="186"/>
        <v>23168</v>
      </c>
      <c r="D2370" t="s">
        <v>1396</v>
      </c>
      <c r="E2370">
        <v>276.11</v>
      </c>
      <c r="F2370">
        <v>20131007</v>
      </c>
      <c r="G2370" t="s">
        <v>1399</v>
      </c>
      <c r="H2370" t="s">
        <v>1400</v>
      </c>
      <c r="I2370" t="s">
        <v>21</v>
      </c>
    </row>
    <row r="2371" spans="1:9" x14ac:dyDescent="0.25">
      <c r="A2371">
        <v>20131010</v>
      </c>
      <c r="B2371" t="str">
        <f t="shared" si="185"/>
        <v>112000</v>
      </c>
      <c r="C2371" t="str">
        <f t="shared" si="186"/>
        <v>23168</v>
      </c>
      <c r="D2371" t="s">
        <v>1396</v>
      </c>
      <c r="E2371">
        <v>129.84</v>
      </c>
      <c r="F2371">
        <v>20131007</v>
      </c>
      <c r="G2371" t="s">
        <v>1399</v>
      </c>
      <c r="H2371" t="s">
        <v>1400</v>
      </c>
      <c r="I2371" t="s">
        <v>21</v>
      </c>
    </row>
    <row r="2372" spans="1:9" x14ac:dyDescent="0.25">
      <c r="A2372">
        <v>20131010</v>
      </c>
      <c r="B2372" t="str">
        <f t="shared" si="185"/>
        <v>112000</v>
      </c>
      <c r="C2372" t="str">
        <f t="shared" si="186"/>
        <v>23168</v>
      </c>
      <c r="D2372" t="s">
        <v>1396</v>
      </c>
      <c r="E2372">
        <v>142.28</v>
      </c>
      <c r="F2372">
        <v>20131007</v>
      </c>
      <c r="G2372" t="s">
        <v>1399</v>
      </c>
      <c r="H2372" t="s">
        <v>1400</v>
      </c>
      <c r="I2372" t="s">
        <v>21</v>
      </c>
    </row>
    <row r="2373" spans="1:9" x14ac:dyDescent="0.25">
      <c r="A2373">
        <v>20131010</v>
      </c>
      <c r="B2373" t="str">
        <f t="shared" si="185"/>
        <v>112000</v>
      </c>
      <c r="C2373" t="str">
        <f t="shared" si="186"/>
        <v>23168</v>
      </c>
      <c r="D2373" t="s">
        <v>1396</v>
      </c>
      <c r="E2373">
        <v>356.07</v>
      </c>
      <c r="F2373">
        <v>20131007</v>
      </c>
      <c r="G2373" t="s">
        <v>1399</v>
      </c>
      <c r="H2373" t="s">
        <v>1400</v>
      </c>
      <c r="I2373" t="s">
        <v>21</v>
      </c>
    </row>
    <row r="2374" spans="1:9" x14ac:dyDescent="0.25">
      <c r="A2374">
        <v>20131010</v>
      </c>
      <c r="B2374" t="str">
        <f t="shared" si="185"/>
        <v>112000</v>
      </c>
      <c r="C2374" t="str">
        <f t="shared" si="186"/>
        <v>23168</v>
      </c>
      <c r="D2374" t="s">
        <v>1396</v>
      </c>
      <c r="E2374">
        <v>181.97</v>
      </c>
      <c r="F2374">
        <v>20131007</v>
      </c>
      <c r="G2374" t="s">
        <v>1399</v>
      </c>
      <c r="H2374" t="s">
        <v>1400</v>
      </c>
      <c r="I2374" t="s">
        <v>21</v>
      </c>
    </row>
    <row r="2375" spans="1:9" x14ac:dyDescent="0.25">
      <c r="A2375">
        <v>20131010</v>
      </c>
      <c r="B2375" t="str">
        <f t="shared" si="185"/>
        <v>112000</v>
      </c>
      <c r="C2375" t="str">
        <f t="shared" si="186"/>
        <v>23168</v>
      </c>
      <c r="D2375" t="s">
        <v>1396</v>
      </c>
      <c r="E2375">
        <v>595.04999999999995</v>
      </c>
      <c r="F2375">
        <v>20131007</v>
      </c>
      <c r="G2375" t="s">
        <v>1399</v>
      </c>
      <c r="H2375" t="s">
        <v>1400</v>
      </c>
      <c r="I2375" t="s">
        <v>21</v>
      </c>
    </row>
    <row r="2376" spans="1:9" x14ac:dyDescent="0.25">
      <c r="A2376">
        <v>20131010</v>
      </c>
      <c r="B2376" t="str">
        <f t="shared" si="185"/>
        <v>112000</v>
      </c>
      <c r="C2376" t="str">
        <f t="shared" si="186"/>
        <v>23168</v>
      </c>
      <c r="D2376" t="s">
        <v>1396</v>
      </c>
      <c r="E2376">
        <v>363.9</v>
      </c>
      <c r="F2376">
        <v>20131007</v>
      </c>
      <c r="G2376" t="s">
        <v>1399</v>
      </c>
      <c r="H2376" t="s">
        <v>1400</v>
      </c>
      <c r="I2376" t="s">
        <v>21</v>
      </c>
    </row>
    <row r="2377" spans="1:9" x14ac:dyDescent="0.25">
      <c r="A2377">
        <v>20131010</v>
      </c>
      <c r="B2377" t="str">
        <f t="shared" si="185"/>
        <v>112000</v>
      </c>
      <c r="C2377" t="str">
        <f t="shared" si="186"/>
        <v>23168</v>
      </c>
      <c r="D2377" t="s">
        <v>1396</v>
      </c>
      <c r="E2377">
        <v>237.29</v>
      </c>
      <c r="F2377">
        <v>20131007</v>
      </c>
      <c r="G2377" t="s">
        <v>1399</v>
      </c>
      <c r="H2377" t="s">
        <v>1400</v>
      </c>
      <c r="I2377" t="s">
        <v>21</v>
      </c>
    </row>
    <row r="2378" spans="1:9" x14ac:dyDescent="0.25">
      <c r="A2378">
        <v>20131010</v>
      </c>
      <c r="B2378" t="str">
        <f t="shared" si="185"/>
        <v>112000</v>
      </c>
      <c r="C2378" t="str">
        <f t="shared" si="186"/>
        <v>23168</v>
      </c>
      <c r="D2378" t="s">
        <v>1396</v>
      </c>
      <c r="E2378">
        <v>173.14</v>
      </c>
      <c r="F2378">
        <v>20131007</v>
      </c>
      <c r="G2378" t="s">
        <v>1399</v>
      </c>
      <c r="H2378" t="s">
        <v>1400</v>
      </c>
      <c r="I2378" t="s">
        <v>21</v>
      </c>
    </row>
    <row r="2379" spans="1:9" x14ac:dyDescent="0.25">
      <c r="A2379">
        <v>20131010</v>
      </c>
      <c r="B2379" t="str">
        <f t="shared" si="185"/>
        <v>112000</v>
      </c>
      <c r="C2379" t="str">
        <f t="shared" si="186"/>
        <v>23168</v>
      </c>
      <c r="D2379" t="s">
        <v>1396</v>
      </c>
      <c r="E2379">
        <v>222.47</v>
      </c>
      <c r="F2379">
        <v>20131007</v>
      </c>
      <c r="G2379" t="s">
        <v>1399</v>
      </c>
      <c r="H2379" t="s">
        <v>1400</v>
      </c>
      <c r="I2379" t="s">
        <v>21</v>
      </c>
    </row>
    <row r="2380" spans="1:9" x14ac:dyDescent="0.25">
      <c r="A2380">
        <v>20131010</v>
      </c>
      <c r="B2380" t="str">
        <f t="shared" si="185"/>
        <v>112000</v>
      </c>
      <c r="C2380" t="str">
        <f t="shared" si="186"/>
        <v>23168</v>
      </c>
      <c r="D2380" t="s">
        <v>1396</v>
      </c>
      <c r="E2380">
        <v>231.23</v>
      </c>
      <c r="F2380">
        <v>20131007</v>
      </c>
      <c r="G2380" t="s">
        <v>1399</v>
      </c>
      <c r="H2380" t="s">
        <v>1400</v>
      </c>
      <c r="I2380" t="s">
        <v>21</v>
      </c>
    </row>
    <row r="2381" spans="1:9" x14ac:dyDescent="0.25">
      <c r="A2381">
        <v>20131010</v>
      </c>
      <c r="B2381" t="str">
        <f>"112001"</f>
        <v>112001</v>
      </c>
      <c r="C2381" t="str">
        <f>"23185"</f>
        <v>23185</v>
      </c>
      <c r="D2381" t="s">
        <v>803</v>
      </c>
      <c r="E2381">
        <v>30</v>
      </c>
      <c r="F2381">
        <v>20131007</v>
      </c>
      <c r="G2381" t="s">
        <v>627</v>
      </c>
      <c r="H2381" t="s">
        <v>1401</v>
      </c>
      <c r="I2381" t="s">
        <v>21</v>
      </c>
    </row>
    <row r="2382" spans="1:9" x14ac:dyDescent="0.25">
      <c r="A2382">
        <v>20131010</v>
      </c>
      <c r="B2382" t="str">
        <f>"112001"</f>
        <v>112001</v>
      </c>
      <c r="C2382" t="str">
        <f>"23185"</f>
        <v>23185</v>
      </c>
      <c r="D2382" t="s">
        <v>803</v>
      </c>
      <c r="E2382">
        <v>74.75</v>
      </c>
      <c r="F2382">
        <v>20131009</v>
      </c>
      <c r="G2382" t="s">
        <v>628</v>
      </c>
      <c r="H2382" t="s">
        <v>1402</v>
      </c>
      <c r="I2382" t="s">
        <v>21</v>
      </c>
    </row>
    <row r="2383" spans="1:9" x14ac:dyDescent="0.25">
      <c r="A2383">
        <v>20131010</v>
      </c>
      <c r="B2383" t="str">
        <f>"112002"</f>
        <v>112002</v>
      </c>
      <c r="C2383" t="str">
        <f>"23827"</f>
        <v>23827</v>
      </c>
      <c r="D2383" t="s">
        <v>528</v>
      </c>
      <c r="E2383" s="1">
        <v>1874.96</v>
      </c>
      <c r="F2383">
        <v>20131004</v>
      </c>
      <c r="G2383" t="s">
        <v>181</v>
      </c>
      <c r="H2383" t="s">
        <v>513</v>
      </c>
      <c r="I2383" t="s">
        <v>38</v>
      </c>
    </row>
    <row r="2384" spans="1:9" x14ac:dyDescent="0.25">
      <c r="A2384">
        <v>20131010</v>
      </c>
      <c r="B2384" t="str">
        <f>"112002"</f>
        <v>112002</v>
      </c>
      <c r="C2384" t="str">
        <f>"23827"</f>
        <v>23827</v>
      </c>
      <c r="D2384" t="s">
        <v>528</v>
      </c>
      <c r="E2384">
        <v>376</v>
      </c>
      <c r="F2384">
        <v>20131008</v>
      </c>
      <c r="G2384" t="s">
        <v>159</v>
      </c>
      <c r="H2384" t="s">
        <v>513</v>
      </c>
      <c r="I2384" t="s">
        <v>25</v>
      </c>
    </row>
    <row r="2385" spans="1:9" x14ac:dyDescent="0.25">
      <c r="A2385">
        <v>20131010</v>
      </c>
      <c r="B2385" t="str">
        <f>"112002"</f>
        <v>112002</v>
      </c>
      <c r="C2385" t="str">
        <f>"23827"</f>
        <v>23827</v>
      </c>
      <c r="D2385" t="s">
        <v>528</v>
      </c>
      <c r="E2385">
        <v>771.8</v>
      </c>
      <c r="F2385">
        <v>20131009</v>
      </c>
      <c r="G2385" t="s">
        <v>150</v>
      </c>
      <c r="H2385" t="s">
        <v>738</v>
      </c>
      <c r="I2385" t="s">
        <v>25</v>
      </c>
    </row>
    <row r="2386" spans="1:9" x14ac:dyDescent="0.25">
      <c r="A2386">
        <v>20131010</v>
      </c>
      <c r="B2386" t="str">
        <f>"112002"</f>
        <v>112002</v>
      </c>
      <c r="C2386" t="str">
        <f>"23827"</f>
        <v>23827</v>
      </c>
      <c r="D2386" t="s">
        <v>528</v>
      </c>
      <c r="E2386">
        <v>15.75</v>
      </c>
      <c r="F2386">
        <v>20131009</v>
      </c>
      <c r="G2386" t="s">
        <v>150</v>
      </c>
      <c r="H2386" t="s">
        <v>738</v>
      </c>
      <c r="I2386" t="s">
        <v>25</v>
      </c>
    </row>
    <row r="2387" spans="1:9" x14ac:dyDescent="0.25">
      <c r="A2387">
        <v>20131010</v>
      </c>
      <c r="B2387" t="str">
        <f>"112002"</f>
        <v>112002</v>
      </c>
      <c r="C2387" t="str">
        <f>"23827"</f>
        <v>23827</v>
      </c>
      <c r="D2387" t="s">
        <v>528</v>
      </c>
      <c r="E2387">
        <v>230</v>
      </c>
      <c r="F2387">
        <v>20131009</v>
      </c>
      <c r="G2387" t="s">
        <v>150</v>
      </c>
      <c r="H2387" t="s">
        <v>738</v>
      </c>
      <c r="I2387" t="s">
        <v>25</v>
      </c>
    </row>
    <row r="2388" spans="1:9" x14ac:dyDescent="0.25">
      <c r="A2388">
        <v>20131010</v>
      </c>
      <c r="B2388" t="str">
        <f t="shared" ref="B2388:B2404" si="187">"112003"</f>
        <v>112003</v>
      </c>
      <c r="C2388" t="str">
        <f t="shared" ref="C2388:C2405" si="188">"25516"</f>
        <v>25516</v>
      </c>
      <c r="D2388" t="s">
        <v>529</v>
      </c>
      <c r="E2388" s="1">
        <v>1968.12</v>
      </c>
      <c r="F2388">
        <v>20131007</v>
      </c>
      <c r="G2388" t="s">
        <v>473</v>
      </c>
      <c r="H2388" t="s">
        <v>414</v>
      </c>
      <c r="I2388" t="s">
        <v>21</v>
      </c>
    </row>
    <row r="2389" spans="1:9" x14ac:dyDescent="0.25">
      <c r="A2389">
        <v>20131010</v>
      </c>
      <c r="B2389" t="str">
        <f t="shared" si="187"/>
        <v>112003</v>
      </c>
      <c r="C2389" t="str">
        <f t="shared" si="188"/>
        <v>25516</v>
      </c>
      <c r="D2389" t="s">
        <v>529</v>
      </c>
      <c r="E2389">
        <v>484.31</v>
      </c>
      <c r="F2389">
        <v>20131007</v>
      </c>
      <c r="G2389" t="s">
        <v>475</v>
      </c>
      <c r="H2389" t="s">
        <v>414</v>
      </c>
      <c r="I2389" t="s">
        <v>21</v>
      </c>
    </row>
    <row r="2390" spans="1:9" x14ac:dyDescent="0.25">
      <c r="A2390">
        <v>20131010</v>
      </c>
      <c r="B2390" t="str">
        <f t="shared" si="187"/>
        <v>112003</v>
      </c>
      <c r="C2390" t="str">
        <f t="shared" si="188"/>
        <v>25516</v>
      </c>
      <c r="D2390" t="s">
        <v>529</v>
      </c>
      <c r="E2390">
        <v>434.92</v>
      </c>
      <c r="F2390">
        <v>20131007</v>
      </c>
      <c r="G2390" t="s">
        <v>476</v>
      </c>
      <c r="H2390" t="s">
        <v>414</v>
      </c>
      <c r="I2390" t="s">
        <v>21</v>
      </c>
    </row>
    <row r="2391" spans="1:9" x14ac:dyDescent="0.25">
      <c r="A2391">
        <v>20131010</v>
      </c>
      <c r="B2391" t="str">
        <f t="shared" si="187"/>
        <v>112003</v>
      </c>
      <c r="C2391" t="str">
        <f t="shared" si="188"/>
        <v>25516</v>
      </c>
      <c r="D2391" t="s">
        <v>529</v>
      </c>
      <c r="E2391">
        <v>373.33</v>
      </c>
      <c r="F2391">
        <v>20131007</v>
      </c>
      <c r="G2391" t="s">
        <v>477</v>
      </c>
      <c r="H2391" t="s">
        <v>414</v>
      </c>
      <c r="I2391" t="s">
        <v>21</v>
      </c>
    </row>
    <row r="2392" spans="1:9" x14ac:dyDescent="0.25">
      <c r="A2392">
        <v>20131010</v>
      </c>
      <c r="B2392" t="str">
        <f t="shared" si="187"/>
        <v>112003</v>
      </c>
      <c r="C2392" t="str">
        <f t="shared" si="188"/>
        <v>25516</v>
      </c>
      <c r="D2392" t="s">
        <v>529</v>
      </c>
      <c r="E2392" s="1">
        <v>2785.63</v>
      </c>
      <c r="F2392">
        <v>20131007</v>
      </c>
      <c r="G2392" t="s">
        <v>478</v>
      </c>
      <c r="H2392" t="s">
        <v>414</v>
      </c>
      <c r="I2392" t="s">
        <v>21</v>
      </c>
    </row>
    <row r="2393" spans="1:9" x14ac:dyDescent="0.25">
      <c r="A2393">
        <v>20131010</v>
      </c>
      <c r="B2393" t="str">
        <f t="shared" si="187"/>
        <v>112003</v>
      </c>
      <c r="C2393" t="str">
        <f t="shared" si="188"/>
        <v>25516</v>
      </c>
      <c r="D2393" t="s">
        <v>529</v>
      </c>
      <c r="E2393">
        <v>651.07000000000005</v>
      </c>
      <c r="F2393">
        <v>20131007</v>
      </c>
      <c r="G2393" t="s">
        <v>479</v>
      </c>
      <c r="H2393" t="s">
        <v>414</v>
      </c>
      <c r="I2393" t="s">
        <v>21</v>
      </c>
    </row>
    <row r="2394" spans="1:9" x14ac:dyDescent="0.25">
      <c r="A2394">
        <v>20131010</v>
      </c>
      <c r="B2394" t="str">
        <f t="shared" si="187"/>
        <v>112003</v>
      </c>
      <c r="C2394" t="str">
        <f t="shared" si="188"/>
        <v>25516</v>
      </c>
      <c r="D2394" t="s">
        <v>529</v>
      </c>
      <c r="E2394" s="1">
        <v>1746.53</v>
      </c>
      <c r="F2394">
        <v>20131007</v>
      </c>
      <c r="G2394" t="s">
        <v>480</v>
      </c>
      <c r="H2394" t="s">
        <v>414</v>
      </c>
      <c r="I2394" t="s">
        <v>21</v>
      </c>
    </row>
    <row r="2395" spans="1:9" x14ac:dyDescent="0.25">
      <c r="A2395">
        <v>20131010</v>
      </c>
      <c r="B2395" t="str">
        <f t="shared" si="187"/>
        <v>112003</v>
      </c>
      <c r="C2395" t="str">
        <f t="shared" si="188"/>
        <v>25516</v>
      </c>
      <c r="D2395" t="s">
        <v>529</v>
      </c>
      <c r="E2395" s="1">
        <v>1527.81</v>
      </c>
      <c r="F2395">
        <v>20131007</v>
      </c>
      <c r="G2395" t="s">
        <v>481</v>
      </c>
      <c r="H2395" t="s">
        <v>414</v>
      </c>
      <c r="I2395" t="s">
        <v>21</v>
      </c>
    </row>
    <row r="2396" spans="1:9" x14ac:dyDescent="0.25">
      <c r="A2396">
        <v>20131010</v>
      </c>
      <c r="B2396" t="str">
        <f t="shared" si="187"/>
        <v>112003</v>
      </c>
      <c r="C2396" t="str">
        <f t="shared" si="188"/>
        <v>25516</v>
      </c>
      <c r="D2396" t="s">
        <v>529</v>
      </c>
      <c r="E2396" s="1">
        <v>3645.33</v>
      </c>
      <c r="F2396">
        <v>20131007</v>
      </c>
      <c r="G2396" t="s">
        <v>482</v>
      </c>
      <c r="H2396" t="s">
        <v>414</v>
      </c>
      <c r="I2396" t="s">
        <v>21</v>
      </c>
    </row>
    <row r="2397" spans="1:9" x14ac:dyDescent="0.25">
      <c r="A2397">
        <v>20131010</v>
      </c>
      <c r="B2397" t="str">
        <f t="shared" si="187"/>
        <v>112003</v>
      </c>
      <c r="C2397" t="str">
        <f t="shared" si="188"/>
        <v>25516</v>
      </c>
      <c r="D2397" t="s">
        <v>529</v>
      </c>
      <c r="E2397">
        <v>175.22</v>
      </c>
      <c r="F2397">
        <v>20131007</v>
      </c>
      <c r="G2397" t="s">
        <v>484</v>
      </c>
      <c r="H2397" t="s">
        <v>414</v>
      </c>
      <c r="I2397" t="s">
        <v>21</v>
      </c>
    </row>
    <row r="2398" spans="1:9" x14ac:dyDescent="0.25">
      <c r="A2398">
        <v>20131010</v>
      </c>
      <c r="B2398" t="str">
        <f t="shared" si="187"/>
        <v>112003</v>
      </c>
      <c r="C2398" t="str">
        <f t="shared" si="188"/>
        <v>25516</v>
      </c>
      <c r="D2398" t="s">
        <v>529</v>
      </c>
      <c r="E2398">
        <v>43.67</v>
      </c>
      <c r="F2398">
        <v>20131007</v>
      </c>
      <c r="G2398" t="s">
        <v>1403</v>
      </c>
      <c r="H2398" t="s">
        <v>414</v>
      </c>
      <c r="I2398" t="s">
        <v>21</v>
      </c>
    </row>
    <row r="2399" spans="1:9" x14ac:dyDescent="0.25">
      <c r="A2399">
        <v>20131010</v>
      </c>
      <c r="B2399" t="str">
        <f t="shared" si="187"/>
        <v>112003</v>
      </c>
      <c r="C2399" t="str">
        <f t="shared" si="188"/>
        <v>25516</v>
      </c>
      <c r="D2399" t="s">
        <v>529</v>
      </c>
      <c r="E2399">
        <v>903.88</v>
      </c>
      <c r="F2399">
        <v>20131007</v>
      </c>
      <c r="G2399" t="s">
        <v>485</v>
      </c>
      <c r="H2399" t="s">
        <v>414</v>
      </c>
      <c r="I2399" t="s">
        <v>21</v>
      </c>
    </row>
    <row r="2400" spans="1:9" x14ac:dyDescent="0.25">
      <c r="A2400">
        <v>20131010</v>
      </c>
      <c r="B2400" t="str">
        <f t="shared" si="187"/>
        <v>112003</v>
      </c>
      <c r="C2400" t="str">
        <f t="shared" si="188"/>
        <v>25516</v>
      </c>
      <c r="D2400" t="s">
        <v>529</v>
      </c>
      <c r="E2400">
        <v>290.39999999999998</v>
      </c>
      <c r="F2400">
        <v>20131007</v>
      </c>
      <c r="G2400" t="s">
        <v>627</v>
      </c>
      <c r="H2400" t="s">
        <v>414</v>
      </c>
      <c r="I2400" t="s">
        <v>21</v>
      </c>
    </row>
    <row r="2401" spans="1:9" x14ac:dyDescent="0.25">
      <c r="A2401">
        <v>20131010</v>
      </c>
      <c r="B2401" t="str">
        <f t="shared" si="187"/>
        <v>112003</v>
      </c>
      <c r="C2401" t="str">
        <f t="shared" si="188"/>
        <v>25516</v>
      </c>
      <c r="D2401" t="s">
        <v>529</v>
      </c>
      <c r="E2401">
        <v>43.67</v>
      </c>
      <c r="F2401">
        <v>20131007</v>
      </c>
      <c r="G2401" t="s">
        <v>530</v>
      </c>
      <c r="H2401" t="s">
        <v>414</v>
      </c>
      <c r="I2401" t="s">
        <v>21</v>
      </c>
    </row>
    <row r="2402" spans="1:9" x14ac:dyDescent="0.25">
      <c r="A2402">
        <v>20131010</v>
      </c>
      <c r="B2402" t="str">
        <f t="shared" si="187"/>
        <v>112003</v>
      </c>
      <c r="C2402" t="str">
        <f t="shared" si="188"/>
        <v>25516</v>
      </c>
      <c r="D2402" t="s">
        <v>529</v>
      </c>
      <c r="E2402">
        <v>43.67</v>
      </c>
      <c r="F2402">
        <v>20131007</v>
      </c>
      <c r="G2402" t="s">
        <v>1224</v>
      </c>
      <c r="H2402" t="s">
        <v>414</v>
      </c>
      <c r="I2402" t="s">
        <v>21</v>
      </c>
    </row>
    <row r="2403" spans="1:9" x14ac:dyDescent="0.25">
      <c r="A2403">
        <v>20131010</v>
      </c>
      <c r="B2403" t="str">
        <f t="shared" si="187"/>
        <v>112003</v>
      </c>
      <c r="C2403" t="str">
        <f t="shared" si="188"/>
        <v>25516</v>
      </c>
      <c r="D2403" t="s">
        <v>529</v>
      </c>
      <c r="E2403">
        <v>200.99</v>
      </c>
      <c r="F2403">
        <v>20131007</v>
      </c>
      <c r="G2403" t="s">
        <v>531</v>
      </c>
      <c r="H2403" t="s">
        <v>414</v>
      </c>
      <c r="I2403" t="s">
        <v>21</v>
      </c>
    </row>
    <row r="2404" spans="1:9" x14ac:dyDescent="0.25">
      <c r="A2404">
        <v>20131010</v>
      </c>
      <c r="B2404" t="str">
        <f t="shared" si="187"/>
        <v>112003</v>
      </c>
      <c r="C2404" t="str">
        <f t="shared" si="188"/>
        <v>25516</v>
      </c>
      <c r="D2404" t="s">
        <v>529</v>
      </c>
      <c r="E2404">
        <v>614.46</v>
      </c>
      <c r="F2404">
        <v>20131007</v>
      </c>
      <c r="G2404" t="s">
        <v>417</v>
      </c>
      <c r="H2404" t="s">
        <v>414</v>
      </c>
      <c r="I2404" t="s">
        <v>21</v>
      </c>
    </row>
    <row r="2405" spans="1:9" x14ac:dyDescent="0.25">
      <c r="A2405">
        <v>20131010</v>
      </c>
      <c r="B2405" t="str">
        <f>"112004"</f>
        <v>112004</v>
      </c>
      <c r="C2405" t="str">
        <f t="shared" si="188"/>
        <v>25516</v>
      </c>
      <c r="D2405" t="s">
        <v>529</v>
      </c>
      <c r="E2405" s="1">
        <v>1529.99</v>
      </c>
      <c r="F2405">
        <v>20131009</v>
      </c>
      <c r="G2405" t="s">
        <v>1404</v>
      </c>
      <c r="H2405" t="s">
        <v>1405</v>
      </c>
      <c r="I2405" t="s">
        <v>12</v>
      </c>
    </row>
    <row r="2406" spans="1:9" x14ac:dyDescent="0.25">
      <c r="A2406">
        <v>20131010</v>
      </c>
      <c r="B2406" t="str">
        <f>"112005"</f>
        <v>112005</v>
      </c>
      <c r="C2406" t="str">
        <f>"84311"</f>
        <v>84311</v>
      </c>
      <c r="D2406" t="s">
        <v>1406</v>
      </c>
      <c r="E2406">
        <v>150</v>
      </c>
      <c r="F2406">
        <v>20131009</v>
      </c>
      <c r="G2406" t="s">
        <v>971</v>
      </c>
      <c r="H2406" t="s">
        <v>1257</v>
      </c>
      <c r="I2406" t="s">
        <v>21</v>
      </c>
    </row>
    <row r="2407" spans="1:9" x14ac:dyDescent="0.25">
      <c r="A2407">
        <v>20131010</v>
      </c>
      <c r="B2407" t="str">
        <f>"112006"</f>
        <v>112006</v>
      </c>
      <c r="C2407" t="str">
        <f>"82613"</f>
        <v>82613</v>
      </c>
      <c r="D2407" t="s">
        <v>546</v>
      </c>
      <c r="E2407">
        <v>198</v>
      </c>
      <c r="F2407">
        <v>20131007</v>
      </c>
      <c r="G2407" t="s">
        <v>337</v>
      </c>
      <c r="H2407" t="s">
        <v>1407</v>
      </c>
      <c r="I2407" t="s">
        <v>21</v>
      </c>
    </row>
    <row r="2408" spans="1:9" x14ac:dyDescent="0.25">
      <c r="A2408">
        <v>20131010</v>
      </c>
      <c r="B2408" t="str">
        <f>"112007"</f>
        <v>112007</v>
      </c>
      <c r="C2408" t="str">
        <f>"26425"</f>
        <v>26425</v>
      </c>
      <c r="D2408" t="s">
        <v>822</v>
      </c>
      <c r="E2408">
        <v>376</v>
      </c>
      <c r="F2408">
        <v>20131009</v>
      </c>
      <c r="G2408" t="s">
        <v>1408</v>
      </c>
      <c r="H2408" t="s">
        <v>525</v>
      </c>
      <c r="I2408" t="s">
        <v>12</v>
      </c>
    </row>
    <row r="2409" spans="1:9" x14ac:dyDescent="0.25">
      <c r="A2409">
        <v>20131010</v>
      </c>
      <c r="B2409" t="str">
        <f>"112008"</f>
        <v>112008</v>
      </c>
      <c r="C2409" t="str">
        <f>"26990"</f>
        <v>26990</v>
      </c>
      <c r="D2409" t="s">
        <v>548</v>
      </c>
      <c r="E2409">
        <v>70</v>
      </c>
      <c r="F2409">
        <v>20131009</v>
      </c>
      <c r="G2409" t="s">
        <v>619</v>
      </c>
      <c r="H2409" t="s">
        <v>1054</v>
      </c>
      <c r="I2409" t="s">
        <v>21</v>
      </c>
    </row>
    <row r="2410" spans="1:9" x14ac:dyDescent="0.25">
      <c r="A2410">
        <v>20131010</v>
      </c>
      <c r="B2410" t="str">
        <f>"112008"</f>
        <v>112008</v>
      </c>
      <c r="C2410" t="str">
        <f>"26990"</f>
        <v>26990</v>
      </c>
      <c r="D2410" t="s">
        <v>548</v>
      </c>
      <c r="E2410">
        <v>40</v>
      </c>
      <c r="F2410">
        <v>20131009</v>
      </c>
      <c r="G2410" t="s">
        <v>1409</v>
      </c>
      <c r="H2410" t="s">
        <v>1410</v>
      </c>
      <c r="I2410" t="s">
        <v>21</v>
      </c>
    </row>
    <row r="2411" spans="1:9" x14ac:dyDescent="0.25">
      <c r="A2411">
        <v>20131010</v>
      </c>
      <c r="B2411" t="str">
        <f>"112008"</f>
        <v>112008</v>
      </c>
      <c r="C2411" t="str">
        <f>"26990"</f>
        <v>26990</v>
      </c>
      <c r="D2411" t="s">
        <v>548</v>
      </c>
      <c r="E2411">
        <v>40</v>
      </c>
      <c r="F2411">
        <v>20131009</v>
      </c>
      <c r="G2411" t="s">
        <v>1178</v>
      </c>
      <c r="H2411" t="s">
        <v>1410</v>
      </c>
      <c r="I2411" t="s">
        <v>21</v>
      </c>
    </row>
    <row r="2412" spans="1:9" x14ac:dyDescent="0.25">
      <c r="A2412">
        <v>20131010</v>
      </c>
      <c r="B2412" t="str">
        <f>"112009"</f>
        <v>112009</v>
      </c>
      <c r="C2412" t="str">
        <f>"27200"</f>
        <v>27200</v>
      </c>
      <c r="D2412" t="s">
        <v>1411</v>
      </c>
      <c r="E2412">
        <v>158.75</v>
      </c>
      <c r="F2412">
        <v>20131009</v>
      </c>
      <c r="G2412" t="s">
        <v>971</v>
      </c>
      <c r="H2412" t="s">
        <v>1412</v>
      </c>
      <c r="I2412" t="s">
        <v>21</v>
      </c>
    </row>
    <row r="2413" spans="1:9" x14ac:dyDescent="0.25">
      <c r="A2413">
        <v>20131010</v>
      </c>
      <c r="B2413" t="str">
        <f>"112010"</f>
        <v>112010</v>
      </c>
      <c r="C2413" t="str">
        <f>"87542"</f>
        <v>87542</v>
      </c>
      <c r="D2413" t="s">
        <v>1413</v>
      </c>
      <c r="E2413">
        <v>107.88</v>
      </c>
      <c r="F2413">
        <v>20131007</v>
      </c>
      <c r="G2413" t="s">
        <v>774</v>
      </c>
      <c r="H2413" t="s">
        <v>765</v>
      </c>
      <c r="I2413" t="s">
        <v>61</v>
      </c>
    </row>
    <row r="2414" spans="1:9" x14ac:dyDescent="0.25">
      <c r="A2414">
        <v>20131010</v>
      </c>
      <c r="B2414" t="str">
        <f>"112011"</f>
        <v>112011</v>
      </c>
      <c r="C2414" t="str">
        <f>"85175"</f>
        <v>85175</v>
      </c>
      <c r="D2414" t="s">
        <v>1414</v>
      </c>
      <c r="E2414">
        <v>36.53</v>
      </c>
      <c r="F2414">
        <v>20131009</v>
      </c>
      <c r="G2414" t="s">
        <v>1033</v>
      </c>
      <c r="H2414" t="s">
        <v>365</v>
      </c>
      <c r="I2414" t="s">
        <v>21</v>
      </c>
    </row>
    <row r="2415" spans="1:9" x14ac:dyDescent="0.25">
      <c r="A2415">
        <v>20131010</v>
      </c>
      <c r="B2415" t="str">
        <f>"112011"</f>
        <v>112011</v>
      </c>
      <c r="C2415" t="str">
        <f>"85175"</f>
        <v>85175</v>
      </c>
      <c r="D2415" t="s">
        <v>1414</v>
      </c>
      <c r="E2415">
        <v>-36.53</v>
      </c>
      <c r="F2415">
        <v>20140213</v>
      </c>
      <c r="G2415" t="s">
        <v>1033</v>
      </c>
      <c r="H2415" t="s">
        <v>1415</v>
      </c>
      <c r="I2415" t="s">
        <v>21</v>
      </c>
    </row>
    <row r="2416" spans="1:9" x14ac:dyDescent="0.25">
      <c r="A2416">
        <v>20131010</v>
      </c>
      <c r="B2416" t="str">
        <f t="shared" ref="B2416:B2424" si="189">"112012"</f>
        <v>112012</v>
      </c>
      <c r="C2416" t="str">
        <f t="shared" ref="C2416:C2424" si="190">"27981"</f>
        <v>27981</v>
      </c>
      <c r="D2416" t="s">
        <v>551</v>
      </c>
      <c r="E2416">
        <v>342.48</v>
      </c>
      <c r="F2416">
        <v>20131004</v>
      </c>
      <c r="G2416" t="s">
        <v>629</v>
      </c>
      <c r="H2416" t="s">
        <v>414</v>
      </c>
      <c r="I2416" t="s">
        <v>21</v>
      </c>
    </row>
    <row r="2417" spans="1:9" x14ac:dyDescent="0.25">
      <c r="A2417">
        <v>20131010</v>
      </c>
      <c r="B2417" t="str">
        <f t="shared" si="189"/>
        <v>112012</v>
      </c>
      <c r="C2417" t="str">
        <f t="shared" si="190"/>
        <v>27981</v>
      </c>
      <c r="D2417" t="s">
        <v>551</v>
      </c>
      <c r="E2417">
        <v>196.8</v>
      </c>
      <c r="F2417">
        <v>20131004</v>
      </c>
      <c r="G2417" t="s">
        <v>631</v>
      </c>
      <c r="H2417" t="s">
        <v>414</v>
      </c>
      <c r="I2417" t="s">
        <v>21</v>
      </c>
    </row>
    <row r="2418" spans="1:9" x14ac:dyDescent="0.25">
      <c r="A2418">
        <v>20131010</v>
      </c>
      <c r="B2418" t="str">
        <f t="shared" si="189"/>
        <v>112012</v>
      </c>
      <c r="C2418" t="str">
        <f t="shared" si="190"/>
        <v>27981</v>
      </c>
      <c r="D2418" t="s">
        <v>551</v>
      </c>
      <c r="E2418">
        <v>158.11000000000001</v>
      </c>
      <c r="F2418">
        <v>20131004</v>
      </c>
      <c r="G2418" t="s">
        <v>631</v>
      </c>
      <c r="H2418" t="s">
        <v>414</v>
      </c>
      <c r="I2418" t="s">
        <v>21</v>
      </c>
    </row>
    <row r="2419" spans="1:9" x14ac:dyDescent="0.25">
      <c r="A2419">
        <v>20131010</v>
      </c>
      <c r="B2419" t="str">
        <f t="shared" si="189"/>
        <v>112012</v>
      </c>
      <c r="C2419" t="str">
        <f t="shared" si="190"/>
        <v>27981</v>
      </c>
      <c r="D2419" t="s">
        <v>551</v>
      </c>
      <c r="E2419">
        <v>64.400000000000006</v>
      </c>
      <c r="F2419">
        <v>20131004</v>
      </c>
      <c r="G2419" t="s">
        <v>631</v>
      </c>
      <c r="H2419" t="s">
        <v>414</v>
      </c>
      <c r="I2419" t="s">
        <v>21</v>
      </c>
    </row>
    <row r="2420" spans="1:9" x14ac:dyDescent="0.25">
      <c r="A2420">
        <v>20131010</v>
      </c>
      <c r="B2420" t="str">
        <f t="shared" si="189"/>
        <v>112012</v>
      </c>
      <c r="C2420" t="str">
        <f t="shared" si="190"/>
        <v>27981</v>
      </c>
      <c r="D2420" t="s">
        <v>551</v>
      </c>
      <c r="E2420">
        <v>109.08</v>
      </c>
      <c r="F2420">
        <v>20131004</v>
      </c>
      <c r="G2420" t="s">
        <v>631</v>
      </c>
      <c r="H2420" t="s">
        <v>414</v>
      </c>
      <c r="I2420" t="s">
        <v>21</v>
      </c>
    </row>
    <row r="2421" spans="1:9" x14ac:dyDescent="0.25">
      <c r="A2421">
        <v>20131010</v>
      </c>
      <c r="B2421" t="str">
        <f t="shared" si="189"/>
        <v>112012</v>
      </c>
      <c r="C2421" t="str">
        <f t="shared" si="190"/>
        <v>27981</v>
      </c>
      <c r="D2421" t="s">
        <v>551</v>
      </c>
      <c r="E2421">
        <v>6.6</v>
      </c>
      <c r="F2421">
        <v>20131004</v>
      </c>
      <c r="G2421" t="s">
        <v>392</v>
      </c>
      <c r="H2421" t="s">
        <v>414</v>
      </c>
      <c r="I2421" t="s">
        <v>21</v>
      </c>
    </row>
    <row r="2422" spans="1:9" x14ac:dyDescent="0.25">
      <c r="A2422">
        <v>20131010</v>
      </c>
      <c r="B2422" t="str">
        <f t="shared" si="189"/>
        <v>112012</v>
      </c>
      <c r="C2422" t="str">
        <f t="shared" si="190"/>
        <v>27981</v>
      </c>
      <c r="D2422" t="s">
        <v>551</v>
      </c>
      <c r="E2422">
        <v>7.28</v>
      </c>
      <c r="F2422">
        <v>20131004</v>
      </c>
      <c r="G2422" t="s">
        <v>392</v>
      </c>
      <c r="H2422" t="s">
        <v>414</v>
      </c>
      <c r="I2422" t="s">
        <v>21</v>
      </c>
    </row>
    <row r="2423" spans="1:9" x14ac:dyDescent="0.25">
      <c r="A2423">
        <v>20131010</v>
      </c>
      <c r="B2423" t="str">
        <f t="shared" si="189"/>
        <v>112012</v>
      </c>
      <c r="C2423" t="str">
        <f t="shared" si="190"/>
        <v>27981</v>
      </c>
      <c r="D2423" t="s">
        <v>551</v>
      </c>
      <c r="E2423">
        <v>180</v>
      </c>
      <c r="F2423">
        <v>20131004</v>
      </c>
      <c r="G2423" t="s">
        <v>417</v>
      </c>
      <c r="H2423" t="s">
        <v>414</v>
      </c>
      <c r="I2423" t="s">
        <v>21</v>
      </c>
    </row>
    <row r="2424" spans="1:9" x14ac:dyDescent="0.25">
      <c r="A2424">
        <v>20131010</v>
      </c>
      <c r="B2424" t="str">
        <f t="shared" si="189"/>
        <v>112012</v>
      </c>
      <c r="C2424" t="str">
        <f t="shared" si="190"/>
        <v>27981</v>
      </c>
      <c r="D2424" t="s">
        <v>551</v>
      </c>
      <c r="E2424">
        <v>425.48</v>
      </c>
      <c r="F2424">
        <v>20131004</v>
      </c>
      <c r="G2424" t="s">
        <v>417</v>
      </c>
      <c r="H2424" t="s">
        <v>414</v>
      </c>
      <c r="I2424" t="s">
        <v>21</v>
      </c>
    </row>
    <row r="2425" spans="1:9" x14ac:dyDescent="0.25">
      <c r="A2425">
        <v>20131010</v>
      </c>
      <c r="B2425" t="str">
        <f t="shared" ref="B2425:B2443" si="191">"112013"</f>
        <v>112013</v>
      </c>
      <c r="C2425" t="str">
        <f>"28070"</f>
        <v>28070</v>
      </c>
      <c r="D2425" t="s">
        <v>1416</v>
      </c>
      <c r="E2425">
        <v>150</v>
      </c>
      <c r="F2425">
        <v>20131004</v>
      </c>
      <c r="G2425" t="s">
        <v>498</v>
      </c>
      <c r="H2425" t="s">
        <v>499</v>
      </c>
      <c r="I2425" t="s">
        <v>21</v>
      </c>
    </row>
    <row r="2426" spans="1:9" x14ac:dyDescent="0.25">
      <c r="A2426">
        <v>20131010</v>
      </c>
      <c r="B2426" t="str">
        <f t="shared" si="191"/>
        <v>112013</v>
      </c>
      <c r="C2426" t="str">
        <f>"28070"</f>
        <v>28070</v>
      </c>
      <c r="D2426" t="s">
        <v>1416</v>
      </c>
      <c r="E2426">
        <v>155</v>
      </c>
      <c r="F2426">
        <v>20131004</v>
      </c>
      <c r="G2426" t="s">
        <v>498</v>
      </c>
      <c r="H2426" t="s">
        <v>499</v>
      </c>
      <c r="I2426" t="s">
        <v>21</v>
      </c>
    </row>
    <row r="2427" spans="1:9" x14ac:dyDescent="0.25">
      <c r="A2427">
        <v>20131122</v>
      </c>
      <c r="B2427" t="str">
        <f t="shared" si="191"/>
        <v>112013</v>
      </c>
      <c r="C2427" t="str">
        <f t="shared" ref="C2427:C2443" si="192">"80959"</f>
        <v>80959</v>
      </c>
      <c r="D2427" t="s">
        <v>250</v>
      </c>
      <c r="E2427" s="1">
        <v>244931.54</v>
      </c>
      <c r="F2427">
        <v>20131122</v>
      </c>
      <c r="G2427" t="s">
        <v>251</v>
      </c>
      <c r="H2427" t="s">
        <v>334</v>
      </c>
      <c r="I2427" t="s">
        <v>29</v>
      </c>
    </row>
    <row r="2428" spans="1:9" x14ac:dyDescent="0.25">
      <c r="A2428">
        <v>20131122</v>
      </c>
      <c r="B2428" t="str">
        <f t="shared" si="191"/>
        <v>112013</v>
      </c>
      <c r="C2428" t="str">
        <f t="shared" si="192"/>
        <v>80959</v>
      </c>
      <c r="D2428" t="s">
        <v>250</v>
      </c>
      <c r="E2428" s="1">
        <v>38321.64</v>
      </c>
      <c r="F2428">
        <v>20131122</v>
      </c>
      <c r="G2428" t="s">
        <v>252</v>
      </c>
      <c r="H2428" t="s">
        <v>334</v>
      </c>
      <c r="I2428" t="s">
        <v>29</v>
      </c>
    </row>
    <row r="2429" spans="1:9" x14ac:dyDescent="0.25">
      <c r="A2429">
        <v>20131122</v>
      </c>
      <c r="B2429" t="str">
        <f t="shared" si="191"/>
        <v>112013</v>
      </c>
      <c r="C2429" t="str">
        <f t="shared" si="192"/>
        <v>80959</v>
      </c>
      <c r="D2429" t="s">
        <v>250</v>
      </c>
      <c r="E2429" s="1">
        <v>38321.56</v>
      </c>
      <c r="F2429">
        <v>20131122</v>
      </c>
      <c r="G2429" t="s">
        <v>253</v>
      </c>
      <c r="H2429" t="s">
        <v>334</v>
      </c>
      <c r="I2429" t="s">
        <v>29</v>
      </c>
    </row>
    <row r="2430" spans="1:9" x14ac:dyDescent="0.25">
      <c r="A2430">
        <v>20131122</v>
      </c>
      <c r="B2430" t="str">
        <f t="shared" si="191"/>
        <v>112013</v>
      </c>
      <c r="C2430" t="str">
        <f t="shared" si="192"/>
        <v>80959</v>
      </c>
      <c r="D2430" t="s">
        <v>250</v>
      </c>
      <c r="E2430" s="1">
        <v>147580</v>
      </c>
      <c r="F2430">
        <v>20131122</v>
      </c>
      <c r="G2430" t="s">
        <v>92</v>
      </c>
      <c r="H2430" t="s">
        <v>334</v>
      </c>
      <c r="I2430" t="s">
        <v>29</v>
      </c>
    </row>
    <row r="2431" spans="1:9" x14ac:dyDescent="0.25">
      <c r="A2431">
        <v>20131122</v>
      </c>
      <c r="B2431" t="str">
        <f t="shared" si="191"/>
        <v>112013</v>
      </c>
      <c r="C2431" t="str">
        <f t="shared" si="192"/>
        <v>80959</v>
      </c>
      <c r="D2431" t="s">
        <v>250</v>
      </c>
      <c r="E2431" s="1">
        <v>1245.24</v>
      </c>
      <c r="F2431">
        <v>20131122</v>
      </c>
      <c r="G2431" t="s">
        <v>254</v>
      </c>
      <c r="H2431" t="s">
        <v>334</v>
      </c>
      <c r="I2431" t="s">
        <v>29</v>
      </c>
    </row>
    <row r="2432" spans="1:9" x14ac:dyDescent="0.25">
      <c r="A2432">
        <v>20131122</v>
      </c>
      <c r="B2432" t="str">
        <f t="shared" si="191"/>
        <v>112013</v>
      </c>
      <c r="C2432" t="str">
        <f t="shared" si="192"/>
        <v>80959</v>
      </c>
      <c r="D2432" t="s">
        <v>250</v>
      </c>
      <c r="E2432" s="1">
        <v>1082.42</v>
      </c>
      <c r="F2432">
        <v>20131122</v>
      </c>
      <c r="G2432" t="s">
        <v>255</v>
      </c>
      <c r="H2432" t="s">
        <v>334</v>
      </c>
      <c r="I2432" t="s">
        <v>29</v>
      </c>
    </row>
    <row r="2433" spans="1:9" x14ac:dyDescent="0.25">
      <c r="A2433">
        <v>20131122</v>
      </c>
      <c r="B2433" t="str">
        <f t="shared" si="191"/>
        <v>112013</v>
      </c>
      <c r="C2433" t="str">
        <f t="shared" si="192"/>
        <v>80959</v>
      </c>
      <c r="D2433" t="s">
        <v>250</v>
      </c>
      <c r="E2433" s="1">
        <v>134347.5</v>
      </c>
      <c r="F2433">
        <v>20131122</v>
      </c>
      <c r="G2433" t="s">
        <v>256</v>
      </c>
      <c r="H2433" t="s">
        <v>334</v>
      </c>
      <c r="I2433" t="s">
        <v>29</v>
      </c>
    </row>
    <row r="2434" spans="1:9" x14ac:dyDescent="0.25">
      <c r="A2434">
        <v>20131122</v>
      </c>
      <c r="B2434" t="str">
        <f t="shared" si="191"/>
        <v>112013</v>
      </c>
      <c r="C2434" t="str">
        <f t="shared" si="192"/>
        <v>80959</v>
      </c>
      <c r="D2434" t="s">
        <v>250</v>
      </c>
      <c r="E2434" s="1">
        <v>10243</v>
      </c>
      <c r="F2434">
        <v>20131122</v>
      </c>
      <c r="G2434" t="s">
        <v>257</v>
      </c>
      <c r="H2434" t="s">
        <v>334</v>
      </c>
      <c r="I2434" t="s">
        <v>29</v>
      </c>
    </row>
    <row r="2435" spans="1:9" x14ac:dyDescent="0.25">
      <c r="A2435">
        <v>20131122</v>
      </c>
      <c r="B2435" t="str">
        <f t="shared" si="191"/>
        <v>112013</v>
      </c>
      <c r="C2435" t="str">
        <f t="shared" si="192"/>
        <v>80959</v>
      </c>
      <c r="D2435" t="s">
        <v>250</v>
      </c>
      <c r="E2435" s="1">
        <v>185207.91</v>
      </c>
      <c r="F2435">
        <v>20131122</v>
      </c>
      <c r="G2435" t="s">
        <v>258</v>
      </c>
      <c r="H2435" t="s">
        <v>334</v>
      </c>
      <c r="I2435" t="s">
        <v>29</v>
      </c>
    </row>
    <row r="2436" spans="1:9" x14ac:dyDescent="0.25">
      <c r="A2436">
        <v>20131122</v>
      </c>
      <c r="B2436" t="str">
        <f t="shared" si="191"/>
        <v>112013</v>
      </c>
      <c r="C2436" t="str">
        <f t="shared" si="192"/>
        <v>80959</v>
      </c>
      <c r="D2436" t="s">
        <v>250</v>
      </c>
      <c r="E2436" s="1">
        <v>16567.28</v>
      </c>
      <c r="F2436">
        <v>20131122</v>
      </c>
      <c r="G2436" t="s">
        <v>259</v>
      </c>
      <c r="H2436" t="s">
        <v>334</v>
      </c>
      <c r="I2436" t="s">
        <v>29</v>
      </c>
    </row>
    <row r="2437" spans="1:9" x14ac:dyDescent="0.25">
      <c r="A2437">
        <v>20131122</v>
      </c>
      <c r="B2437" t="str">
        <f t="shared" si="191"/>
        <v>112013</v>
      </c>
      <c r="C2437" t="str">
        <f t="shared" si="192"/>
        <v>80959</v>
      </c>
      <c r="D2437" t="s">
        <v>250</v>
      </c>
      <c r="E2437" s="1">
        <v>28270.7</v>
      </c>
      <c r="F2437">
        <v>20131122</v>
      </c>
      <c r="G2437" t="s">
        <v>260</v>
      </c>
      <c r="H2437" t="s">
        <v>334</v>
      </c>
      <c r="I2437" t="s">
        <v>29</v>
      </c>
    </row>
    <row r="2438" spans="1:9" x14ac:dyDescent="0.25">
      <c r="A2438">
        <v>20131122</v>
      </c>
      <c r="B2438" t="str">
        <f t="shared" si="191"/>
        <v>112013</v>
      </c>
      <c r="C2438" t="str">
        <f t="shared" si="192"/>
        <v>80959</v>
      </c>
      <c r="D2438" t="s">
        <v>250</v>
      </c>
      <c r="E2438" s="1">
        <v>2527.77</v>
      </c>
      <c r="F2438">
        <v>20131122</v>
      </c>
      <c r="G2438" t="s">
        <v>261</v>
      </c>
      <c r="H2438" t="s">
        <v>334</v>
      </c>
      <c r="I2438" t="s">
        <v>29</v>
      </c>
    </row>
    <row r="2439" spans="1:9" x14ac:dyDescent="0.25">
      <c r="A2439">
        <v>20131122</v>
      </c>
      <c r="B2439" t="str">
        <f t="shared" si="191"/>
        <v>112013</v>
      </c>
      <c r="C2439" t="str">
        <f t="shared" si="192"/>
        <v>80959</v>
      </c>
      <c r="D2439" t="s">
        <v>250</v>
      </c>
      <c r="E2439" s="1">
        <v>14448.93</v>
      </c>
      <c r="F2439">
        <v>20131122</v>
      </c>
      <c r="G2439" t="s">
        <v>262</v>
      </c>
      <c r="H2439" t="s">
        <v>334</v>
      </c>
      <c r="I2439" t="s">
        <v>29</v>
      </c>
    </row>
    <row r="2440" spans="1:9" x14ac:dyDescent="0.25">
      <c r="A2440">
        <v>20131122</v>
      </c>
      <c r="B2440" t="str">
        <f t="shared" si="191"/>
        <v>112013</v>
      </c>
      <c r="C2440" t="str">
        <f t="shared" si="192"/>
        <v>80959</v>
      </c>
      <c r="D2440" t="s">
        <v>250</v>
      </c>
      <c r="E2440" s="1">
        <v>10697.55</v>
      </c>
      <c r="F2440">
        <v>20131122</v>
      </c>
      <c r="G2440" t="s">
        <v>263</v>
      </c>
      <c r="H2440" t="s">
        <v>334</v>
      </c>
      <c r="I2440" t="s">
        <v>29</v>
      </c>
    </row>
    <row r="2441" spans="1:9" x14ac:dyDescent="0.25">
      <c r="A2441">
        <v>20131122</v>
      </c>
      <c r="B2441" t="str">
        <f t="shared" si="191"/>
        <v>112013</v>
      </c>
      <c r="C2441" t="str">
        <f t="shared" si="192"/>
        <v>80959</v>
      </c>
      <c r="D2441" t="s">
        <v>250</v>
      </c>
      <c r="E2441" s="1">
        <v>2919.29</v>
      </c>
      <c r="F2441">
        <v>20131122</v>
      </c>
      <c r="G2441" t="s">
        <v>264</v>
      </c>
      <c r="H2441" t="s">
        <v>334</v>
      </c>
      <c r="I2441" t="s">
        <v>29</v>
      </c>
    </row>
    <row r="2442" spans="1:9" x14ac:dyDescent="0.25">
      <c r="A2442">
        <v>20131122</v>
      </c>
      <c r="B2442" t="str">
        <f t="shared" si="191"/>
        <v>112013</v>
      </c>
      <c r="C2442" t="str">
        <f t="shared" si="192"/>
        <v>80959</v>
      </c>
      <c r="D2442" t="s">
        <v>250</v>
      </c>
      <c r="E2442" s="1">
        <v>1716</v>
      </c>
      <c r="F2442">
        <v>20131122</v>
      </c>
      <c r="G2442" t="s">
        <v>265</v>
      </c>
      <c r="H2442" t="s">
        <v>334</v>
      </c>
      <c r="I2442" t="s">
        <v>29</v>
      </c>
    </row>
    <row r="2443" spans="1:9" x14ac:dyDescent="0.25">
      <c r="A2443">
        <v>20131122</v>
      </c>
      <c r="B2443" t="str">
        <f t="shared" si="191"/>
        <v>112013</v>
      </c>
      <c r="C2443" t="str">
        <f t="shared" si="192"/>
        <v>80959</v>
      </c>
      <c r="D2443" t="s">
        <v>250</v>
      </c>
      <c r="E2443" s="1">
        <v>6426.46</v>
      </c>
      <c r="F2443">
        <v>20131122</v>
      </c>
      <c r="G2443" t="s">
        <v>266</v>
      </c>
      <c r="H2443" t="s">
        <v>334</v>
      </c>
      <c r="I2443" t="s">
        <v>29</v>
      </c>
    </row>
    <row r="2444" spans="1:9" x14ac:dyDescent="0.25">
      <c r="A2444">
        <v>20131010</v>
      </c>
      <c r="B2444" t="str">
        <f>"112014"</f>
        <v>112014</v>
      </c>
      <c r="C2444" t="str">
        <f>"00653"</f>
        <v>00653</v>
      </c>
      <c r="D2444" t="s">
        <v>552</v>
      </c>
      <c r="E2444" s="1">
        <v>3840</v>
      </c>
      <c r="F2444">
        <v>20131008</v>
      </c>
      <c r="G2444" t="s">
        <v>154</v>
      </c>
      <c r="H2444" t="s">
        <v>553</v>
      </c>
      <c r="I2444" t="s">
        <v>25</v>
      </c>
    </row>
    <row r="2445" spans="1:9" x14ac:dyDescent="0.25">
      <c r="A2445">
        <v>20131010</v>
      </c>
      <c r="B2445" t="str">
        <f>"112014"</f>
        <v>112014</v>
      </c>
      <c r="C2445" t="str">
        <f>"00653"</f>
        <v>00653</v>
      </c>
      <c r="D2445" t="s">
        <v>552</v>
      </c>
      <c r="E2445" s="1">
        <v>1848</v>
      </c>
      <c r="F2445">
        <v>20131009</v>
      </c>
      <c r="G2445" t="s">
        <v>48</v>
      </c>
      <c r="H2445" t="s">
        <v>553</v>
      </c>
      <c r="I2445" t="s">
        <v>25</v>
      </c>
    </row>
    <row r="2446" spans="1:9" x14ac:dyDescent="0.25">
      <c r="A2446">
        <v>20131010</v>
      </c>
      <c r="B2446" t="str">
        <f t="shared" ref="B2446:B2453" si="193">"112015"</f>
        <v>112015</v>
      </c>
      <c r="C2446" t="str">
        <f t="shared" ref="C2446:C2453" si="194">"81054"</f>
        <v>81054</v>
      </c>
      <c r="D2446" t="s">
        <v>554</v>
      </c>
      <c r="E2446">
        <v>246.5</v>
      </c>
      <c r="F2446">
        <v>20131004</v>
      </c>
      <c r="G2446" t="s">
        <v>746</v>
      </c>
      <c r="H2446" t="s">
        <v>555</v>
      </c>
      <c r="I2446" t="s">
        <v>21</v>
      </c>
    </row>
    <row r="2447" spans="1:9" x14ac:dyDescent="0.25">
      <c r="A2447">
        <v>20131010</v>
      </c>
      <c r="B2447" t="str">
        <f t="shared" si="193"/>
        <v>112015</v>
      </c>
      <c r="C2447" t="str">
        <f t="shared" si="194"/>
        <v>81054</v>
      </c>
      <c r="D2447" t="s">
        <v>554</v>
      </c>
      <c r="E2447">
        <v>224</v>
      </c>
      <c r="F2447">
        <v>20131004</v>
      </c>
      <c r="G2447" t="s">
        <v>746</v>
      </c>
      <c r="H2447" t="s">
        <v>555</v>
      </c>
      <c r="I2447" t="s">
        <v>21</v>
      </c>
    </row>
    <row r="2448" spans="1:9" x14ac:dyDescent="0.25">
      <c r="A2448">
        <v>20131010</v>
      </c>
      <c r="B2448" t="str">
        <f t="shared" si="193"/>
        <v>112015</v>
      </c>
      <c r="C2448" t="str">
        <f t="shared" si="194"/>
        <v>81054</v>
      </c>
      <c r="D2448" t="s">
        <v>554</v>
      </c>
      <c r="E2448">
        <v>237.5</v>
      </c>
      <c r="F2448">
        <v>20131004</v>
      </c>
      <c r="G2448" t="s">
        <v>746</v>
      </c>
      <c r="H2448" t="s">
        <v>555</v>
      </c>
      <c r="I2448" t="s">
        <v>21</v>
      </c>
    </row>
    <row r="2449" spans="1:9" x14ac:dyDescent="0.25">
      <c r="A2449">
        <v>20131010</v>
      </c>
      <c r="B2449" t="str">
        <f t="shared" si="193"/>
        <v>112015</v>
      </c>
      <c r="C2449" t="str">
        <f t="shared" si="194"/>
        <v>81054</v>
      </c>
      <c r="D2449" t="s">
        <v>554</v>
      </c>
      <c r="E2449">
        <v>209</v>
      </c>
      <c r="F2449">
        <v>20131004</v>
      </c>
      <c r="G2449" t="s">
        <v>746</v>
      </c>
      <c r="H2449" t="s">
        <v>555</v>
      </c>
      <c r="I2449" t="s">
        <v>21</v>
      </c>
    </row>
    <row r="2450" spans="1:9" x14ac:dyDescent="0.25">
      <c r="A2450">
        <v>20131010</v>
      </c>
      <c r="B2450" t="str">
        <f t="shared" si="193"/>
        <v>112015</v>
      </c>
      <c r="C2450" t="str">
        <f t="shared" si="194"/>
        <v>81054</v>
      </c>
      <c r="D2450" t="s">
        <v>554</v>
      </c>
      <c r="E2450">
        <v>229</v>
      </c>
      <c r="F2450">
        <v>20131004</v>
      </c>
      <c r="G2450" t="s">
        <v>746</v>
      </c>
      <c r="H2450" t="s">
        <v>555</v>
      </c>
      <c r="I2450" t="s">
        <v>21</v>
      </c>
    </row>
    <row r="2451" spans="1:9" x14ac:dyDescent="0.25">
      <c r="A2451">
        <v>20131010</v>
      </c>
      <c r="B2451" t="str">
        <f t="shared" si="193"/>
        <v>112015</v>
      </c>
      <c r="C2451" t="str">
        <f t="shared" si="194"/>
        <v>81054</v>
      </c>
      <c r="D2451" t="s">
        <v>554</v>
      </c>
      <c r="E2451">
        <v>198</v>
      </c>
      <c r="F2451">
        <v>20131004</v>
      </c>
      <c r="G2451" t="s">
        <v>746</v>
      </c>
      <c r="H2451" t="s">
        <v>555</v>
      </c>
      <c r="I2451" t="s">
        <v>21</v>
      </c>
    </row>
    <row r="2452" spans="1:9" x14ac:dyDescent="0.25">
      <c r="A2452">
        <v>20131010</v>
      </c>
      <c r="B2452" t="str">
        <f t="shared" si="193"/>
        <v>112015</v>
      </c>
      <c r="C2452" t="str">
        <f t="shared" si="194"/>
        <v>81054</v>
      </c>
      <c r="D2452" t="s">
        <v>554</v>
      </c>
      <c r="E2452">
        <v>346</v>
      </c>
      <c r="F2452">
        <v>20131004</v>
      </c>
      <c r="G2452" t="s">
        <v>746</v>
      </c>
      <c r="H2452" t="s">
        <v>555</v>
      </c>
      <c r="I2452" t="s">
        <v>21</v>
      </c>
    </row>
    <row r="2453" spans="1:9" x14ac:dyDescent="0.25">
      <c r="A2453">
        <v>20131010</v>
      </c>
      <c r="B2453" t="str">
        <f t="shared" si="193"/>
        <v>112015</v>
      </c>
      <c r="C2453" t="str">
        <f t="shared" si="194"/>
        <v>81054</v>
      </c>
      <c r="D2453" t="s">
        <v>554</v>
      </c>
      <c r="E2453">
        <v>302</v>
      </c>
      <c r="F2453">
        <v>20131004</v>
      </c>
      <c r="G2453" t="s">
        <v>746</v>
      </c>
      <c r="H2453" t="s">
        <v>555</v>
      </c>
      <c r="I2453" t="s">
        <v>21</v>
      </c>
    </row>
    <row r="2454" spans="1:9" x14ac:dyDescent="0.25">
      <c r="A2454">
        <v>20131010</v>
      </c>
      <c r="B2454" t="str">
        <f>"112016"</f>
        <v>112016</v>
      </c>
      <c r="C2454" t="str">
        <f>"81292"</f>
        <v>81292</v>
      </c>
      <c r="D2454" t="s">
        <v>1417</v>
      </c>
      <c r="E2454">
        <v>1.01</v>
      </c>
      <c r="F2454">
        <v>20131004</v>
      </c>
      <c r="G2454" t="s">
        <v>498</v>
      </c>
      <c r="H2454" t="s">
        <v>499</v>
      </c>
      <c r="I2454" t="s">
        <v>21</v>
      </c>
    </row>
    <row r="2455" spans="1:9" x14ac:dyDescent="0.25">
      <c r="A2455">
        <v>20131010</v>
      </c>
      <c r="B2455" t="str">
        <f>"112016"</f>
        <v>112016</v>
      </c>
      <c r="C2455" t="str">
        <f>"81292"</f>
        <v>81292</v>
      </c>
      <c r="D2455" t="s">
        <v>1417</v>
      </c>
      <c r="E2455">
        <v>114.06</v>
      </c>
      <c r="F2455">
        <v>20131004</v>
      </c>
      <c r="G2455" t="s">
        <v>496</v>
      </c>
      <c r="H2455" t="s">
        <v>414</v>
      </c>
      <c r="I2455" t="s">
        <v>21</v>
      </c>
    </row>
    <row r="2456" spans="1:9" x14ac:dyDescent="0.25">
      <c r="A2456">
        <v>20131010</v>
      </c>
      <c r="B2456" t="str">
        <f>"112017"</f>
        <v>112017</v>
      </c>
      <c r="C2456" t="str">
        <f>"87471"</f>
        <v>87471</v>
      </c>
      <c r="D2456" t="s">
        <v>1418</v>
      </c>
      <c r="E2456">
        <v>50</v>
      </c>
      <c r="F2456">
        <v>20131004</v>
      </c>
      <c r="G2456" t="s">
        <v>950</v>
      </c>
      <c r="H2456" t="s">
        <v>1355</v>
      </c>
      <c r="I2456" t="s">
        <v>21</v>
      </c>
    </row>
    <row r="2457" spans="1:9" x14ac:dyDescent="0.25">
      <c r="A2457">
        <v>20131010</v>
      </c>
      <c r="B2457" t="str">
        <f>"112018"</f>
        <v>112018</v>
      </c>
      <c r="C2457" t="str">
        <f>"30000"</f>
        <v>30000</v>
      </c>
      <c r="D2457" t="s">
        <v>556</v>
      </c>
      <c r="E2457">
        <v>526.89</v>
      </c>
      <c r="F2457">
        <v>20131004</v>
      </c>
      <c r="G2457" t="s">
        <v>579</v>
      </c>
      <c r="H2457" t="s">
        <v>1419</v>
      </c>
      <c r="I2457" t="s">
        <v>21</v>
      </c>
    </row>
    <row r="2458" spans="1:9" x14ac:dyDescent="0.25">
      <c r="A2458">
        <v>20131010</v>
      </c>
      <c r="B2458" t="str">
        <f>"112018"</f>
        <v>112018</v>
      </c>
      <c r="C2458" t="str">
        <f>"30000"</f>
        <v>30000</v>
      </c>
      <c r="D2458" t="s">
        <v>556</v>
      </c>
      <c r="E2458">
        <v>404.97</v>
      </c>
      <c r="F2458">
        <v>20131009</v>
      </c>
      <c r="G2458" t="s">
        <v>579</v>
      </c>
      <c r="H2458" t="s">
        <v>1420</v>
      </c>
      <c r="I2458" t="s">
        <v>21</v>
      </c>
    </row>
    <row r="2459" spans="1:9" x14ac:dyDescent="0.25">
      <c r="A2459">
        <v>20131010</v>
      </c>
      <c r="B2459" t="str">
        <f>"112018"</f>
        <v>112018</v>
      </c>
      <c r="C2459" t="str">
        <f>"30000"</f>
        <v>30000</v>
      </c>
      <c r="D2459" t="s">
        <v>556</v>
      </c>
      <c r="E2459">
        <v>209.8</v>
      </c>
      <c r="F2459">
        <v>20131009</v>
      </c>
      <c r="G2459" t="s">
        <v>583</v>
      </c>
      <c r="H2459" t="s">
        <v>1421</v>
      </c>
      <c r="I2459" t="s">
        <v>21</v>
      </c>
    </row>
    <row r="2460" spans="1:9" x14ac:dyDescent="0.25">
      <c r="A2460">
        <v>20131010</v>
      </c>
      <c r="B2460" t="str">
        <f>"112018"</f>
        <v>112018</v>
      </c>
      <c r="C2460" t="str">
        <f>"30000"</f>
        <v>30000</v>
      </c>
      <c r="D2460" t="s">
        <v>556</v>
      </c>
      <c r="E2460">
        <v>25.98</v>
      </c>
      <c r="F2460">
        <v>20131003</v>
      </c>
      <c r="G2460" t="s">
        <v>585</v>
      </c>
      <c r="H2460" t="s">
        <v>1422</v>
      </c>
      <c r="I2460" t="s">
        <v>21</v>
      </c>
    </row>
    <row r="2461" spans="1:9" x14ac:dyDescent="0.25">
      <c r="A2461">
        <v>20131010</v>
      </c>
      <c r="B2461" t="str">
        <f>"112018"</f>
        <v>112018</v>
      </c>
      <c r="C2461" t="str">
        <f>"30000"</f>
        <v>30000</v>
      </c>
      <c r="D2461" t="s">
        <v>556</v>
      </c>
      <c r="E2461">
        <v>73.98</v>
      </c>
      <c r="F2461">
        <v>20131008</v>
      </c>
      <c r="G2461" t="s">
        <v>137</v>
      </c>
      <c r="H2461" t="s">
        <v>1423</v>
      </c>
      <c r="I2461" t="s">
        <v>21</v>
      </c>
    </row>
    <row r="2462" spans="1:9" x14ac:dyDescent="0.25">
      <c r="A2462">
        <v>20131010</v>
      </c>
      <c r="B2462" t="str">
        <f>"112019"</f>
        <v>112019</v>
      </c>
      <c r="C2462" t="str">
        <f>"00287"</f>
        <v>00287</v>
      </c>
      <c r="D2462" t="s">
        <v>558</v>
      </c>
      <c r="E2462" s="1">
        <v>4437.59</v>
      </c>
      <c r="F2462">
        <v>20131003</v>
      </c>
      <c r="G2462" t="s">
        <v>1424</v>
      </c>
      <c r="H2462" t="s">
        <v>1425</v>
      </c>
      <c r="I2462" t="s">
        <v>21</v>
      </c>
    </row>
    <row r="2463" spans="1:9" x14ac:dyDescent="0.25">
      <c r="A2463">
        <v>20131010</v>
      </c>
      <c r="B2463" t="str">
        <f>"112020"</f>
        <v>112020</v>
      </c>
      <c r="C2463" t="str">
        <f>"85333"</f>
        <v>85333</v>
      </c>
      <c r="D2463" t="s">
        <v>561</v>
      </c>
      <c r="E2463">
        <v>57.57</v>
      </c>
      <c r="F2463">
        <v>20131008</v>
      </c>
      <c r="G2463" t="s">
        <v>1033</v>
      </c>
      <c r="H2463" t="s">
        <v>365</v>
      </c>
      <c r="I2463" t="s">
        <v>21</v>
      </c>
    </row>
    <row r="2464" spans="1:9" x14ac:dyDescent="0.25">
      <c r="A2464">
        <v>20131010</v>
      </c>
      <c r="B2464" t="str">
        <f>"112021"</f>
        <v>112021</v>
      </c>
      <c r="C2464" t="str">
        <f>"87031"</f>
        <v>87031</v>
      </c>
      <c r="D2464" t="s">
        <v>418</v>
      </c>
      <c r="E2464">
        <v>70.2</v>
      </c>
      <c r="F2464">
        <v>20131009</v>
      </c>
      <c r="G2464" t="s">
        <v>410</v>
      </c>
      <c r="H2464" t="s">
        <v>411</v>
      </c>
      <c r="I2464" t="s">
        <v>12</v>
      </c>
    </row>
    <row r="2465" spans="1:9" x14ac:dyDescent="0.25">
      <c r="A2465">
        <v>20131010</v>
      </c>
      <c r="B2465" t="str">
        <f>"112022"</f>
        <v>112022</v>
      </c>
      <c r="C2465" t="str">
        <f>"86490"</f>
        <v>86490</v>
      </c>
      <c r="D2465" t="s">
        <v>851</v>
      </c>
      <c r="E2465">
        <v>116.44</v>
      </c>
      <c r="F2465">
        <v>20131007</v>
      </c>
      <c r="G2465" t="s">
        <v>774</v>
      </c>
      <c r="H2465" t="s">
        <v>765</v>
      </c>
      <c r="I2465" t="s">
        <v>61</v>
      </c>
    </row>
    <row r="2466" spans="1:9" x14ac:dyDescent="0.25">
      <c r="A2466">
        <v>20131010</v>
      </c>
      <c r="B2466" t="str">
        <f>"112023"</f>
        <v>112023</v>
      </c>
      <c r="C2466" t="str">
        <f>"31570"</f>
        <v>31570</v>
      </c>
      <c r="D2466" t="s">
        <v>1244</v>
      </c>
      <c r="E2466">
        <v>14.52</v>
      </c>
      <c r="F2466">
        <v>20131004</v>
      </c>
      <c r="G2466" t="s">
        <v>1426</v>
      </c>
      <c r="H2466" t="s">
        <v>414</v>
      </c>
      <c r="I2466" t="s">
        <v>38</v>
      </c>
    </row>
    <row r="2467" spans="1:9" x14ac:dyDescent="0.25">
      <c r="A2467">
        <v>20131010</v>
      </c>
      <c r="B2467" t="str">
        <f>"112023"</f>
        <v>112023</v>
      </c>
      <c r="C2467" t="str">
        <f>"31570"</f>
        <v>31570</v>
      </c>
      <c r="D2467" t="s">
        <v>1244</v>
      </c>
      <c r="E2467">
        <v>7.4</v>
      </c>
      <c r="F2467">
        <v>20131004</v>
      </c>
      <c r="G2467" t="s">
        <v>1426</v>
      </c>
      <c r="H2467" t="s">
        <v>414</v>
      </c>
      <c r="I2467" t="s">
        <v>38</v>
      </c>
    </row>
    <row r="2468" spans="1:9" x14ac:dyDescent="0.25">
      <c r="A2468">
        <v>20131010</v>
      </c>
      <c r="B2468" t="str">
        <f>"112023"</f>
        <v>112023</v>
      </c>
      <c r="C2468" t="str">
        <f>"31570"</f>
        <v>31570</v>
      </c>
      <c r="D2468" t="s">
        <v>1244</v>
      </c>
      <c r="E2468">
        <v>7.59</v>
      </c>
      <c r="F2468">
        <v>20131004</v>
      </c>
      <c r="G2468" t="s">
        <v>1426</v>
      </c>
      <c r="H2468" t="s">
        <v>414</v>
      </c>
      <c r="I2468" t="s">
        <v>38</v>
      </c>
    </row>
    <row r="2469" spans="1:9" x14ac:dyDescent="0.25">
      <c r="A2469">
        <v>20131010</v>
      </c>
      <c r="B2469" t="str">
        <f>"112023"</f>
        <v>112023</v>
      </c>
      <c r="C2469" t="str">
        <f>"31570"</f>
        <v>31570</v>
      </c>
      <c r="D2469" t="s">
        <v>1244</v>
      </c>
      <c r="E2469">
        <v>70.930000000000007</v>
      </c>
      <c r="F2469">
        <v>20131004</v>
      </c>
      <c r="G2469" t="s">
        <v>1426</v>
      </c>
      <c r="H2469" t="s">
        <v>414</v>
      </c>
      <c r="I2469" t="s">
        <v>38</v>
      </c>
    </row>
    <row r="2470" spans="1:9" x14ac:dyDescent="0.25">
      <c r="A2470">
        <v>20131010</v>
      </c>
      <c r="B2470" t="str">
        <f>"112024"</f>
        <v>112024</v>
      </c>
      <c r="C2470" t="str">
        <f>"31570"</f>
        <v>31570</v>
      </c>
      <c r="D2470" t="s">
        <v>1244</v>
      </c>
      <c r="E2470">
        <v>20.78</v>
      </c>
      <c r="F2470">
        <v>20131008</v>
      </c>
      <c r="G2470" t="s">
        <v>140</v>
      </c>
      <c r="H2470" t="s">
        <v>1427</v>
      </c>
      <c r="I2470" t="s">
        <v>25</v>
      </c>
    </row>
    <row r="2471" spans="1:9" x14ac:dyDescent="0.25">
      <c r="A2471">
        <v>20131010</v>
      </c>
      <c r="B2471" t="str">
        <f>"112025"</f>
        <v>112025</v>
      </c>
      <c r="C2471" t="str">
        <f>"86858"</f>
        <v>86858</v>
      </c>
      <c r="D2471" t="s">
        <v>1428</v>
      </c>
      <c r="E2471">
        <v>250</v>
      </c>
      <c r="F2471">
        <v>20131010</v>
      </c>
      <c r="G2471" t="s">
        <v>347</v>
      </c>
      <c r="H2471" t="s">
        <v>361</v>
      </c>
      <c r="I2471" t="s">
        <v>61</v>
      </c>
    </row>
    <row r="2472" spans="1:9" x14ac:dyDescent="0.25">
      <c r="A2472">
        <v>20131010</v>
      </c>
      <c r="B2472" t="str">
        <f>"112026"</f>
        <v>112026</v>
      </c>
      <c r="C2472" t="str">
        <f>"87458"</f>
        <v>87458</v>
      </c>
      <c r="D2472" t="s">
        <v>1429</v>
      </c>
      <c r="E2472">
        <v>112.74</v>
      </c>
      <c r="F2472">
        <v>20131003</v>
      </c>
      <c r="G2472" t="s">
        <v>840</v>
      </c>
      <c r="H2472" t="s">
        <v>1430</v>
      </c>
      <c r="I2472" t="s">
        <v>21</v>
      </c>
    </row>
    <row r="2473" spans="1:9" x14ac:dyDescent="0.25">
      <c r="A2473">
        <v>20131010</v>
      </c>
      <c r="B2473" t="str">
        <f>"112026"</f>
        <v>112026</v>
      </c>
      <c r="C2473" t="str">
        <f>"87458"</f>
        <v>87458</v>
      </c>
      <c r="D2473" t="s">
        <v>1429</v>
      </c>
      <c r="E2473">
        <v>52.75</v>
      </c>
      <c r="F2473">
        <v>20131009</v>
      </c>
      <c r="G2473" t="s">
        <v>840</v>
      </c>
      <c r="H2473" t="s">
        <v>1431</v>
      </c>
      <c r="I2473" t="s">
        <v>21</v>
      </c>
    </row>
    <row r="2474" spans="1:9" x14ac:dyDescent="0.25">
      <c r="A2474">
        <v>20131010</v>
      </c>
      <c r="B2474" t="str">
        <f>"112027"</f>
        <v>112027</v>
      </c>
      <c r="C2474" t="str">
        <f>"84799"</f>
        <v>84799</v>
      </c>
      <c r="D2474" t="s">
        <v>1432</v>
      </c>
      <c r="E2474" s="1">
        <v>4100.93</v>
      </c>
      <c r="F2474">
        <v>20131003</v>
      </c>
      <c r="G2474" t="s">
        <v>1067</v>
      </c>
      <c r="H2474" t="s">
        <v>1433</v>
      </c>
      <c r="I2474" t="s">
        <v>21</v>
      </c>
    </row>
    <row r="2475" spans="1:9" x14ac:dyDescent="0.25">
      <c r="A2475">
        <v>20131010</v>
      </c>
      <c r="B2475" t="str">
        <f>"112028"</f>
        <v>112028</v>
      </c>
      <c r="C2475" t="str">
        <f>"87456"</f>
        <v>87456</v>
      </c>
      <c r="D2475" t="s">
        <v>1434</v>
      </c>
      <c r="E2475">
        <v>207.49</v>
      </c>
      <c r="F2475">
        <v>20131009</v>
      </c>
      <c r="G2475" t="s">
        <v>831</v>
      </c>
      <c r="H2475" t="s">
        <v>1435</v>
      </c>
      <c r="I2475" t="s">
        <v>21</v>
      </c>
    </row>
    <row r="2476" spans="1:9" x14ac:dyDescent="0.25">
      <c r="A2476">
        <v>20131010</v>
      </c>
      <c r="B2476" t="str">
        <f>"112029"</f>
        <v>112029</v>
      </c>
      <c r="C2476" t="str">
        <f>"87546"</f>
        <v>87546</v>
      </c>
      <c r="D2476" t="s">
        <v>1436</v>
      </c>
      <c r="E2476">
        <v>194.24</v>
      </c>
      <c r="F2476">
        <v>20131008</v>
      </c>
      <c r="G2476" t="s">
        <v>764</v>
      </c>
      <c r="H2476" t="s">
        <v>765</v>
      </c>
      <c r="I2476" t="s">
        <v>61</v>
      </c>
    </row>
    <row r="2477" spans="1:9" x14ac:dyDescent="0.25">
      <c r="A2477">
        <v>20131010</v>
      </c>
      <c r="B2477" t="str">
        <f>"112030"</f>
        <v>112030</v>
      </c>
      <c r="C2477" t="str">
        <f>"84980"</f>
        <v>84980</v>
      </c>
      <c r="D2477" t="s">
        <v>591</v>
      </c>
      <c r="E2477">
        <v>197.6</v>
      </c>
      <c r="F2477">
        <v>20131009</v>
      </c>
      <c r="G2477" t="s">
        <v>1071</v>
      </c>
      <c r="H2477" t="s">
        <v>1437</v>
      </c>
      <c r="I2477" t="s">
        <v>21</v>
      </c>
    </row>
    <row r="2478" spans="1:9" x14ac:dyDescent="0.25">
      <c r="A2478">
        <v>20131010</v>
      </c>
      <c r="B2478" t="str">
        <f>"112031"</f>
        <v>112031</v>
      </c>
      <c r="C2478" t="str">
        <f>"30650"</f>
        <v>30650</v>
      </c>
      <c r="D2478" t="s">
        <v>596</v>
      </c>
      <c r="E2478">
        <v>640</v>
      </c>
      <c r="F2478">
        <v>20131004</v>
      </c>
      <c r="G2478" t="s">
        <v>340</v>
      </c>
      <c r="H2478" t="s">
        <v>597</v>
      </c>
      <c r="I2478" t="s">
        <v>21</v>
      </c>
    </row>
    <row r="2479" spans="1:9" x14ac:dyDescent="0.25">
      <c r="A2479">
        <v>20131010</v>
      </c>
      <c r="B2479" t="str">
        <f>"112031"</f>
        <v>112031</v>
      </c>
      <c r="C2479" t="str">
        <f>"30650"</f>
        <v>30650</v>
      </c>
      <c r="D2479" t="s">
        <v>596</v>
      </c>
      <c r="E2479" s="1">
        <v>1475</v>
      </c>
      <c r="F2479">
        <v>20131004</v>
      </c>
      <c r="G2479" t="s">
        <v>621</v>
      </c>
      <c r="H2479" t="s">
        <v>1438</v>
      </c>
      <c r="I2479" t="s">
        <v>21</v>
      </c>
    </row>
    <row r="2480" spans="1:9" x14ac:dyDescent="0.25">
      <c r="A2480">
        <v>20131010</v>
      </c>
      <c r="B2480" t="str">
        <f>"112031"</f>
        <v>112031</v>
      </c>
      <c r="C2480" t="str">
        <f>"30650"</f>
        <v>30650</v>
      </c>
      <c r="D2480" t="s">
        <v>596</v>
      </c>
      <c r="E2480" s="1">
        <v>1405</v>
      </c>
      <c r="F2480">
        <v>20131004</v>
      </c>
      <c r="G2480" t="s">
        <v>624</v>
      </c>
      <c r="H2480" t="s">
        <v>597</v>
      </c>
      <c r="I2480" t="s">
        <v>21</v>
      </c>
    </row>
    <row r="2481" spans="1:9" x14ac:dyDescent="0.25">
      <c r="A2481">
        <v>20131010</v>
      </c>
      <c r="B2481" t="str">
        <f>"112031"</f>
        <v>112031</v>
      </c>
      <c r="C2481" t="str">
        <f>"30650"</f>
        <v>30650</v>
      </c>
      <c r="D2481" t="s">
        <v>596</v>
      </c>
      <c r="E2481">
        <v>284</v>
      </c>
      <c r="F2481">
        <v>20131004</v>
      </c>
      <c r="G2481" t="s">
        <v>524</v>
      </c>
      <c r="H2481" t="s">
        <v>597</v>
      </c>
      <c r="I2481" t="s">
        <v>21</v>
      </c>
    </row>
    <row r="2482" spans="1:9" x14ac:dyDescent="0.25">
      <c r="A2482">
        <v>20131010</v>
      </c>
      <c r="B2482" t="str">
        <f>"112031"</f>
        <v>112031</v>
      </c>
      <c r="C2482" t="str">
        <f>"30650"</f>
        <v>30650</v>
      </c>
      <c r="D2482" t="s">
        <v>596</v>
      </c>
      <c r="E2482" s="1">
        <v>3464</v>
      </c>
      <c r="F2482">
        <v>20131004</v>
      </c>
      <c r="G2482" t="s">
        <v>526</v>
      </c>
      <c r="H2482" t="s">
        <v>597</v>
      </c>
      <c r="I2482" t="s">
        <v>21</v>
      </c>
    </row>
    <row r="2483" spans="1:9" x14ac:dyDescent="0.25">
      <c r="A2483">
        <v>20131010</v>
      </c>
      <c r="B2483" t="str">
        <f>"112032"</f>
        <v>112032</v>
      </c>
      <c r="C2483" t="str">
        <f>"81072"</f>
        <v>81072</v>
      </c>
      <c r="D2483" t="s">
        <v>598</v>
      </c>
      <c r="E2483" s="1">
        <v>1700</v>
      </c>
      <c r="F2483">
        <v>20131004</v>
      </c>
      <c r="G2483" t="s">
        <v>746</v>
      </c>
      <c r="H2483" t="s">
        <v>555</v>
      </c>
      <c r="I2483" t="s">
        <v>21</v>
      </c>
    </row>
    <row r="2484" spans="1:9" x14ac:dyDescent="0.25">
      <c r="A2484">
        <v>20131010</v>
      </c>
      <c r="B2484" t="str">
        <f>"112033"</f>
        <v>112033</v>
      </c>
      <c r="C2484" t="str">
        <f>"84038"</f>
        <v>84038</v>
      </c>
      <c r="D2484" t="s">
        <v>419</v>
      </c>
      <c r="E2484">
        <v>30.6</v>
      </c>
      <c r="F2484">
        <v>20131009</v>
      </c>
      <c r="G2484" t="s">
        <v>410</v>
      </c>
      <c r="H2484" t="s">
        <v>411</v>
      </c>
      <c r="I2484" t="s">
        <v>12</v>
      </c>
    </row>
    <row r="2485" spans="1:9" x14ac:dyDescent="0.25">
      <c r="A2485">
        <v>20131010</v>
      </c>
      <c r="B2485" t="str">
        <f>"112034"</f>
        <v>112034</v>
      </c>
      <c r="C2485" t="str">
        <f>"34230"</f>
        <v>34230</v>
      </c>
      <c r="D2485" t="s">
        <v>1094</v>
      </c>
      <c r="E2485">
        <v>848.74</v>
      </c>
      <c r="F2485">
        <v>20131009</v>
      </c>
      <c r="G2485" t="s">
        <v>119</v>
      </c>
      <c r="I2485" t="s">
        <v>38</v>
      </c>
    </row>
    <row r="2486" spans="1:9" x14ac:dyDescent="0.25">
      <c r="A2486">
        <v>20131010</v>
      </c>
      <c r="B2486" t="str">
        <f>"112035"</f>
        <v>112035</v>
      </c>
      <c r="C2486" t="str">
        <f>"35337"</f>
        <v>35337</v>
      </c>
      <c r="D2486" t="s">
        <v>599</v>
      </c>
      <c r="E2486">
        <v>108.51</v>
      </c>
      <c r="F2486">
        <v>20131004</v>
      </c>
      <c r="G2486" t="s">
        <v>498</v>
      </c>
      <c r="H2486" t="s">
        <v>499</v>
      </c>
      <c r="I2486" t="s">
        <v>21</v>
      </c>
    </row>
    <row r="2487" spans="1:9" x14ac:dyDescent="0.25">
      <c r="A2487">
        <v>20131010</v>
      </c>
      <c r="B2487" t="str">
        <f>"112035"</f>
        <v>112035</v>
      </c>
      <c r="C2487" t="str">
        <f>"35337"</f>
        <v>35337</v>
      </c>
      <c r="D2487" t="s">
        <v>599</v>
      </c>
      <c r="E2487">
        <v>92.17</v>
      </c>
      <c r="F2487">
        <v>20131004</v>
      </c>
      <c r="G2487" t="s">
        <v>498</v>
      </c>
      <c r="H2487" t="s">
        <v>499</v>
      </c>
      <c r="I2487" t="s">
        <v>21</v>
      </c>
    </row>
    <row r="2488" spans="1:9" x14ac:dyDescent="0.25">
      <c r="A2488">
        <v>20131010</v>
      </c>
      <c r="B2488" t="str">
        <f>"112035"</f>
        <v>112035</v>
      </c>
      <c r="C2488" t="str">
        <f>"35337"</f>
        <v>35337</v>
      </c>
      <c r="D2488" t="s">
        <v>599</v>
      </c>
      <c r="E2488">
        <v>44.76</v>
      </c>
      <c r="F2488">
        <v>20131004</v>
      </c>
      <c r="G2488" t="s">
        <v>498</v>
      </c>
      <c r="H2488" t="s">
        <v>499</v>
      </c>
      <c r="I2488" t="s">
        <v>21</v>
      </c>
    </row>
    <row r="2489" spans="1:9" x14ac:dyDescent="0.25">
      <c r="A2489">
        <v>20131010</v>
      </c>
      <c r="B2489" t="str">
        <f>"112035"</f>
        <v>112035</v>
      </c>
      <c r="C2489" t="str">
        <f>"35337"</f>
        <v>35337</v>
      </c>
      <c r="D2489" t="s">
        <v>599</v>
      </c>
      <c r="E2489">
        <v>52.14</v>
      </c>
      <c r="F2489">
        <v>20131004</v>
      </c>
      <c r="G2489" t="s">
        <v>496</v>
      </c>
      <c r="H2489" t="s">
        <v>414</v>
      </c>
      <c r="I2489" t="s">
        <v>21</v>
      </c>
    </row>
    <row r="2490" spans="1:9" x14ac:dyDescent="0.25">
      <c r="A2490">
        <v>20131010</v>
      </c>
      <c r="B2490" t="str">
        <f>"112036"</f>
        <v>112036</v>
      </c>
      <c r="C2490" t="str">
        <f>"83093"</f>
        <v>83093</v>
      </c>
      <c r="D2490" t="s">
        <v>1439</v>
      </c>
      <c r="E2490">
        <v>405.62</v>
      </c>
      <c r="F2490">
        <v>20131009</v>
      </c>
      <c r="G2490" t="s">
        <v>699</v>
      </c>
      <c r="H2490" t="s">
        <v>1440</v>
      </c>
      <c r="I2490" t="s">
        <v>61</v>
      </c>
    </row>
    <row r="2491" spans="1:9" x14ac:dyDescent="0.25">
      <c r="A2491">
        <v>20131010</v>
      </c>
      <c r="B2491" t="str">
        <f>"112037"</f>
        <v>112037</v>
      </c>
      <c r="C2491" t="str">
        <f>"35817"</f>
        <v>35817</v>
      </c>
      <c r="D2491" t="s">
        <v>600</v>
      </c>
      <c r="E2491">
        <v>24.08</v>
      </c>
      <c r="F2491">
        <v>20131007</v>
      </c>
      <c r="G2491" t="s">
        <v>601</v>
      </c>
      <c r="H2491" t="s">
        <v>563</v>
      </c>
      <c r="I2491" t="s">
        <v>21</v>
      </c>
    </row>
    <row r="2492" spans="1:9" x14ac:dyDescent="0.25">
      <c r="A2492">
        <v>20131010</v>
      </c>
      <c r="B2492" t="str">
        <f>"112038"</f>
        <v>112038</v>
      </c>
      <c r="C2492" t="str">
        <f>"36960"</f>
        <v>36960</v>
      </c>
      <c r="D2492" t="s">
        <v>871</v>
      </c>
      <c r="E2492" s="1">
        <v>1265</v>
      </c>
      <c r="F2492">
        <v>20131009</v>
      </c>
      <c r="G2492" t="s">
        <v>1408</v>
      </c>
      <c r="H2492" t="s">
        <v>525</v>
      </c>
      <c r="I2492" t="s">
        <v>12</v>
      </c>
    </row>
    <row r="2493" spans="1:9" x14ac:dyDescent="0.25">
      <c r="A2493">
        <v>20131010</v>
      </c>
      <c r="B2493" t="str">
        <f>"112039"</f>
        <v>112039</v>
      </c>
      <c r="C2493" t="str">
        <f>"37565"</f>
        <v>37565</v>
      </c>
      <c r="D2493" t="s">
        <v>609</v>
      </c>
      <c r="E2493">
        <v>96</v>
      </c>
      <c r="F2493">
        <v>20131004</v>
      </c>
      <c r="G2493" t="s">
        <v>496</v>
      </c>
      <c r="H2493" t="s">
        <v>414</v>
      </c>
      <c r="I2493" t="s">
        <v>21</v>
      </c>
    </row>
    <row r="2494" spans="1:9" x14ac:dyDescent="0.25">
      <c r="A2494">
        <v>20131010</v>
      </c>
      <c r="B2494" t="str">
        <f>"112039"</f>
        <v>112039</v>
      </c>
      <c r="C2494" t="str">
        <f>"37565"</f>
        <v>37565</v>
      </c>
      <c r="D2494" t="s">
        <v>609</v>
      </c>
      <c r="E2494">
        <v>48</v>
      </c>
      <c r="F2494">
        <v>20131004</v>
      </c>
      <c r="G2494" t="s">
        <v>496</v>
      </c>
      <c r="H2494" t="s">
        <v>414</v>
      </c>
      <c r="I2494" t="s">
        <v>21</v>
      </c>
    </row>
    <row r="2495" spans="1:9" x14ac:dyDescent="0.25">
      <c r="A2495">
        <v>20131010</v>
      </c>
      <c r="B2495" t="str">
        <f>"112039"</f>
        <v>112039</v>
      </c>
      <c r="C2495" t="str">
        <f>"37565"</f>
        <v>37565</v>
      </c>
      <c r="D2495" t="s">
        <v>609</v>
      </c>
      <c r="E2495">
        <v>42.28</v>
      </c>
      <c r="F2495">
        <v>20131004</v>
      </c>
      <c r="G2495" t="s">
        <v>496</v>
      </c>
      <c r="H2495" t="s">
        <v>414</v>
      </c>
      <c r="I2495" t="s">
        <v>21</v>
      </c>
    </row>
    <row r="2496" spans="1:9" x14ac:dyDescent="0.25">
      <c r="A2496">
        <v>20131010</v>
      </c>
      <c r="B2496" t="str">
        <f>"112039"</f>
        <v>112039</v>
      </c>
      <c r="C2496" t="str">
        <f>"37565"</f>
        <v>37565</v>
      </c>
      <c r="D2496" t="s">
        <v>609</v>
      </c>
      <c r="E2496">
        <v>4.46</v>
      </c>
      <c r="F2496">
        <v>20131004</v>
      </c>
      <c r="G2496" t="s">
        <v>496</v>
      </c>
      <c r="H2496" t="s">
        <v>414</v>
      </c>
      <c r="I2496" t="s">
        <v>21</v>
      </c>
    </row>
    <row r="2497" spans="1:9" x14ac:dyDescent="0.25">
      <c r="A2497">
        <v>20131010</v>
      </c>
      <c r="B2497" t="str">
        <f>"112039"</f>
        <v>112039</v>
      </c>
      <c r="C2497" t="str">
        <f>"37565"</f>
        <v>37565</v>
      </c>
      <c r="D2497" t="s">
        <v>609</v>
      </c>
      <c r="E2497">
        <v>532</v>
      </c>
      <c r="F2497">
        <v>20131004</v>
      </c>
      <c r="G2497" t="s">
        <v>415</v>
      </c>
      <c r="H2497" t="s">
        <v>1441</v>
      </c>
      <c r="I2497" t="s">
        <v>21</v>
      </c>
    </row>
    <row r="2498" spans="1:9" x14ac:dyDescent="0.25">
      <c r="A2498">
        <v>20131010</v>
      </c>
      <c r="B2498" t="str">
        <f>"112040"</f>
        <v>112040</v>
      </c>
      <c r="C2498" t="str">
        <f>"37740"</f>
        <v>37740</v>
      </c>
      <c r="D2498" t="s">
        <v>1442</v>
      </c>
      <c r="E2498" s="1">
        <v>3063.98</v>
      </c>
      <c r="F2498">
        <v>20131004</v>
      </c>
      <c r="G2498" t="s">
        <v>496</v>
      </c>
      <c r="H2498" t="s">
        <v>414</v>
      </c>
      <c r="I2498" t="s">
        <v>21</v>
      </c>
    </row>
    <row r="2499" spans="1:9" x14ac:dyDescent="0.25">
      <c r="A2499">
        <v>20131010</v>
      </c>
      <c r="B2499" t="str">
        <f>"112041"</f>
        <v>112041</v>
      </c>
      <c r="C2499" t="str">
        <f>"83362"</f>
        <v>83362</v>
      </c>
      <c r="D2499" t="s">
        <v>1443</v>
      </c>
      <c r="E2499">
        <v>259.95999999999998</v>
      </c>
      <c r="F2499">
        <v>20131004</v>
      </c>
      <c r="G2499" t="s">
        <v>577</v>
      </c>
      <c r="H2499" t="s">
        <v>1444</v>
      </c>
      <c r="I2499" t="s">
        <v>21</v>
      </c>
    </row>
    <row r="2500" spans="1:9" x14ac:dyDescent="0.25">
      <c r="A2500">
        <v>20131010</v>
      </c>
      <c r="B2500" t="str">
        <f>"112041"</f>
        <v>112041</v>
      </c>
      <c r="C2500" t="str">
        <f>"83362"</f>
        <v>83362</v>
      </c>
      <c r="D2500" t="s">
        <v>1443</v>
      </c>
      <c r="E2500">
        <v>114</v>
      </c>
      <c r="F2500">
        <v>20131004</v>
      </c>
      <c r="G2500" t="s">
        <v>577</v>
      </c>
      <c r="H2500" t="s">
        <v>1445</v>
      </c>
      <c r="I2500" t="s">
        <v>21</v>
      </c>
    </row>
    <row r="2501" spans="1:9" x14ac:dyDescent="0.25">
      <c r="A2501">
        <v>20131010</v>
      </c>
      <c r="B2501" t="str">
        <f>"112042"</f>
        <v>112042</v>
      </c>
      <c r="C2501" t="str">
        <f>"85823"</f>
        <v>85823</v>
      </c>
      <c r="D2501" t="s">
        <v>1446</v>
      </c>
      <c r="E2501" s="1">
        <v>4250</v>
      </c>
      <c r="F2501">
        <v>20131003</v>
      </c>
      <c r="G2501" t="s">
        <v>415</v>
      </c>
      <c r="H2501" t="s">
        <v>1447</v>
      </c>
      <c r="I2501" t="s">
        <v>21</v>
      </c>
    </row>
    <row r="2502" spans="1:9" x14ac:dyDescent="0.25">
      <c r="A2502">
        <v>20131010</v>
      </c>
      <c r="B2502" t="str">
        <f>"112042"</f>
        <v>112042</v>
      </c>
      <c r="C2502" t="str">
        <f>"85823"</f>
        <v>85823</v>
      </c>
      <c r="D2502" t="s">
        <v>1446</v>
      </c>
      <c r="E2502" s="1">
        <v>4325.3999999999996</v>
      </c>
      <c r="F2502">
        <v>20131003</v>
      </c>
      <c r="G2502" t="s">
        <v>630</v>
      </c>
      <c r="H2502" t="s">
        <v>1448</v>
      </c>
      <c r="I2502" t="s">
        <v>21</v>
      </c>
    </row>
    <row r="2503" spans="1:9" x14ac:dyDescent="0.25">
      <c r="A2503">
        <v>20131010</v>
      </c>
      <c r="B2503" t="str">
        <f>"112042"</f>
        <v>112042</v>
      </c>
      <c r="C2503" t="str">
        <f>"85823"</f>
        <v>85823</v>
      </c>
      <c r="D2503" t="s">
        <v>1446</v>
      </c>
      <c r="E2503" s="1">
        <v>47020.28</v>
      </c>
      <c r="F2503">
        <v>20131003</v>
      </c>
      <c r="G2503" t="s">
        <v>331</v>
      </c>
      <c r="H2503" t="s">
        <v>1449</v>
      </c>
      <c r="I2503" t="s">
        <v>12</v>
      </c>
    </row>
    <row r="2504" spans="1:9" x14ac:dyDescent="0.25">
      <c r="A2504">
        <v>20131010</v>
      </c>
      <c r="B2504" t="str">
        <f>"112043"</f>
        <v>112043</v>
      </c>
      <c r="C2504" t="str">
        <f>"87544"</f>
        <v>87544</v>
      </c>
      <c r="D2504" t="s">
        <v>1450</v>
      </c>
      <c r="E2504">
        <v>95</v>
      </c>
      <c r="F2504">
        <v>20131008</v>
      </c>
      <c r="G2504" t="s">
        <v>764</v>
      </c>
      <c r="H2504" t="s">
        <v>765</v>
      </c>
      <c r="I2504" t="s">
        <v>61</v>
      </c>
    </row>
    <row r="2505" spans="1:9" x14ac:dyDescent="0.25">
      <c r="A2505">
        <v>20131010</v>
      </c>
      <c r="B2505" t="str">
        <f>"112044"</f>
        <v>112044</v>
      </c>
      <c r="C2505" t="str">
        <f>"86459"</f>
        <v>86459</v>
      </c>
      <c r="D2505" t="s">
        <v>881</v>
      </c>
      <c r="E2505">
        <v>780</v>
      </c>
      <c r="F2505">
        <v>20131004</v>
      </c>
      <c r="G2505" t="s">
        <v>1193</v>
      </c>
      <c r="H2505" t="s">
        <v>1451</v>
      </c>
      <c r="I2505" t="s">
        <v>25</v>
      </c>
    </row>
    <row r="2506" spans="1:9" x14ac:dyDescent="0.25">
      <c r="A2506">
        <v>20131010</v>
      </c>
      <c r="B2506" t="str">
        <f>"112045"</f>
        <v>112045</v>
      </c>
      <c r="C2506" t="str">
        <f>"39315"</f>
        <v>39315</v>
      </c>
      <c r="D2506" t="s">
        <v>420</v>
      </c>
      <c r="E2506">
        <v>33.75</v>
      </c>
      <c r="F2506">
        <v>20131009</v>
      </c>
      <c r="G2506" t="s">
        <v>410</v>
      </c>
      <c r="H2506" t="s">
        <v>411</v>
      </c>
      <c r="I2506" t="s">
        <v>12</v>
      </c>
    </row>
    <row r="2507" spans="1:9" x14ac:dyDescent="0.25">
      <c r="A2507">
        <v>20131010</v>
      </c>
      <c r="B2507" t="str">
        <f>"112046"</f>
        <v>112046</v>
      </c>
      <c r="C2507" t="str">
        <f>"40448"</f>
        <v>40448</v>
      </c>
      <c r="D2507" t="s">
        <v>613</v>
      </c>
      <c r="E2507">
        <v>150</v>
      </c>
      <c r="F2507">
        <v>20131004</v>
      </c>
      <c r="G2507" t="s">
        <v>340</v>
      </c>
      <c r="H2507" t="s">
        <v>1452</v>
      </c>
      <c r="I2507" t="s">
        <v>21</v>
      </c>
    </row>
    <row r="2508" spans="1:9" x14ac:dyDescent="0.25">
      <c r="A2508">
        <v>20131010</v>
      </c>
      <c r="B2508" t="str">
        <f>"112046"</f>
        <v>112046</v>
      </c>
      <c r="C2508" t="str">
        <f>"40448"</f>
        <v>40448</v>
      </c>
      <c r="D2508" t="s">
        <v>613</v>
      </c>
      <c r="E2508">
        <v>79.95</v>
      </c>
      <c r="F2508">
        <v>20131004</v>
      </c>
      <c r="G2508" t="s">
        <v>340</v>
      </c>
      <c r="H2508" t="s">
        <v>1452</v>
      </c>
      <c r="I2508" t="s">
        <v>21</v>
      </c>
    </row>
    <row r="2509" spans="1:9" x14ac:dyDescent="0.25">
      <c r="A2509">
        <v>20131010</v>
      </c>
      <c r="B2509" t="str">
        <f>"112047"</f>
        <v>112047</v>
      </c>
      <c r="C2509" t="str">
        <f>"82732"</f>
        <v>82732</v>
      </c>
      <c r="D2509" t="s">
        <v>1453</v>
      </c>
      <c r="E2509">
        <v>280</v>
      </c>
      <c r="F2509">
        <v>20131008</v>
      </c>
      <c r="G2509" t="s">
        <v>1454</v>
      </c>
      <c r="H2509" t="s">
        <v>1455</v>
      </c>
      <c r="I2509" t="s">
        <v>21</v>
      </c>
    </row>
    <row r="2510" spans="1:9" x14ac:dyDescent="0.25">
      <c r="A2510">
        <v>20131010</v>
      </c>
      <c r="B2510" t="str">
        <f>"112048"</f>
        <v>112048</v>
      </c>
      <c r="C2510" t="str">
        <f>"41253"</f>
        <v>41253</v>
      </c>
      <c r="D2510" t="s">
        <v>421</v>
      </c>
      <c r="E2510" s="1">
        <v>122662.88</v>
      </c>
      <c r="F2510">
        <v>20131009</v>
      </c>
      <c r="G2510" t="s">
        <v>404</v>
      </c>
      <c r="H2510" t="s">
        <v>913</v>
      </c>
      <c r="I2510" t="s">
        <v>12</v>
      </c>
    </row>
    <row r="2511" spans="1:9" x14ac:dyDescent="0.25">
      <c r="A2511">
        <v>20131010</v>
      </c>
      <c r="B2511" t="str">
        <f>"112048"</f>
        <v>112048</v>
      </c>
      <c r="C2511" t="str">
        <f>"41253"</f>
        <v>41253</v>
      </c>
      <c r="D2511" t="s">
        <v>421</v>
      </c>
      <c r="E2511" s="1">
        <v>8886.57</v>
      </c>
      <c r="F2511">
        <v>20131009</v>
      </c>
      <c r="G2511" t="s">
        <v>1404</v>
      </c>
      <c r="H2511" t="s">
        <v>1456</v>
      </c>
      <c r="I2511" t="s">
        <v>12</v>
      </c>
    </row>
    <row r="2512" spans="1:9" x14ac:dyDescent="0.25">
      <c r="A2512">
        <v>20131010</v>
      </c>
      <c r="B2512" t="str">
        <f>"112049"</f>
        <v>112049</v>
      </c>
      <c r="C2512" t="str">
        <f>"86928"</f>
        <v>86928</v>
      </c>
      <c r="D2512" t="s">
        <v>1457</v>
      </c>
      <c r="E2512" s="1">
        <v>1043.05</v>
      </c>
      <c r="F2512">
        <v>20131008</v>
      </c>
      <c r="G2512" t="s">
        <v>1235</v>
      </c>
      <c r="H2512" t="s">
        <v>563</v>
      </c>
      <c r="I2512" t="s">
        <v>79</v>
      </c>
    </row>
    <row r="2513" spans="1:9" x14ac:dyDescent="0.25">
      <c r="A2513">
        <v>20131010</v>
      </c>
      <c r="B2513" t="str">
        <f>"112050"</f>
        <v>112050</v>
      </c>
      <c r="C2513" t="str">
        <f>"86767"</f>
        <v>86767</v>
      </c>
      <c r="D2513" t="s">
        <v>1458</v>
      </c>
      <c r="E2513">
        <v>12.69</v>
      </c>
      <c r="F2513">
        <v>20131008</v>
      </c>
      <c r="G2513" t="s">
        <v>601</v>
      </c>
      <c r="H2513" t="s">
        <v>563</v>
      </c>
      <c r="I2513" t="s">
        <v>21</v>
      </c>
    </row>
    <row r="2514" spans="1:9" x14ac:dyDescent="0.25">
      <c r="A2514">
        <v>20131010</v>
      </c>
      <c r="B2514" t="str">
        <f>"112051"</f>
        <v>112051</v>
      </c>
      <c r="C2514" t="str">
        <f>"84876"</f>
        <v>84876</v>
      </c>
      <c r="D2514" t="s">
        <v>1259</v>
      </c>
      <c r="E2514" s="1">
        <v>2514.1999999999998</v>
      </c>
      <c r="F2514">
        <v>20131009</v>
      </c>
      <c r="G2514" t="s">
        <v>1064</v>
      </c>
      <c r="H2514" t="s">
        <v>1459</v>
      </c>
      <c r="I2514" t="s">
        <v>21</v>
      </c>
    </row>
    <row r="2515" spans="1:9" x14ac:dyDescent="0.25">
      <c r="A2515">
        <v>20131010</v>
      </c>
      <c r="B2515" t="str">
        <f>"112052"</f>
        <v>112052</v>
      </c>
      <c r="C2515" t="str">
        <f>"87545"</f>
        <v>87545</v>
      </c>
      <c r="D2515" t="s">
        <v>1460</v>
      </c>
      <c r="E2515">
        <v>110</v>
      </c>
      <c r="F2515">
        <v>20131008</v>
      </c>
      <c r="G2515" t="s">
        <v>764</v>
      </c>
      <c r="H2515" t="s">
        <v>765</v>
      </c>
      <c r="I2515" t="s">
        <v>61</v>
      </c>
    </row>
    <row r="2516" spans="1:9" x14ac:dyDescent="0.25">
      <c r="A2516">
        <v>20131010</v>
      </c>
      <c r="B2516" t="str">
        <f>"112053"</f>
        <v>112053</v>
      </c>
      <c r="C2516" t="str">
        <f>"83430"</f>
        <v>83430</v>
      </c>
      <c r="D2516" t="s">
        <v>423</v>
      </c>
      <c r="E2516">
        <v>57.15</v>
      </c>
      <c r="F2516">
        <v>20131009</v>
      </c>
      <c r="G2516" t="s">
        <v>410</v>
      </c>
      <c r="H2516" t="s">
        <v>411</v>
      </c>
      <c r="I2516" t="s">
        <v>12</v>
      </c>
    </row>
    <row r="2517" spans="1:9" x14ac:dyDescent="0.25">
      <c r="A2517">
        <v>20131010</v>
      </c>
      <c r="B2517" t="str">
        <f t="shared" ref="B2517:B2523" si="195">"112054"</f>
        <v>112054</v>
      </c>
      <c r="C2517" t="str">
        <f t="shared" ref="C2517:C2523" si="196">"43798"</f>
        <v>43798</v>
      </c>
      <c r="D2517" t="s">
        <v>620</v>
      </c>
      <c r="E2517" s="1">
        <v>1056</v>
      </c>
      <c r="F2517">
        <v>20131004</v>
      </c>
      <c r="G2517" t="s">
        <v>337</v>
      </c>
      <c r="H2517" t="s">
        <v>547</v>
      </c>
      <c r="I2517" t="s">
        <v>21</v>
      </c>
    </row>
    <row r="2518" spans="1:9" x14ac:dyDescent="0.25">
      <c r="A2518">
        <v>20131010</v>
      </c>
      <c r="B2518" t="str">
        <f t="shared" si="195"/>
        <v>112054</v>
      </c>
      <c r="C2518" t="str">
        <f t="shared" si="196"/>
        <v>43798</v>
      </c>
      <c r="D2518" t="s">
        <v>620</v>
      </c>
      <c r="E2518" s="1">
        <v>1056</v>
      </c>
      <c r="F2518">
        <v>20131008</v>
      </c>
      <c r="G2518" t="s">
        <v>337</v>
      </c>
      <c r="H2518" t="s">
        <v>547</v>
      </c>
      <c r="I2518" t="s">
        <v>21</v>
      </c>
    </row>
    <row r="2519" spans="1:9" x14ac:dyDescent="0.25">
      <c r="A2519">
        <v>20131010</v>
      </c>
      <c r="B2519" t="str">
        <f t="shared" si="195"/>
        <v>112054</v>
      </c>
      <c r="C2519" t="str">
        <f t="shared" si="196"/>
        <v>43798</v>
      </c>
      <c r="D2519" t="s">
        <v>620</v>
      </c>
      <c r="E2519">
        <v>108</v>
      </c>
      <c r="F2519">
        <v>20131004</v>
      </c>
      <c r="G2519" t="s">
        <v>511</v>
      </c>
      <c r="H2519" t="s">
        <v>623</v>
      </c>
      <c r="I2519" t="s">
        <v>21</v>
      </c>
    </row>
    <row r="2520" spans="1:9" x14ac:dyDescent="0.25">
      <c r="A2520">
        <v>20131010</v>
      </c>
      <c r="B2520" t="str">
        <f t="shared" si="195"/>
        <v>112054</v>
      </c>
      <c r="C2520" t="str">
        <f t="shared" si="196"/>
        <v>43798</v>
      </c>
      <c r="D2520" t="s">
        <v>620</v>
      </c>
      <c r="E2520">
        <v>417.5</v>
      </c>
      <c r="F2520">
        <v>20131004</v>
      </c>
      <c r="G2520" t="s">
        <v>624</v>
      </c>
      <c r="H2520" t="s">
        <v>1461</v>
      </c>
      <c r="I2520" t="s">
        <v>21</v>
      </c>
    </row>
    <row r="2521" spans="1:9" x14ac:dyDescent="0.25">
      <c r="A2521">
        <v>20131010</v>
      </c>
      <c r="B2521" t="str">
        <f t="shared" si="195"/>
        <v>112054</v>
      </c>
      <c r="C2521" t="str">
        <f t="shared" si="196"/>
        <v>43798</v>
      </c>
      <c r="D2521" t="s">
        <v>620</v>
      </c>
      <c r="E2521">
        <v>108</v>
      </c>
      <c r="F2521">
        <v>20131004</v>
      </c>
      <c r="G2521" t="s">
        <v>524</v>
      </c>
      <c r="H2521" t="s">
        <v>1462</v>
      </c>
      <c r="I2521" t="s">
        <v>21</v>
      </c>
    </row>
    <row r="2522" spans="1:9" x14ac:dyDescent="0.25">
      <c r="A2522">
        <v>20131010</v>
      </c>
      <c r="B2522" t="str">
        <f t="shared" si="195"/>
        <v>112054</v>
      </c>
      <c r="C2522" t="str">
        <f t="shared" si="196"/>
        <v>43798</v>
      </c>
      <c r="D2522" t="s">
        <v>620</v>
      </c>
      <c r="E2522">
        <v>123</v>
      </c>
      <c r="F2522">
        <v>20131004</v>
      </c>
      <c r="G2522" t="s">
        <v>1271</v>
      </c>
      <c r="H2522" t="s">
        <v>1463</v>
      </c>
      <c r="I2522" t="s">
        <v>21</v>
      </c>
    </row>
    <row r="2523" spans="1:9" x14ac:dyDescent="0.25">
      <c r="A2523">
        <v>20131010</v>
      </c>
      <c r="B2523" t="str">
        <f t="shared" si="195"/>
        <v>112054</v>
      </c>
      <c r="C2523" t="str">
        <f t="shared" si="196"/>
        <v>43798</v>
      </c>
      <c r="D2523" t="s">
        <v>620</v>
      </c>
      <c r="E2523">
        <v>266</v>
      </c>
      <c r="F2523">
        <v>20131004</v>
      </c>
      <c r="G2523" t="s">
        <v>1464</v>
      </c>
      <c r="H2523" t="s">
        <v>1465</v>
      </c>
      <c r="I2523" t="s">
        <v>21</v>
      </c>
    </row>
    <row r="2524" spans="1:9" x14ac:dyDescent="0.25">
      <c r="A2524">
        <v>20131010</v>
      </c>
      <c r="B2524" t="str">
        <f>"112055"</f>
        <v>112055</v>
      </c>
      <c r="C2524" t="str">
        <f>"43804"</f>
        <v>43804</v>
      </c>
      <c r="D2524" t="s">
        <v>1466</v>
      </c>
      <c r="E2524" s="1">
        <v>270173</v>
      </c>
      <c r="F2524">
        <v>20131004</v>
      </c>
      <c r="G2524" t="s">
        <v>1467</v>
      </c>
      <c r="H2524" t="s">
        <v>1468</v>
      </c>
      <c r="I2524" t="s">
        <v>21</v>
      </c>
    </row>
    <row r="2525" spans="1:9" x14ac:dyDescent="0.25">
      <c r="A2525">
        <v>20131010</v>
      </c>
      <c r="B2525" t="str">
        <f>"112056"</f>
        <v>112056</v>
      </c>
      <c r="C2525" t="str">
        <f>"83028"</f>
        <v>83028</v>
      </c>
      <c r="D2525" t="s">
        <v>1469</v>
      </c>
      <c r="E2525" s="1">
        <v>1890</v>
      </c>
      <c r="F2525">
        <v>20131009</v>
      </c>
      <c r="G2525" t="s">
        <v>1470</v>
      </c>
      <c r="H2525" t="s">
        <v>1471</v>
      </c>
      <c r="I2525" t="s">
        <v>21</v>
      </c>
    </row>
    <row r="2526" spans="1:9" x14ac:dyDescent="0.25">
      <c r="A2526">
        <v>20131010</v>
      </c>
      <c r="B2526" t="str">
        <f>"112057"</f>
        <v>112057</v>
      </c>
      <c r="C2526" t="str">
        <f>"44875"</f>
        <v>44875</v>
      </c>
      <c r="D2526" t="s">
        <v>424</v>
      </c>
      <c r="E2526">
        <v>90.45</v>
      </c>
      <c r="F2526">
        <v>20131009</v>
      </c>
      <c r="G2526" t="s">
        <v>410</v>
      </c>
      <c r="H2526" t="s">
        <v>411</v>
      </c>
      <c r="I2526" t="s">
        <v>12</v>
      </c>
    </row>
    <row r="2527" spans="1:9" x14ac:dyDescent="0.25">
      <c r="A2527">
        <v>20131010</v>
      </c>
      <c r="B2527" t="str">
        <f>"112058"</f>
        <v>112058</v>
      </c>
      <c r="C2527" t="str">
        <f>"84445"</f>
        <v>84445</v>
      </c>
      <c r="D2527" t="s">
        <v>1472</v>
      </c>
      <c r="E2527">
        <v>49.14</v>
      </c>
      <c r="F2527">
        <v>20131008</v>
      </c>
      <c r="G2527" t="s">
        <v>562</v>
      </c>
      <c r="H2527" t="s">
        <v>563</v>
      </c>
      <c r="I2527" t="s">
        <v>21</v>
      </c>
    </row>
    <row r="2528" spans="1:9" x14ac:dyDescent="0.25">
      <c r="A2528">
        <v>20131010</v>
      </c>
      <c r="B2528" t="str">
        <f>"112058"</f>
        <v>112058</v>
      </c>
      <c r="C2528" t="str">
        <f>"84445"</f>
        <v>84445</v>
      </c>
      <c r="D2528" t="s">
        <v>1472</v>
      </c>
      <c r="E2528">
        <v>33.39</v>
      </c>
      <c r="F2528">
        <v>20131008</v>
      </c>
      <c r="G2528" t="s">
        <v>562</v>
      </c>
      <c r="H2528" t="s">
        <v>563</v>
      </c>
      <c r="I2528" t="s">
        <v>21</v>
      </c>
    </row>
    <row r="2529" spans="1:9" x14ac:dyDescent="0.25">
      <c r="A2529">
        <v>20131010</v>
      </c>
      <c r="B2529" t="str">
        <f>"112059"</f>
        <v>112059</v>
      </c>
      <c r="C2529" t="str">
        <f>"45465"</f>
        <v>45465</v>
      </c>
      <c r="D2529" t="s">
        <v>1473</v>
      </c>
      <c r="E2529">
        <v>312.26</v>
      </c>
      <c r="F2529">
        <v>20131007</v>
      </c>
      <c r="G2529" t="s">
        <v>415</v>
      </c>
      <c r="H2529" t="s">
        <v>414</v>
      </c>
      <c r="I2529" t="s">
        <v>21</v>
      </c>
    </row>
    <row r="2530" spans="1:9" x14ac:dyDescent="0.25">
      <c r="A2530">
        <v>20131010</v>
      </c>
      <c r="B2530" t="str">
        <f>"112059"</f>
        <v>112059</v>
      </c>
      <c r="C2530" t="str">
        <f>"45465"</f>
        <v>45465</v>
      </c>
      <c r="D2530" t="s">
        <v>1473</v>
      </c>
      <c r="E2530">
        <v>392.23</v>
      </c>
      <c r="F2530">
        <v>20131004</v>
      </c>
      <c r="G2530" t="s">
        <v>392</v>
      </c>
      <c r="H2530" t="s">
        <v>414</v>
      </c>
      <c r="I2530" t="s">
        <v>21</v>
      </c>
    </row>
    <row r="2531" spans="1:9" x14ac:dyDescent="0.25">
      <c r="A2531">
        <v>20131010</v>
      </c>
      <c r="B2531" t="str">
        <f>"112059"</f>
        <v>112059</v>
      </c>
      <c r="C2531" t="str">
        <f>"45465"</f>
        <v>45465</v>
      </c>
      <c r="D2531" t="s">
        <v>1473</v>
      </c>
      <c r="E2531">
        <v>24.16</v>
      </c>
      <c r="F2531">
        <v>20131004</v>
      </c>
      <c r="G2531" t="s">
        <v>392</v>
      </c>
      <c r="H2531" t="s">
        <v>414</v>
      </c>
      <c r="I2531" t="s">
        <v>21</v>
      </c>
    </row>
    <row r="2532" spans="1:9" x14ac:dyDescent="0.25">
      <c r="A2532">
        <v>20131010</v>
      </c>
      <c r="B2532" t="str">
        <f>"112059"</f>
        <v>112059</v>
      </c>
      <c r="C2532" t="str">
        <f>"45465"</f>
        <v>45465</v>
      </c>
      <c r="D2532" t="s">
        <v>1473</v>
      </c>
      <c r="E2532">
        <v>998.09</v>
      </c>
      <c r="F2532">
        <v>20131004</v>
      </c>
      <c r="G2532" t="s">
        <v>392</v>
      </c>
      <c r="H2532" t="s">
        <v>414</v>
      </c>
      <c r="I2532" t="s">
        <v>21</v>
      </c>
    </row>
    <row r="2533" spans="1:9" x14ac:dyDescent="0.25">
      <c r="A2533">
        <v>20131010</v>
      </c>
      <c r="B2533" t="str">
        <f>"112059"</f>
        <v>112059</v>
      </c>
      <c r="C2533" t="str">
        <f>"45465"</f>
        <v>45465</v>
      </c>
      <c r="D2533" t="s">
        <v>1473</v>
      </c>
      <c r="E2533">
        <v>332.92</v>
      </c>
      <c r="F2533">
        <v>20131007</v>
      </c>
      <c r="G2533" t="s">
        <v>392</v>
      </c>
      <c r="H2533" t="s">
        <v>414</v>
      </c>
      <c r="I2533" t="s">
        <v>21</v>
      </c>
    </row>
    <row r="2534" spans="1:9" x14ac:dyDescent="0.25">
      <c r="A2534">
        <v>20131010</v>
      </c>
      <c r="B2534" t="str">
        <f>"112060"</f>
        <v>112060</v>
      </c>
      <c r="C2534" t="str">
        <f>"45605"</f>
        <v>45605</v>
      </c>
      <c r="D2534" t="s">
        <v>1474</v>
      </c>
      <c r="E2534">
        <v>43.7</v>
      </c>
      <c r="F2534">
        <v>20131004</v>
      </c>
      <c r="G2534" t="s">
        <v>628</v>
      </c>
      <c r="H2534" t="s">
        <v>414</v>
      </c>
      <c r="I2534" t="s">
        <v>21</v>
      </c>
    </row>
    <row r="2535" spans="1:9" x14ac:dyDescent="0.25">
      <c r="A2535">
        <v>20131010</v>
      </c>
      <c r="B2535" t="str">
        <f>"112060"</f>
        <v>112060</v>
      </c>
      <c r="C2535" t="str">
        <f>"45605"</f>
        <v>45605</v>
      </c>
      <c r="D2535" t="s">
        <v>1474</v>
      </c>
      <c r="E2535">
        <v>12.34</v>
      </c>
      <c r="F2535">
        <v>20131004</v>
      </c>
      <c r="G2535" t="s">
        <v>392</v>
      </c>
      <c r="H2535" t="s">
        <v>414</v>
      </c>
      <c r="I2535" t="s">
        <v>21</v>
      </c>
    </row>
    <row r="2536" spans="1:9" x14ac:dyDescent="0.25">
      <c r="A2536">
        <v>20131010</v>
      </c>
      <c r="B2536" t="str">
        <f t="shared" ref="B2536:B2544" si="197">"112061"</f>
        <v>112061</v>
      </c>
      <c r="C2536" t="str">
        <f t="shared" ref="C2536:C2544" si="198">"46500"</f>
        <v>46500</v>
      </c>
      <c r="D2536" t="s">
        <v>626</v>
      </c>
      <c r="E2536">
        <v>56.5</v>
      </c>
      <c r="F2536">
        <v>20131007</v>
      </c>
      <c r="G2536" t="s">
        <v>415</v>
      </c>
      <c r="H2536" t="s">
        <v>414</v>
      </c>
      <c r="I2536" t="s">
        <v>21</v>
      </c>
    </row>
    <row r="2537" spans="1:9" x14ac:dyDescent="0.25">
      <c r="A2537">
        <v>20131010</v>
      </c>
      <c r="B2537" t="str">
        <f t="shared" si="197"/>
        <v>112061</v>
      </c>
      <c r="C2537" t="str">
        <f t="shared" si="198"/>
        <v>46500</v>
      </c>
      <c r="D2537" t="s">
        <v>626</v>
      </c>
      <c r="E2537">
        <v>839.88</v>
      </c>
      <c r="F2537">
        <v>20131007</v>
      </c>
      <c r="G2537" t="s">
        <v>627</v>
      </c>
      <c r="H2537" t="s">
        <v>414</v>
      </c>
      <c r="I2537" t="s">
        <v>21</v>
      </c>
    </row>
    <row r="2538" spans="1:9" x14ac:dyDescent="0.25">
      <c r="A2538">
        <v>20131010</v>
      </c>
      <c r="B2538" t="str">
        <f t="shared" si="197"/>
        <v>112061</v>
      </c>
      <c r="C2538" t="str">
        <f t="shared" si="198"/>
        <v>46500</v>
      </c>
      <c r="D2538" t="s">
        <v>626</v>
      </c>
      <c r="E2538">
        <v>5.92</v>
      </c>
      <c r="F2538">
        <v>20131007</v>
      </c>
      <c r="G2538" t="s">
        <v>1222</v>
      </c>
      <c r="H2538" t="s">
        <v>414</v>
      </c>
      <c r="I2538" t="s">
        <v>21</v>
      </c>
    </row>
    <row r="2539" spans="1:9" x14ac:dyDescent="0.25">
      <c r="A2539">
        <v>20131010</v>
      </c>
      <c r="B2539" t="str">
        <f t="shared" si="197"/>
        <v>112061</v>
      </c>
      <c r="C2539" t="str">
        <f t="shared" si="198"/>
        <v>46500</v>
      </c>
      <c r="D2539" t="s">
        <v>626</v>
      </c>
      <c r="E2539">
        <v>565.11</v>
      </c>
      <c r="F2539">
        <v>20131007</v>
      </c>
      <c r="G2539" t="s">
        <v>628</v>
      </c>
      <c r="H2539" t="s">
        <v>414</v>
      </c>
      <c r="I2539" t="s">
        <v>21</v>
      </c>
    </row>
    <row r="2540" spans="1:9" x14ac:dyDescent="0.25">
      <c r="A2540">
        <v>20131010</v>
      </c>
      <c r="B2540" t="str">
        <f t="shared" si="197"/>
        <v>112061</v>
      </c>
      <c r="C2540" t="str">
        <f t="shared" si="198"/>
        <v>46500</v>
      </c>
      <c r="D2540" t="s">
        <v>626</v>
      </c>
      <c r="E2540">
        <v>339.18</v>
      </c>
      <c r="F2540">
        <v>20131007</v>
      </c>
      <c r="G2540" t="s">
        <v>530</v>
      </c>
      <c r="H2540" t="s">
        <v>414</v>
      </c>
      <c r="I2540" t="s">
        <v>21</v>
      </c>
    </row>
    <row r="2541" spans="1:9" x14ac:dyDescent="0.25">
      <c r="A2541">
        <v>20131010</v>
      </c>
      <c r="B2541" t="str">
        <f t="shared" si="197"/>
        <v>112061</v>
      </c>
      <c r="C2541" t="str">
        <f t="shared" si="198"/>
        <v>46500</v>
      </c>
      <c r="D2541" t="s">
        <v>626</v>
      </c>
      <c r="E2541">
        <v>123.99</v>
      </c>
      <c r="F2541">
        <v>20131007</v>
      </c>
      <c r="G2541" t="s">
        <v>631</v>
      </c>
      <c r="H2541" t="s">
        <v>414</v>
      </c>
      <c r="I2541" t="s">
        <v>21</v>
      </c>
    </row>
    <row r="2542" spans="1:9" x14ac:dyDescent="0.25">
      <c r="A2542">
        <v>20131010</v>
      </c>
      <c r="B2542" t="str">
        <f t="shared" si="197"/>
        <v>112061</v>
      </c>
      <c r="C2542" t="str">
        <f t="shared" si="198"/>
        <v>46500</v>
      </c>
      <c r="D2542" t="s">
        <v>626</v>
      </c>
      <c r="E2542">
        <v>240.47</v>
      </c>
      <c r="F2542">
        <v>20131007</v>
      </c>
      <c r="G2542" t="s">
        <v>392</v>
      </c>
      <c r="H2542" t="s">
        <v>414</v>
      </c>
      <c r="I2542" t="s">
        <v>21</v>
      </c>
    </row>
    <row r="2543" spans="1:9" x14ac:dyDescent="0.25">
      <c r="A2543">
        <v>20131010</v>
      </c>
      <c r="B2543" t="str">
        <f t="shared" si="197"/>
        <v>112061</v>
      </c>
      <c r="C2543" t="str">
        <f t="shared" si="198"/>
        <v>46500</v>
      </c>
      <c r="D2543" t="s">
        <v>626</v>
      </c>
      <c r="E2543">
        <v>57</v>
      </c>
      <c r="F2543">
        <v>20131007</v>
      </c>
      <c r="G2543" t="s">
        <v>531</v>
      </c>
      <c r="H2543" t="s">
        <v>414</v>
      </c>
      <c r="I2543" t="s">
        <v>21</v>
      </c>
    </row>
    <row r="2544" spans="1:9" x14ac:dyDescent="0.25">
      <c r="A2544">
        <v>20131010</v>
      </c>
      <c r="B2544" t="str">
        <f t="shared" si="197"/>
        <v>112061</v>
      </c>
      <c r="C2544" t="str">
        <f t="shared" si="198"/>
        <v>46500</v>
      </c>
      <c r="D2544" t="s">
        <v>626</v>
      </c>
      <c r="E2544">
        <v>56.5</v>
      </c>
      <c r="F2544">
        <v>20131007</v>
      </c>
      <c r="G2544" t="s">
        <v>417</v>
      </c>
      <c r="H2544" t="s">
        <v>414</v>
      </c>
      <c r="I2544" t="s">
        <v>21</v>
      </c>
    </row>
    <row r="2545" spans="1:9" x14ac:dyDescent="0.25">
      <c r="A2545">
        <v>20131010</v>
      </c>
      <c r="B2545" t="str">
        <f>"112062"</f>
        <v>112062</v>
      </c>
      <c r="C2545" t="str">
        <f>"83094"</f>
        <v>83094</v>
      </c>
      <c r="D2545" t="s">
        <v>1475</v>
      </c>
      <c r="E2545">
        <v>633.26</v>
      </c>
      <c r="F2545">
        <v>20131009</v>
      </c>
      <c r="G2545" t="s">
        <v>699</v>
      </c>
      <c r="H2545" t="s">
        <v>1476</v>
      </c>
      <c r="I2545" t="s">
        <v>61</v>
      </c>
    </row>
    <row r="2546" spans="1:9" x14ac:dyDescent="0.25">
      <c r="A2546">
        <v>20131010</v>
      </c>
      <c r="B2546" t="str">
        <f>"112063"</f>
        <v>112063</v>
      </c>
      <c r="C2546" t="str">
        <f>"84239"</f>
        <v>84239</v>
      </c>
      <c r="D2546" t="s">
        <v>632</v>
      </c>
      <c r="E2546">
        <v>687</v>
      </c>
      <c r="F2546">
        <v>20131008</v>
      </c>
      <c r="G2546" t="s">
        <v>633</v>
      </c>
      <c r="H2546" t="s">
        <v>634</v>
      </c>
      <c r="I2546" t="s">
        <v>21</v>
      </c>
    </row>
    <row r="2547" spans="1:9" x14ac:dyDescent="0.25">
      <c r="A2547">
        <v>20131010</v>
      </c>
      <c r="B2547" t="str">
        <f>"112064"</f>
        <v>112064</v>
      </c>
      <c r="C2547" t="str">
        <f>"82365"</f>
        <v>82365</v>
      </c>
      <c r="D2547" t="s">
        <v>1477</v>
      </c>
      <c r="E2547" s="1">
        <v>1007.67</v>
      </c>
      <c r="F2547">
        <v>20131008</v>
      </c>
      <c r="G2547" t="s">
        <v>1478</v>
      </c>
      <c r="H2547" t="s">
        <v>1479</v>
      </c>
      <c r="I2547" t="s">
        <v>21</v>
      </c>
    </row>
    <row r="2548" spans="1:9" x14ac:dyDescent="0.25">
      <c r="A2548">
        <v>20131010</v>
      </c>
      <c r="B2548" t="str">
        <f>"112065"</f>
        <v>112065</v>
      </c>
      <c r="C2548" t="str">
        <f>"81788"</f>
        <v>81788</v>
      </c>
      <c r="D2548" t="s">
        <v>1104</v>
      </c>
      <c r="E2548" s="1">
        <v>10029.6</v>
      </c>
      <c r="F2548">
        <v>20131009</v>
      </c>
      <c r="G2548" t="s">
        <v>582</v>
      </c>
      <c r="H2548" t="s">
        <v>1480</v>
      </c>
      <c r="I2548" t="s">
        <v>21</v>
      </c>
    </row>
    <row r="2549" spans="1:9" x14ac:dyDescent="0.25">
      <c r="A2549">
        <v>20131010</v>
      </c>
      <c r="B2549" t="str">
        <f>"112065"</f>
        <v>112065</v>
      </c>
      <c r="C2549" t="str">
        <f>"81788"</f>
        <v>81788</v>
      </c>
      <c r="D2549" t="s">
        <v>1104</v>
      </c>
      <c r="E2549" s="1">
        <v>2089.5</v>
      </c>
      <c r="F2549">
        <v>20131003</v>
      </c>
      <c r="G2549" t="s">
        <v>583</v>
      </c>
      <c r="H2549" t="s">
        <v>1481</v>
      </c>
      <c r="I2549" t="s">
        <v>21</v>
      </c>
    </row>
    <row r="2550" spans="1:9" x14ac:dyDescent="0.25">
      <c r="A2550">
        <v>20131010</v>
      </c>
      <c r="B2550" t="str">
        <f>"112066"</f>
        <v>112066</v>
      </c>
      <c r="C2550" t="str">
        <f>"83121"</f>
        <v>83121</v>
      </c>
      <c r="D2550" t="s">
        <v>1482</v>
      </c>
      <c r="E2550">
        <v>345</v>
      </c>
      <c r="F2550">
        <v>20131009</v>
      </c>
      <c r="G2550" t="s">
        <v>1483</v>
      </c>
      <c r="H2550" t="s">
        <v>1484</v>
      </c>
      <c r="I2550" t="s">
        <v>38</v>
      </c>
    </row>
    <row r="2551" spans="1:9" x14ac:dyDescent="0.25">
      <c r="A2551">
        <v>20131010</v>
      </c>
      <c r="B2551" t="str">
        <f>"112067"</f>
        <v>112067</v>
      </c>
      <c r="C2551" t="str">
        <f>"82192"</f>
        <v>82192</v>
      </c>
      <c r="D2551" t="s">
        <v>642</v>
      </c>
      <c r="E2551" s="1">
        <v>6824</v>
      </c>
      <c r="F2551">
        <v>20131007</v>
      </c>
      <c r="G2551" t="s">
        <v>643</v>
      </c>
      <c r="H2551" t="s">
        <v>488</v>
      </c>
      <c r="I2551" t="s">
        <v>21</v>
      </c>
    </row>
    <row r="2552" spans="1:9" x14ac:dyDescent="0.25">
      <c r="A2552">
        <v>20131010</v>
      </c>
      <c r="B2552" t="str">
        <f>"112068"</f>
        <v>112068</v>
      </c>
      <c r="C2552" t="str">
        <f>"85760"</f>
        <v>85760</v>
      </c>
      <c r="D2552" t="s">
        <v>1485</v>
      </c>
      <c r="E2552">
        <v>21.6</v>
      </c>
      <c r="F2552">
        <v>20131004</v>
      </c>
      <c r="G2552" t="s">
        <v>496</v>
      </c>
      <c r="H2552" t="s">
        <v>414</v>
      </c>
      <c r="I2552" t="s">
        <v>21</v>
      </c>
    </row>
    <row r="2553" spans="1:9" x14ac:dyDescent="0.25">
      <c r="A2553">
        <v>20131010</v>
      </c>
      <c r="B2553" t="str">
        <f>"112068"</f>
        <v>112068</v>
      </c>
      <c r="C2553" t="str">
        <f>"85760"</f>
        <v>85760</v>
      </c>
      <c r="D2553" t="s">
        <v>1485</v>
      </c>
      <c r="E2553">
        <v>9</v>
      </c>
      <c r="F2553">
        <v>20131004</v>
      </c>
      <c r="G2553" t="s">
        <v>417</v>
      </c>
      <c r="H2553" t="s">
        <v>414</v>
      </c>
      <c r="I2553" t="s">
        <v>21</v>
      </c>
    </row>
    <row r="2554" spans="1:9" x14ac:dyDescent="0.25">
      <c r="A2554">
        <v>20131010</v>
      </c>
      <c r="B2554" t="str">
        <f>"112068"</f>
        <v>112068</v>
      </c>
      <c r="C2554" t="str">
        <f>"85760"</f>
        <v>85760</v>
      </c>
      <c r="D2554" t="s">
        <v>1485</v>
      </c>
      <c r="E2554">
        <v>377.76</v>
      </c>
      <c r="F2554">
        <v>20131004</v>
      </c>
      <c r="G2554" t="s">
        <v>1486</v>
      </c>
      <c r="H2554" t="s">
        <v>414</v>
      </c>
      <c r="I2554" t="s">
        <v>38</v>
      </c>
    </row>
    <row r="2555" spans="1:9" x14ac:dyDescent="0.25">
      <c r="A2555">
        <v>20131010</v>
      </c>
      <c r="B2555" t="str">
        <f>"112069"</f>
        <v>112069</v>
      </c>
      <c r="C2555" t="str">
        <f>"49845"</f>
        <v>49845</v>
      </c>
      <c r="D2555" t="s">
        <v>644</v>
      </c>
      <c r="E2555">
        <v>40</v>
      </c>
      <c r="F2555">
        <v>20131004</v>
      </c>
      <c r="G2555" t="s">
        <v>473</v>
      </c>
      <c r="H2555" t="s">
        <v>1487</v>
      </c>
      <c r="I2555" t="s">
        <v>21</v>
      </c>
    </row>
    <row r="2556" spans="1:9" x14ac:dyDescent="0.25">
      <c r="A2556">
        <v>20131010</v>
      </c>
      <c r="B2556" t="str">
        <f>"112069"</f>
        <v>112069</v>
      </c>
      <c r="C2556" t="str">
        <f>"49845"</f>
        <v>49845</v>
      </c>
      <c r="D2556" t="s">
        <v>644</v>
      </c>
      <c r="E2556">
        <v>22</v>
      </c>
      <c r="F2556">
        <v>20131004</v>
      </c>
      <c r="G2556" t="s">
        <v>392</v>
      </c>
      <c r="H2556" t="s">
        <v>645</v>
      </c>
      <c r="I2556" t="s">
        <v>21</v>
      </c>
    </row>
    <row r="2557" spans="1:9" x14ac:dyDescent="0.25">
      <c r="A2557">
        <v>20131010</v>
      </c>
      <c r="B2557" t="str">
        <f>"112069"</f>
        <v>112069</v>
      </c>
      <c r="C2557" t="str">
        <f>"49845"</f>
        <v>49845</v>
      </c>
      <c r="D2557" t="s">
        <v>644</v>
      </c>
      <c r="E2557">
        <v>295</v>
      </c>
      <c r="F2557">
        <v>20131004</v>
      </c>
      <c r="G2557" t="s">
        <v>1488</v>
      </c>
      <c r="H2557" t="s">
        <v>645</v>
      </c>
      <c r="I2557" t="s">
        <v>25</v>
      </c>
    </row>
    <row r="2558" spans="1:9" x14ac:dyDescent="0.25">
      <c r="A2558">
        <v>20131010</v>
      </c>
      <c r="B2558" t="str">
        <f>"112070"</f>
        <v>112070</v>
      </c>
      <c r="C2558" t="str">
        <f>"84193"</f>
        <v>84193</v>
      </c>
      <c r="D2558" t="s">
        <v>1110</v>
      </c>
      <c r="E2558">
        <v>57.57</v>
      </c>
      <c r="F2558">
        <v>20131008</v>
      </c>
      <c r="G2558" t="s">
        <v>1033</v>
      </c>
      <c r="H2558" t="s">
        <v>365</v>
      </c>
      <c r="I2558" t="s">
        <v>21</v>
      </c>
    </row>
    <row r="2559" spans="1:9" x14ac:dyDescent="0.25">
      <c r="A2559">
        <v>20131010</v>
      </c>
      <c r="B2559" t="str">
        <f>"112071"</f>
        <v>112071</v>
      </c>
      <c r="C2559" t="str">
        <f>"87543"</f>
        <v>87543</v>
      </c>
      <c r="D2559" t="s">
        <v>1489</v>
      </c>
      <c r="E2559">
        <v>110</v>
      </c>
      <c r="F2559">
        <v>20131008</v>
      </c>
      <c r="G2559" t="s">
        <v>764</v>
      </c>
      <c r="H2559" t="s">
        <v>765</v>
      </c>
      <c r="I2559" t="s">
        <v>61</v>
      </c>
    </row>
    <row r="2560" spans="1:9" x14ac:dyDescent="0.25">
      <c r="A2560">
        <v>20131010</v>
      </c>
      <c r="B2560" t="str">
        <f>"112072"</f>
        <v>112072</v>
      </c>
      <c r="C2560" t="str">
        <f>"52518"</f>
        <v>52518</v>
      </c>
      <c r="D2560" t="s">
        <v>647</v>
      </c>
      <c r="E2560" s="1">
        <v>1159.52</v>
      </c>
      <c r="F2560">
        <v>20131009</v>
      </c>
      <c r="G2560" t="s">
        <v>498</v>
      </c>
      <c r="H2560" t="s">
        <v>499</v>
      </c>
      <c r="I2560" t="s">
        <v>21</v>
      </c>
    </row>
    <row r="2561" spans="1:9" x14ac:dyDescent="0.25">
      <c r="A2561">
        <v>20131010</v>
      </c>
      <c r="B2561" t="str">
        <f>"112072"</f>
        <v>112072</v>
      </c>
      <c r="C2561" t="str">
        <f>"52518"</f>
        <v>52518</v>
      </c>
      <c r="D2561" t="s">
        <v>647</v>
      </c>
      <c r="E2561">
        <v>-39.1</v>
      </c>
      <c r="F2561">
        <v>20131010</v>
      </c>
      <c r="G2561" t="s">
        <v>498</v>
      </c>
      <c r="H2561" t="s">
        <v>1490</v>
      </c>
      <c r="I2561" t="s">
        <v>21</v>
      </c>
    </row>
    <row r="2562" spans="1:9" x14ac:dyDescent="0.25">
      <c r="A2562">
        <v>20131010</v>
      </c>
      <c r="B2562" t="str">
        <f>"112072"</f>
        <v>112072</v>
      </c>
      <c r="C2562" t="str">
        <f>"52518"</f>
        <v>52518</v>
      </c>
      <c r="D2562" t="s">
        <v>647</v>
      </c>
      <c r="E2562">
        <v>905.66</v>
      </c>
      <c r="F2562">
        <v>20131009</v>
      </c>
      <c r="G2562" t="s">
        <v>496</v>
      </c>
      <c r="H2562" t="s">
        <v>414</v>
      </c>
      <c r="I2562" t="s">
        <v>21</v>
      </c>
    </row>
    <row r="2563" spans="1:9" x14ac:dyDescent="0.25">
      <c r="A2563">
        <v>20131010</v>
      </c>
      <c r="B2563" t="str">
        <f>"112072"</f>
        <v>112072</v>
      </c>
      <c r="C2563" t="str">
        <f>"52518"</f>
        <v>52518</v>
      </c>
      <c r="D2563" t="s">
        <v>647</v>
      </c>
      <c r="E2563">
        <v>10.9</v>
      </c>
      <c r="F2563">
        <v>20131009</v>
      </c>
      <c r="G2563" t="s">
        <v>627</v>
      </c>
      <c r="H2563" t="s">
        <v>414</v>
      </c>
      <c r="I2563" t="s">
        <v>21</v>
      </c>
    </row>
    <row r="2564" spans="1:9" x14ac:dyDescent="0.25">
      <c r="A2564">
        <v>20131010</v>
      </c>
      <c r="B2564" t="str">
        <f>"112072"</f>
        <v>112072</v>
      </c>
      <c r="C2564" t="str">
        <f>"52518"</f>
        <v>52518</v>
      </c>
      <c r="D2564" t="s">
        <v>647</v>
      </c>
      <c r="E2564">
        <v>14.99</v>
      </c>
      <c r="F2564">
        <v>20131009</v>
      </c>
      <c r="G2564" t="s">
        <v>392</v>
      </c>
      <c r="H2564" t="s">
        <v>414</v>
      </c>
      <c r="I2564" t="s">
        <v>21</v>
      </c>
    </row>
    <row r="2565" spans="1:9" x14ac:dyDescent="0.25">
      <c r="A2565">
        <v>20131010</v>
      </c>
      <c r="B2565" t="str">
        <f>"112073"</f>
        <v>112073</v>
      </c>
      <c r="C2565" t="str">
        <f>"87231"</f>
        <v>87231</v>
      </c>
      <c r="D2565" t="s">
        <v>428</v>
      </c>
      <c r="E2565">
        <v>28.35</v>
      </c>
      <c r="F2565">
        <v>20131009</v>
      </c>
      <c r="G2565" t="s">
        <v>410</v>
      </c>
      <c r="H2565" t="s">
        <v>411</v>
      </c>
      <c r="I2565" t="s">
        <v>12</v>
      </c>
    </row>
    <row r="2566" spans="1:9" x14ac:dyDescent="0.25">
      <c r="A2566">
        <v>20131010</v>
      </c>
      <c r="B2566" t="str">
        <f>"112074"</f>
        <v>112074</v>
      </c>
      <c r="C2566" t="str">
        <f>"53300"</f>
        <v>53300</v>
      </c>
      <c r="D2566" t="s">
        <v>1491</v>
      </c>
      <c r="E2566">
        <v>24.99</v>
      </c>
      <c r="F2566">
        <v>20131008</v>
      </c>
      <c r="G2566" t="s">
        <v>415</v>
      </c>
      <c r="H2566" t="s">
        <v>414</v>
      </c>
      <c r="I2566" t="s">
        <v>21</v>
      </c>
    </row>
    <row r="2567" spans="1:9" x14ac:dyDescent="0.25">
      <c r="A2567">
        <v>20131010</v>
      </c>
      <c r="B2567" t="str">
        <f>"112074"</f>
        <v>112074</v>
      </c>
      <c r="C2567" t="str">
        <f>"53300"</f>
        <v>53300</v>
      </c>
      <c r="D2567" t="s">
        <v>1491</v>
      </c>
      <c r="E2567">
        <v>3.98</v>
      </c>
      <c r="F2567">
        <v>20131008</v>
      </c>
      <c r="G2567" t="s">
        <v>629</v>
      </c>
      <c r="H2567" t="s">
        <v>414</v>
      </c>
      <c r="I2567" t="s">
        <v>21</v>
      </c>
    </row>
    <row r="2568" spans="1:9" x14ac:dyDescent="0.25">
      <c r="A2568">
        <v>20131010</v>
      </c>
      <c r="B2568" t="str">
        <f>"112074"</f>
        <v>112074</v>
      </c>
      <c r="C2568" t="str">
        <f>"53300"</f>
        <v>53300</v>
      </c>
      <c r="D2568" t="s">
        <v>1491</v>
      </c>
      <c r="E2568">
        <v>11.37</v>
      </c>
      <c r="F2568">
        <v>20131008</v>
      </c>
      <c r="G2568" t="s">
        <v>530</v>
      </c>
      <c r="H2568" t="s">
        <v>414</v>
      </c>
      <c r="I2568" t="s">
        <v>21</v>
      </c>
    </row>
    <row r="2569" spans="1:9" x14ac:dyDescent="0.25">
      <c r="A2569">
        <v>20131010</v>
      </c>
      <c r="B2569" t="str">
        <f>"112074"</f>
        <v>112074</v>
      </c>
      <c r="C2569" t="str">
        <f>"53300"</f>
        <v>53300</v>
      </c>
      <c r="D2569" t="s">
        <v>1491</v>
      </c>
      <c r="E2569">
        <v>12.47</v>
      </c>
      <c r="F2569">
        <v>20131008</v>
      </c>
      <c r="G2569" t="s">
        <v>631</v>
      </c>
      <c r="H2569" t="s">
        <v>414</v>
      </c>
      <c r="I2569" t="s">
        <v>21</v>
      </c>
    </row>
    <row r="2570" spans="1:9" x14ac:dyDescent="0.25">
      <c r="A2570">
        <v>20131010</v>
      </c>
      <c r="B2570" t="str">
        <f>"112074"</f>
        <v>112074</v>
      </c>
      <c r="C2570" t="str">
        <f>"53300"</f>
        <v>53300</v>
      </c>
      <c r="D2570" t="s">
        <v>1491</v>
      </c>
      <c r="E2570">
        <v>55.65</v>
      </c>
      <c r="F2570">
        <v>20131008</v>
      </c>
      <c r="G2570" t="s">
        <v>392</v>
      </c>
      <c r="H2570" t="s">
        <v>414</v>
      </c>
      <c r="I2570" t="s">
        <v>21</v>
      </c>
    </row>
    <row r="2571" spans="1:9" x14ac:dyDescent="0.25">
      <c r="A2571">
        <v>20131010</v>
      </c>
      <c r="B2571" t="str">
        <f>"112075"</f>
        <v>112075</v>
      </c>
      <c r="C2571" t="str">
        <f>"53650"</f>
        <v>53650</v>
      </c>
      <c r="D2571" t="s">
        <v>1492</v>
      </c>
      <c r="E2571">
        <v>23.85</v>
      </c>
      <c r="F2571">
        <v>20131004</v>
      </c>
      <c r="G2571" t="s">
        <v>837</v>
      </c>
      <c r="H2571" t="s">
        <v>1493</v>
      </c>
      <c r="I2571" t="s">
        <v>21</v>
      </c>
    </row>
    <row r="2572" spans="1:9" x14ac:dyDescent="0.25">
      <c r="A2572">
        <v>20131010</v>
      </c>
      <c r="B2572" t="str">
        <f>"112076"</f>
        <v>112076</v>
      </c>
      <c r="C2572" t="str">
        <f>"55675"</f>
        <v>55675</v>
      </c>
      <c r="D2572" t="s">
        <v>1114</v>
      </c>
      <c r="E2572">
        <v>282.99</v>
      </c>
      <c r="F2572">
        <v>20131010</v>
      </c>
      <c r="G2572" t="s">
        <v>506</v>
      </c>
      <c r="H2572" t="s">
        <v>414</v>
      </c>
      <c r="I2572" t="s">
        <v>21</v>
      </c>
    </row>
    <row r="2573" spans="1:9" x14ac:dyDescent="0.25">
      <c r="A2573">
        <v>20131010</v>
      </c>
      <c r="B2573" t="str">
        <f>"112076"</f>
        <v>112076</v>
      </c>
      <c r="C2573" t="str">
        <f>"55675"</f>
        <v>55675</v>
      </c>
      <c r="D2573" t="s">
        <v>1114</v>
      </c>
      <c r="E2573">
        <v>56.99</v>
      </c>
      <c r="F2573">
        <v>20131010</v>
      </c>
      <c r="G2573" t="s">
        <v>506</v>
      </c>
      <c r="H2573" t="s">
        <v>414</v>
      </c>
      <c r="I2573" t="s">
        <v>21</v>
      </c>
    </row>
    <row r="2574" spans="1:9" x14ac:dyDescent="0.25">
      <c r="A2574">
        <v>20131010</v>
      </c>
      <c r="B2574" t="str">
        <f>"112076"</f>
        <v>112076</v>
      </c>
      <c r="C2574" t="str">
        <f>"55675"</f>
        <v>55675</v>
      </c>
      <c r="D2574" t="s">
        <v>1114</v>
      </c>
      <c r="E2574">
        <v>53.98</v>
      </c>
      <c r="F2574">
        <v>20131010</v>
      </c>
      <c r="G2574" t="s">
        <v>1115</v>
      </c>
      <c r="H2574" t="s">
        <v>414</v>
      </c>
      <c r="I2574" t="s">
        <v>21</v>
      </c>
    </row>
    <row r="2575" spans="1:9" x14ac:dyDescent="0.25">
      <c r="A2575">
        <v>20131010</v>
      </c>
      <c r="B2575" t="str">
        <f>"112077"</f>
        <v>112077</v>
      </c>
      <c r="C2575" t="str">
        <f>"87246"</f>
        <v>87246</v>
      </c>
      <c r="D2575" t="s">
        <v>1494</v>
      </c>
      <c r="E2575">
        <v>150</v>
      </c>
      <c r="F2575">
        <v>20131008</v>
      </c>
      <c r="G2575" t="s">
        <v>140</v>
      </c>
      <c r="H2575" t="s">
        <v>1495</v>
      </c>
      <c r="I2575" t="s">
        <v>25</v>
      </c>
    </row>
    <row r="2576" spans="1:9" x14ac:dyDescent="0.25">
      <c r="A2576">
        <v>20131010</v>
      </c>
      <c r="B2576" t="str">
        <f>"112078"</f>
        <v>112078</v>
      </c>
      <c r="C2576" t="str">
        <f>"87212"</f>
        <v>87212</v>
      </c>
      <c r="D2576" t="s">
        <v>652</v>
      </c>
      <c r="E2576">
        <v>970</v>
      </c>
      <c r="F2576">
        <v>20131007</v>
      </c>
      <c r="G2576" t="s">
        <v>653</v>
      </c>
      <c r="H2576" t="s">
        <v>1207</v>
      </c>
      <c r="I2576" t="s">
        <v>21</v>
      </c>
    </row>
    <row r="2577" spans="1:9" x14ac:dyDescent="0.25">
      <c r="A2577">
        <v>20131010</v>
      </c>
      <c r="B2577" t="str">
        <f>"112079"</f>
        <v>112079</v>
      </c>
      <c r="C2577" t="str">
        <f>"57041"</f>
        <v>57041</v>
      </c>
      <c r="D2577" t="s">
        <v>1496</v>
      </c>
      <c r="E2577">
        <v>321.85000000000002</v>
      </c>
      <c r="F2577">
        <v>20131004</v>
      </c>
      <c r="G2577" t="s">
        <v>392</v>
      </c>
      <c r="H2577" t="s">
        <v>414</v>
      </c>
      <c r="I2577" t="s">
        <v>21</v>
      </c>
    </row>
    <row r="2578" spans="1:9" x14ac:dyDescent="0.25">
      <c r="A2578">
        <v>20131010</v>
      </c>
      <c r="B2578" t="str">
        <f>"112080"</f>
        <v>112080</v>
      </c>
      <c r="C2578" t="str">
        <f>"86486"</f>
        <v>86486</v>
      </c>
      <c r="D2578" t="s">
        <v>429</v>
      </c>
      <c r="E2578">
        <v>72.45</v>
      </c>
      <c r="F2578">
        <v>20131009</v>
      </c>
      <c r="G2578" t="s">
        <v>410</v>
      </c>
      <c r="H2578" t="s">
        <v>411</v>
      </c>
      <c r="I2578" t="s">
        <v>12</v>
      </c>
    </row>
    <row r="2579" spans="1:9" x14ac:dyDescent="0.25">
      <c r="A2579">
        <v>20131010</v>
      </c>
      <c r="B2579" t="str">
        <f>"112081"</f>
        <v>112081</v>
      </c>
      <c r="C2579" t="str">
        <f>"85114"</f>
        <v>85114</v>
      </c>
      <c r="D2579" t="s">
        <v>1497</v>
      </c>
      <c r="E2579">
        <v>200</v>
      </c>
      <c r="F2579">
        <v>20131004</v>
      </c>
      <c r="G2579" t="s">
        <v>356</v>
      </c>
      <c r="H2579" t="s">
        <v>357</v>
      </c>
      <c r="I2579" t="s">
        <v>61</v>
      </c>
    </row>
    <row r="2580" spans="1:9" x14ac:dyDescent="0.25">
      <c r="A2580">
        <v>20131010</v>
      </c>
      <c r="B2580" t="str">
        <f>"112082"</f>
        <v>112082</v>
      </c>
      <c r="C2580" t="str">
        <f>"85114"</f>
        <v>85114</v>
      </c>
      <c r="D2580" t="s">
        <v>1497</v>
      </c>
      <c r="E2580">
        <v>150</v>
      </c>
      <c r="F2580">
        <v>20131004</v>
      </c>
      <c r="G2580" t="s">
        <v>356</v>
      </c>
      <c r="H2580" t="s">
        <v>357</v>
      </c>
      <c r="I2580" t="s">
        <v>61</v>
      </c>
    </row>
    <row r="2581" spans="1:9" x14ac:dyDescent="0.25">
      <c r="A2581">
        <v>20131010</v>
      </c>
      <c r="B2581" t="str">
        <f>"112082"</f>
        <v>112082</v>
      </c>
      <c r="C2581" t="str">
        <f>"85114"</f>
        <v>85114</v>
      </c>
      <c r="D2581" t="s">
        <v>1497</v>
      </c>
      <c r="E2581">
        <v>-150</v>
      </c>
      <c r="F2581">
        <v>20131218</v>
      </c>
      <c r="G2581" t="s">
        <v>356</v>
      </c>
      <c r="H2581" t="s">
        <v>1498</v>
      </c>
      <c r="I2581" t="s">
        <v>61</v>
      </c>
    </row>
    <row r="2582" spans="1:9" x14ac:dyDescent="0.25">
      <c r="A2582">
        <v>20131010</v>
      </c>
      <c r="B2582" t="str">
        <f>"112083"</f>
        <v>112083</v>
      </c>
      <c r="C2582" t="str">
        <f>"85114"</f>
        <v>85114</v>
      </c>
      <c r="D2582" t="s">
        <v>1497</v>
      </c>
      <c r="E2582">
        <v>100</v>
      </c>
      <c r="F2582">
        <v>20131004</v>
      </c>
      <c r="G2582" t="s">
        <v>356</v>
      </c>
      <c r="H2582" t="s">
        <v>357</v>
      </c>
      <c r="I2582" t="s">
        <v>61</v>
      </c>
    </row>
    <row r="2583" spans="1:9" x14ac:dyDescent="0.25">
      <c r="A2583">
        <v>20131010</v>
      </c>
      <c r="B2583" t="str">
        <f>"112084"</f>
        <v>112084</v>
      </c>
      <c r="C2583" t="str">
        <f>"58675"</f>
        <v>58675</v>
      </c>
      <c r="D2583" t="s">
        <v>657</v>
      </c>
      <c r="E2583">
        <v>64.75</v>
      </c>
      <c r="F2583">
        <v>20131007</v>
      </c>
      <c r="G2583" t="s">
        <v>498</v>
      </c>
      <c r="H2583" t="s">
        <v>499</v>
      </c>
      <c r="I2583" t="s">
        <v>21</v>
      </c>
    </row>
    <row r="2584" spans="1:9" x14ac:dyDescent="0.25">
      <c r="A2584">
        <v>20131010</v>
      </c>
      <c r="B2584" t="str">
        <f>"112084"</f>
        <v>112084</v>
      </c>
      <c r="C2584" t="str">
        <f>"58675"</f>
        <v>58675</v>
      </c>
      <c r="D2584" t="s">
        <v>657</v>
      </c>
      <c r="E2584">
        <v>42.85</v>
      </c>
      <c r="F2584">
        <v>20131007</v>
      </c>
      <c r="G2584" t="s">
        <v>498</v>
      </c>
      <c r="H2584" t="s">
        <v>499</v>
      </c>
      <c r="I2584" t="s">
        <v>21</v>
      </c>
    </row>
    <row r="2585" spans="1:9" x14ac:dyDescent="0.25">
      <c r="A2585">
        <v>20131010</v>
      </c>
      <c r="B2585" t="str">
        <f>"112085"</f>
        <v>112085</v>
      </c>
      <c r="C2585" t="str">
        <f>"59190"</f>
        <v>59190</v>
      </c>
      <c r="D2585" t="s">
        <v>1499</v>
      </c>
      <c r="E2585">
        <v>17.59</v>
      </c>
      <c r="F2585">
        <v>20131004</v>
      </c>
      <c r="G2585" t="s">
        <v>413</v>
      </c>
      <c r="H2585" t="s">
        <v>414</v>
      </c>
      <c r="I2585" t="s">
        <v>21</v>
      </c>
    </row>
    <row r="2586" spans="1:9" x14ac:dyDescent="0.25">
      <c r="A2586">
        <v>20131010</v>
      </c>
      <c r="B2586" t="str">
        <f>"112085"</f>
        <v>112085</v>
      </c>
      <c r="C2586" t="str">
        <f>"59190"</f>
        <v>59190</v>
      </c>
      <c r="D2586" t="s">
        <v>1499</v>
      </c>
      <c r="E2586">
        <v>49.12</v>
      </c>
      <c r="F2586">
        <v>20131007</v>
      </c>
      <c r="G2586" t="s">
        <v>413</v>
      </c>
      <c r="H2586" t="s">
        <v>414</v>
      </c>
      <c r="I2586" t="s">
        <v>21</v>
      </c>
    </row>
    <row r="2587" spans="1:9" x14ac:dyDescent="0.25">
      <c r="A2587">
        <v>20131010</v>
      </c>
      <c r="B2587" t="str">
        <f>"112086"</f>
        <v>112086</v>
      </c>
      <c r="C2587" t="str">
        <f>"59500"</f>
        <v>59500</v>
      </c>
      <c r="D2587" t="s">
        <v>670</v>
      </c>
      <c r="E2587">
        <v>47.46</v>
      </c>
      <c r="F2587">
        <v>20131003</v>
      </c>
      <c r="G2587" t="s">
        <v>583</v>
      </c>
      <c r="H2587" t="s">
        <v>1500</v>
      </c>
      <c r="I2587" t="s">
        <v>21</v>
      </c>
    </row>
    <row r="2588" spans="1:9" x14ac:dyDescent="0.25">
      <c r="A2588">
        <v>20131010</v>
      </c>
      <c r="B2588" t="str">
        <f>"112086"</f>
        <v>112086</v>
      </c>
      <c r="C2588" t="str">
        <f>"59500"</f>
        <v>59500</v>
      </c>
      <c r="D2588" t="s">
        <v>670</v>
      </c>
      <c r="E2588">
        <v>159.54</v>
      </c>
      <c r="F2588">
        <v>20131009</v>
      </c>
      <c r="G2588" t="s">
        <v>1277</v>
      </c>
      <c r="H2588" t="s">
        <v>414</v>
      </c>
      <c r="I2588" t="s">
        <v>79</v>
      </c>
    </row>
    <row r="2589" spans="1:9" x14ac:dyDescent="0.25">
      <c r="A2589">
        <v>20131010</v>
      </c>
      <c r="B2589" t="str">
        <f>"112087"</f>
        <v>112087</v>
      </c>
      <c r="C2589" t="str">
        <f>"81139"</f>
        <v>81139</v>
      </c>
      <c r="D2589" t="s">
        <v>1501</v>
      </c>
      <c r="E2589">
        <v>18.45</v>
      </c>
      <c r="F2589">
        <v>20131009</v>
      </c>
      <c r="G2589" t="s">
        <v>410</v>
      </c>
      <c r="H2589" t="s">
        <v>411</v>
      </c>
      <c r="I2589" t="s">
        <v>12</v>
      </c>
    </row>
    <row r="2590" spans="1:9" x14ac:dyDescent="0.25">
      <c r="A2590">
        <v>20131010</v>
      </c>
      <c r="B2590" t="str">
        <f>"112088"</f>
        <v>112088</v>
      </c>
      <c r="C2590" t="str">
        <f>"86795"</f>
        <v>86795</v>
      </c>
      <c r="D2590" t="s">
        <v>430</v>
      </c>
      <c r="E2590">
        <v>22.5</v>
      </c>
      <c r="F2590">
        <v>20131009</v>
      </c>
      <c r="G2590" t="s">
        <v>410</v>
      </c>
      <c r="H2590" t="s">
        <v>411</v>
      </c>
      <c r="I2590" t="s">
        <v>12</v>
      </c>
    </row>
    <row r="2591" spans="1:9" x14ac:dyDescent="0.25">
      <c r="A2591">
        <v>20131010</v>
      </c>
      <c r="B2591" t="str">
        <f>"112089"</f>
        <v>112089</v>
      </c>
      <c r="C2591" t="str">
        <f>"59695"</f>
        <v>59695</v>
      </c>
      <c r="D2591" t="s">
        <v>371</v>
      </c>
      <c r="E2591">
        <v>810</v>
      </c>
      <c r="F2591">
        <v>20131004</v>
      </c>
      <c r="G2591" t="s">
        <v>372</v>
      </c>
      <c r="H2591" t="s">
        <v>373</v>
      </c>
      <c r="I2591" t="s">
        <v>21</v>
      </c>
    </row>
    <row r="2592" spans="1:9" x14ac:dyDescent="0.25">
      <c r="A2592">
        <v>20131010</v>
      </c>
      <c r="B2592" t="str">
        <f>"112089"</f>
        <v>112089</v>
      </c>
      <c r="C2592" t="str">
        <f>"59695"</f>
        <v>59695</v>
      </c>
      <c r="D2592" t="s">
        <v>371</v>
      </c>
      <c r="E2592">
        <v>405</v>
      </c>
      <c r="F2592">
        <v>20131004</v>
      </c>
      <c r="G2592" t="s">
        <v>374</v>
      </c>
      <c r="H2592" t="s">
        <v>373</v>
      </c>
      <c r="I2592" t="s">
        <v>21</v>
      </c>
    </row>
    <row r="2593" spans="1:9" x14ac:dyDescent="0.25">
      <c r="A2593">
        <v>20131010</v>
      </c>
      <c r="B2593" t="str">
        <f>"112089"</f>
        <v>112089</v>
      </c>
      <c r="C2593" t="str">
        <f>"59695"</f>
        <v>59695</v>
      </c>
      <c r="D2593" t="s">
        <v>371</v>
      </c>
      <c r="E2593">
        <v>100</v>
      </c>
      <c r="F2593">
        <v>20131004</v>
      </c>
      <c r="G2593" t="s">
        <v>375</v>
      </c>
      <c r="H2593" t="s">
        <v>373</v>
      </c>
      <c r="I2593" t="s">
        <v>21</v>
      </c>
    </row>
    <row r="2594" spans="1:9" x14ac:dyDescent="0.25">
      <c r="A2594">
        <v>20131010</v>
      </c>
      <c r="B2594" t="str">
        <f>"112089"</f>
        <v>112089</v>
      </c>
      <c r="C2594" t="str">
        <f>"59695"</f>
        <v>59695</v>
      </c>
      <c r="D2594" t="s">
        <v>371</v>
      </c>
      <c r="E2594">
        <v>620</v>
      </c>
      <c r="F2594">
        <v>20131004</v>
      </c>
      <c r="G2594" t="s">
        <v>376</v>
      </c>
      <c r="H2594" t="s">
        <v>373</v>
      </c>
      <c r="I2594" t="s">
        <v>21</v>
      </c>
    </row>
    <row r="2595" spans="1:9" x14ac:dyDescent="0.25">
      <c r="A2595">
        <v>20131010</v>
      </c>
      <c r="B2595" t="str">
        <f>"112090"</f>
        <v>112090</v>
      </c>
      <c r="C2595" t="str">
        <f>"60705"</f>
        <v>60705</v>
      </c>
      <c r="D2595" t="s">
        <v>1502</v>
      </c>
      <c r="E2595">
        <v>160.85</v>
      </c>
      <c r="F2595">
        <v>20131008</v>
      </c>
      <c r="G2595" t="s">
        <v>140</v>
      </c>
      <c r="H2595" t="s">
        <v>1503</v>
      </c>
      <c r="I2595" t="s">
        <v>25</v>
      </c>
    </row>
    <row r="2596" spans="1:9" x14ac:dyDescent="0.25">
      <c r="A2596">
        <v>20131010</v>
      </c>
      <c r="B2596" t="str">
        <f>"112090"</f>
        <v>112090</v>
      </c>
      <c r="C2596" t="str">
        <f>"60705"</f>
        <v>60705</v>
      </c>
      <c r="D2596" t="s">
        <v>1502</v>
      </c>
      <c r="E2596">
        <v>19.96</v>
      </c>
      <c r="F2596">
        <v>20131008</v>
      </c>
      <c r="G2596" t="s">
        <v>140</v>
      </c>
      <c r="H2596" t="s">
        <v>1503</v>
      </c>
      <c r="I2596" t="s">
        <v>25</v>
      </c>
    </row>
    <row r="2597" spans="1:9" x14ac:dyDescent="0.25">
      <c r="A2597">
        <v>20131010</v>
      </c>
      <c r="B2597" t="str">
        <f>"112091"</f>
        <v>112091</v>
      </c>
      <c r="C2597" t="str">
        <f>"86746"</f>
        <v>86746</v>
      </c>
      <c r="D2597" t="s">
        <v>380</v>
      </c>
      <c r="E2597" s="1">
        <v>1650</v>
      </c>
      <c r="F2597">
        <v>20131004</v>
      </c>
      <c r="G2597" t="s">
        <v>1504</v>
      </c>
      <c r="H2597" t="s">
        <v>1505</v>
      </c>
      <c r="I2597" t="s">
        <v>21</v>
      </c>
    </row>
    <row r="2598" spans="1:9" x14ac:dyDescent="0.25">
      <c r="A2598">
        <v>20131010</v>
      </c>
      <c r="B2598" t="str">
        <f>"112092"</f>
        <v>112092</v>
      </c>
      <c r="C2598" t="str">
        <f>"84214"</f>
        <v>84214</v>
      </c>
      <c r="D2598" t="s">
        <v>431</v>
      </c>
      <c r="E2598">
        <v>36.450000000000003</v>
      </c>
      <c r="F2598">
        <v>20131009</v>
      </c>
      <c r="G2598" t="s">
        <v>410</v>
      </c>
      <c r="H2598" t="s">
        <v>411</v>
      </c>
      <c r="I2598" t="s">
        <v>12</v>
      </c>
    </row>
    <row r="2599" spans="1:9" x14ac:dyDescent="0.25">
      <c r="A2599">
        <v>20131010</v>
      </c>
      <c r="B2599" t="str">
        <f>"112093"</f>
        <v>112093</v>
      </c>
      <c r="C2599" t="str">
        <f>"83617"</f>
        <v>83617</v>
      </c>
      <c r="D2599" t="s">
        <v>1289</v>
      </c>
      <c r="E2599">
        <v>482.03</v>
      </c>
      <c r="F2599">
        <v>20131008</v>
      </c>
      <c r="G2599" t="s">
        <v>1254</v>
      </c>
      <c r="H2599" t="s">
        <v>563</v>
      </c>
      <c r="I2599" t="s">
        <v>79</v>
      </c>
    </row>
    <row r="2600" spans="1:9" x14ac:dyDescent="0.25">
      <c r="A2600">
        <v>20131010</v>
      </c>
      <c r="B2600" t="str">
        <f>"112094"</f>
        <v>112094</v>
      </c>
      <c r="C2600" t="str">
        <f>"87540"</f>
        <v>87540</v>
      </c>
      <c r="D2600" t="s">
        <v>1506</v>
      </c>
      <c r="E2600">
        <v>225</v>
      </c>
      <c r="F2600">
        <v>20131004</v>
      </c>
      <c r="G2600" t="s">
        <v>356</v>
      </c>
      <c r="H2600" t="s">
        <v>357</v>
      </c>
      <c r="I2600" t="s">
        <v>61</v>
      </c>
    </row>
    <row r="2601" spans="1:9" x14ac:dyDescent="0.25">
      <c r="A2601">
        <v>20131010</v>
      </c>
      <c r="B2601" t="str">
        <f>"112095"</f>
        <v>112095</v>
      </c>
      <c r="C2601" t="str">
        <f>"81933"</f>
        <v>81933</v>
      </c>
      <c r="D2601" t="s">
        <v>432</v>
      </c>
      <c r="E2601">
        <v>40.049999999999997</v>
      </c>
      <c r="F2601">
        <v>20131009</v>
      </c>
      <c r="G2601" t="s">
        <v>410</v>
      </c>
      <c r="H2601" t="s">
        <v>411</v>
      </c>
      <c r="I2601" t="s">
        <v>12</v>
      </c>
    </row>
    <row r="2602" spans="1:9" x14ac:dyDescent="0.25">
      <c r="A2602">
        <v>20131010</v>
      </c>
      <c r="B2602" t="str">
        <f>"112096"</f>
        <v>112096</v>
      </c>
      <c r="C2602" t="str">
        <f>"85117"</f>
        <v>85117</v>
      </c>
      <c r="D2602" t="s">
        <v>1507</v>
      </c>
      <c r="E2602" s="1">
        <v>101369</v>
      </c>
      <c r="F2602">
        <v>20131004</v>
      </c>
      <c r="G2602" t="s">
        <v>1467</v>
      </c>
      <c r="H2602" t="s">
        <v>1468</v>
      </c>
      <c r="I2602" t="s">
        <v>21</v>
      </c>
    </row>
    <row r="2603" spans="1:9" x14ac:dyDescent="0.25">
      <c r="A2603">
        <v>20131010</v>
      </c>
      <c r="B2603" t="str">
        <f>"112097"</f>
        <v>112097</v>
      </c>
      <c r="C2603" t="str">
        <f>"84597"</f>
        <v>84597</v>
      </c>
      <c r="D2603" t="s">
        <v>1508</v>
      </c>
      <c r="E2603">
        <v>563.82000000000005</v>
      </c>
      <c r="F2603">
        <v>20131008</v>
      </c>
      <c r="G2603" t="s">
        <v>340</v>
      </c>
      <c r="H2603" t="s">
        <v>656</v>
      </c>
      <c r="I2603" t="s">
        <v>21</v>
      </c>
    </row>
    <row r="2604" spans="1:9" x14ac:dyDescent="0.25">
      <c r="A2604">
        <v>20131010</v>
      </c>
      <c r="B2604" t="str">
        <f>"112098"</f>
        <v>112098</v>
      </c>
      <c r="C2604" t="str">
        <f>"87548"</f>
        <v>87548</v>
      </c>
      <c r="D2604" t="s">
        <v>1509</v>
      </c>
      <c r="E2604">
        <v>98.73</v>
      </c>
      <c r="F2604">
        <v>20131008</v>
      </c>
      <c r="G2604" t="s">
        <v>1003</v>
      </c>
      <c r="H2604" t="s">
        <v>765</v>
      </c>
      <c r="I2604" t="s">
        <v>61</v>
      </c>
    </row>
    <row r="2605" spans="1:9" x14ac:dyDescent="0.25">
      <c r="A2605">
        <v>20131010</v>
      </c>
      <c r="B2605" t="str">
        <f>"112099"</f>
        <v>112099</v>
      </c>
      <c r="C2605" t="str">
        <f>"62200"</f>
        <v>62200</v>
      </c>
      <c r="D2605" t="s">
        <v>1510</v>
      </c>
      <c r="E2605">
        <v>182.32</v>
      </c>
      <c r="F2605">
        <v>20131008</v>
      </c>
      <c r="G2605" t="s">
        <v>496</v>
      </c>
      <c r="H2605" t="s">
        <v>414</v>
      </c>
      <c r="I2605" t="s">
        <v>21</v>
      </c>
    </row>
    <row r="2606" spans="1:9" x14ac:dyDescent="0.25">
      <c r="A2606">
        <v>20131010</v>
      </c>
      <c r="B2606" t="str">
        <f>"112100"</f>
        <v>112100</v>
      </c>
      <c r="C2606" t="str">
        <f>"62450"</f>
        <v>62450</v>
      </c>
      <c r="D2606" t="s">
        <v>683</v>
      </c>
      <c r="E2606">
        <v>979.37</v>
      </c>
      <c r="F2606">
        <v>20131003</v>
      </c>
      <c r="G2606" t="s">
        <v>842</v>
      </c>
      <c r="H2606" t="s">
        <v>1511</v>
      </c>
      <c r="I2606" t="s">
        <v>66</v>
      </c>
    </row>
    <row r="2607" spans="1:9" x14ac:dyDescent="0.25">
      <c r="A2607">
        <v>20131010</v>
      </c>
      <c r="B2607" t="str">
        <f>"112101"</f>
        <v>112101</v>
      </c>
      <c r="C2607" t="str">
        <f>"62900"</f>
        <v>62900</v>
      </c>
      <c r="D2607" t="s">
        <v>1293</v>
      </c>
      <c r="E2607">
        <v>129.94999999999999</v>
      </c>
      <c r="F2607">
        <v>20131004</v>
      </c>
      <c r="G2607" t="s">
        <v>828</v>
      </c>
      <c r="H2607" t="s">
        <v>1512</v>
      </c>
      <c r="I2607" t="s">
        <v>21</v>
      </c>
    </row>
    <row r="2608" spans="1:9" x14ac:dyDescent="0.25">
      <c r="A2608">
        <v>20131010</v>
      </c>
      <c r="B2608" t="str">
        <f>"112101"</f>
        <v>112101</v>
      </c>
      <c r="C2608" t="str">
        <f>"62900"</f>
        <v>62900</v>
      </c>
      <c r="D2608" t="s">
        <v>1293</v>
      </c>
      <c r="E2608">
        <v>90.42</v>
      </c>
      <c r="F2608">
        <v>20131003</v>
      </c>
      <c r="G2608" t="s">
        <v>583</v>
      </c>
      <c r="H2608" t="s">
        <v>1513</v>
      </c>
      <c r="I2608" t="s">
        <v>21</v>
      </c>
    </row>
    <row r="2609" spans="1:9" x14ac:dyDescent="0.25">
      <c r="A2609">
        <v>20131010</v>
      </c>
      <c r="B2609" t="str">
        <f>"112102"</f>
        <v>112102</v>
      </c>
      <c r="C2609" t="str">
        <f>"63875"</f>
        <v>63875</v>
      </c>
      <c r="D2609" t="s">
        <v>1135</v>
      </c>
      <c r="E2609">
        <v>359.99</v>
      </c>
      <c r="F2609">
        <v>20131008</v>
      </c>
      <c r="G2609" t="s">
        <v>331</v>
      </c>
      <c r="H2609" t="s">
        <v>1514</v>
      </c>
      <c r="I2609" t="s">
        <v>12</v>
      </c>
    </row>
    <row r="2610" spans="1:9" x14ac:dyDescent="0.25">
      <c r="A2610">
        <v>20131010</v>
      </c>
      <c r="B2610" t="str">
        <f>"112103"</f>
        <v>112103</v>
      </c>
      <c r="C2610" t="str">
        <f>"83554"</f>
        <v>83554</v>
      </c>
      <c r="D2610" t="s">
        <v>1515</v>
      </c>
      <c r="E2610">
        <v>123</v>
      </c>
      <c r="F2610">
        <v>20131004</v>
      </c>
      <c r="G2610" t="s">
        <v>704</v>
      </c>
      <c r="H2610" t="s">
        <v>1516</v>
      </c>
      <c r="I2610" t="s">
        <v>21</v>
      </c>
    </row>
    <row r="2611" spans="1:9" x14ac:dyDescent="0.25">
      <c r="A2611">
        <v>20131010</v>
      </c>
      <c r="B2611" t="str">
        <f>"112104"</f>
        <v>112104</v>
      </c>
      <c r="C2611" t="str">
        <f>"82243"</f>
        <v>82243</v>
      </c>
      <c r="D2611" t="s">
        <v>1517</v>
      </c>
      <c r="E2611">
        <v>223.08</v>
      </c>
      <c r="F2611">
        <v>20131004</v>
      </c>
      <c r="G2611" t="s">
        <v>392</v>
      </c>
      <c r="H2611" t="s">
        <v>414</v>
      </c>
      <c r="I2611" t="s">
        <v>21</v>
      </c>
    </row>
    <row r="2612" spans="1:9" x14ac:dyDescent="0.25">
      <c r="A2612">
        <v>20131010</v>
      </c>
      <c r="B2612" t="str">
        <f>"112104"</f>
        <v>112104</v>
      </c>
      <c r="C2612" t="str">
        <f>"82243"</f>
        <v>82243</v>
      </c>
      <c r="D2612" t="s">
        <v>1517</v>
      </c>
      <c r="E2612">
        <v>463.17</v>
      </c>
      <c r="F2612">
        <v>20131004</v>
      </c>
      <c r="G2612" t="s">
        <v>392</v>
      </c>
      <c r="H2612" t="s">
        <v>414</v>
      </c>
      <c r="I2612" t="s">
        <v>21</v>
      </c>
    </row>
    <row r="2613" spans="1:9" x14ac:dyDescent="0.25">
      <c r="A2613">
        <v>20131010</v>
      </c>
      <c r="B2613" t="str">
        <f>"112105"</f>
        <v>112105</v>
      </c>
      <c r="C2613" t="str">
        <f>"65430"</f>
        <v>65430</v>
      </c>
      <c r="D2613" t="s">
        <v>1518</v>
      </c>
      <c r="E2613">
        <v>44.62</v>
      </c>
      <c r="F2613">
        <v>20131004</v>
      </c>
      <c r="G2613" t="s">
        <v>413</v>
      </c>
      <c r="H2613" t="s">
        <v>414</v>
      </c>
      <c r="I2613" t="s">
        <v>21</v>
      </c>
    </row>
    <row r="2614" spans="1:9" x14ac:dyDescent="0.25">
      <c r="A2614">
        <v>20131010</v>
      </c>
      <c r="B2614" t="str">
        <f>"112105"</f>
        <v>112105</v>
      </c>
      <c r="C2614" t="str">
        <f>"65430"</f>
        <v>65430</v>
      </c>
      <c r="D2614" t="s">
        <v>1518</v>
      </c>
      <c r="E2614">
        <v>59.9</v>
      </c>
      <c r="F2614">
        <v>20131004</v>
      </c>
      <c r="G2614" t="s">
        <v>413</v>
      </c>
      <c r="H2614" t="s">
        <v>414</v>
      </c>
      <c r="I2614" t="s">
        <v>21</v>
      </c>
    </row>
    <row r="2615" spans="1:9" x14ac:dyDescent="0.25">
      <c r="A2615">
        <v>20131010</v>
      </c>
      <c r="B2615" t="str">
        <f>"112105"</f>
        <v>112105</v>
      </c>
      <c r="C2615" t="str">
        <f>"65430"</f>
        <v>65430</v>
      </c>
      <c r="D2615" t="s">
        <v>1518</v>
      </c>
      <c r="E2615">
        <v>321</v>
      </c>
      <c r="F2615">
        <v>20131004</v>
      </c>
      <c r="G2615" t="s">
        <v>413</v>
      </c>
      <c r="H2615" t="s">
        <v>414</v>
      </c>
      <c r="I2615" t="s">
        <v>21</v>
      </c>
    </row>
    <row r="2616" spans="1:9" x14ac:dyDescent="0.25">
      <c r="A2616">
        <v>20131010</v>
      </c>
      <c r="B2616" t="str">
        <f>"112106"</f>
        <v>112106</v>
      </c>
      <c r="C2616" t="str">
        <f>"87547"</f>
        <v>87547</v>
      </c>
      <c r="D2616" t="s">
        <v>1519</v>
      </c>
      <c r="E2616">
        <v>98.73</v>
      </c>
      <c r="F2616">
        <v>20131008</v>
      </c>
      <c r="G2616" t="s">
        <v>1003</v>
      </c>
      <c r="H2616" t="s">
        <v>765</v>
      </c>
      <c r="I2616" t="s">
        <v>61</v>
      </c>
    </row>
    <row r="2617" spans="1:9" x14ac:dyDescent="0.25">
      <c r="A2617">
        <v>20131010</v>
      </c>
      <c r="B2617" t="str">
        <f>"112107"</f>
        <v>112107</v>
      </c>
      <c r="C2617" t="str">
        <f>"87552"</f>
        <v>87552</v>
      </c>
      <c r="D2617" t="s">
        <v>1520</v>
      </c>
      <c r="E2617">
        <v>55.44</v>
      </c>
      <c r="F2617">
        <v>20131010</v>
      </c>
      <c r="G2617" t="s">
        <v>619</v>
      </c>
      <c r="H2617" t="s">
        <v>365</v>
      </c>
      <c r="I2617" t="s">
        <v>21</v>
      </c>
    </row>
    <row r="2618" spans="1:9" x14ac:dyDescent="0.25">
      <c r="A2618">
        <v>20131010</v>
      </c>
      <c r="B2618" t="str">
        <f>"112108"</f>
        <v>112108</v>
      </c>
      <c r="C2618" t="str">
        <f>"81297"</f>
        <v>81297</v>
      </c>
      <c r="D2618" t="s">
        <v>1521</v>
      </c>
      <c r="E2618">
        <v>110.89</v>
      </c>
      <c r="F2618">
        <v>20131007</v>
      </c>
      <c r="G2618" t="s">
        <v>1522</v>
      </c>
      <c r="H2618" t="s">
        <v>365</v>
      </c>
      <c r="I2618" t="s">
        <v>21</v>
      </c>
    </row>
    <row r="2619" spans="1:9" x14ac:dyDescent="0.25">
      <c r="A2619">
        <v>20131010</v>
      </c>
      <c r="B2619" t="str">
        <f>"112109"</f>
        <v>112109</v>
      </c>
      <c r="C2619" t="str">
        <f>"81480"</f>
        <v>81480</v>
      </c>
      <c r="D2619" t="s">
        <v>1523</v>
      </c>
      <c r="E2619" s="1">
        <v>1626.24</v>
      </c>
      <c r="F2619">
        <v>20131003</v>
      </c>
      <c r="G2619" t="s">
        <v>581</v>
      </c>
      <c r="H2619" t="s">
        <v>1524</v>
      </c>
      <c r="I2619" t="s">
        <v>21</v>
      </c>
    </row>
    <row r="2620" spans="1:9" x14ac:dyDescent="0.25">
      <c r="A2620">
        <v>20131010</v>
      </c>
      <c r="B2620" t="str">
        <f>"112110"</f>
        <v>112110</v>
      </c>
      <c r="C2620" t="str">
        <f>"68960"</f>
        <v>68960</v>
      </c>
      <c r="D2620" t="s">
        <v>689</v>
      </c>
      <c r="E2620">
        <v>147.6</v>
      </c>
      <c r="F2620">
        <v>20131008</v>
      </c>
      <c r="G2620" t="s">
        <v>356</v>
      </c>
      <c r="H2620" t="s">
        <v>357</v>
      </c>
      <c r="I2620" t="s">
        <v>61</v>
      </c>
    </row>
    <row r="2621" spans="1:9" x14ac:dyDescent="0.25">
      <c r="A2621">
        <v>20131010</v>
      </c>
      <c r="B2621" t="str">
        <f>"112111"</f>
        <v>112111</v>
      </c>
      <c r="C2621" t="str">
        <f>"69205"</f>
        <v>69205</v>
      </c>
      <c r="D2621" t="s">
        <v>1525</v>
      </c>
      <c r="E2621" s="1">
        <v>1296.9000000000001</v>
      </c>
      <c r="F2621">
        <v>20131009</v>
      </c>
      <c r="G2621" t="s">
        <v>847</v>
      </c>
      <c r="H2621" t="s">
        <v>1526</v>
      </c>
      <c r="I2621" t="s">
        <v>79</v>
      </c>
    </row>
    <row r="2622" spans="1:9" x14ac:dyDescent="0.25">
      <c r="A2622">
        <v>20131010</v>
      </c>
      <c r="B2622" t="str">
        <f>"112112"</f>
        <v>112112</v>
      </c>
      <c r="C2622" t="str">
        <f>"81886"</f>
        <v>81886</v>
      </c>
      <c r="D2622" t="s">
        <v>1527</v>
      </c>
      <c r="E2622">
        <v>700</v>
      </c>
      <c r="F2622">
        <v>20131004</v>
      </c>
      <c r="G2622" t="s">
        <v>746</v>
      </c>
      <c r="H2622" t="s">
        <v>555</v>
      </c>
      <c r="I2622" t="s">
        <v>21</v>
      </c>
    </row>
    <row r="2623" spans="1:9" x14ac:dyDescent="0.25">
      <c r="A2623">
        <v>20131010</v>
      </c>
      <c r="B2623" t="str">
        <f>"112113"</f>
        <v>112113</v>
      </c>
      <c r="C2623" t="str">
        <f>"87490"</f>
        <v>87490</v>
      </c>
      <c r="D2623" t="s">
        <v>961</v>
      </c>
      <c r="E2623">
        <v>104.92</v>
      </c>
      <c r="F2623">
        <v>20131007</v>
      </c>
      <c r="G2623" t="s">
        <v>774</v>
      </c>
      <c r="H2623" t="s">
        <v>765</v>
      </c>
      <c r="I2623" t="s">
        <v>61</v>
      </c>
    </row>
    <row r="2624" spans="1:9" x14ac:dyDescent="0.25">
      <c r="A2624">
        <v>20131010</v>
      </c>
      <c r="B2624" t="str">
        <f>"112114"</f>
        <v>112114</v>
      </c>
      <c r="C2624" t="str">
        <f>"80951"</f>
        <v>80951</v>
      </c>
      <c r="D2624" t="s">
        <v>1528</v>
      </c>
      <c r="E2624" s="1">
        <v>3597.64</v>
      </c>
      <c r="F2624">
        <v>20131003</v>
      </c>
      <c r="G2624" t="s">
        <v>48</v>
      </c>
      <c r="H2624" t="s">
        <v>414</v>
      </c>
      <c r="I2624" t="s">
        <v>25</v>
      </c>
    </row>
    <row r="2625" spans="1:9" x14ac:dyDescent="0.25">
      <c r="A2625">
        <v>20131010</v>
      </c>
      <c r="B2625" t="str">
        <f>"112115"</f>
        <v>112115</v>
      </c>
      <c r="C2625" t="str">
        <f>"69940"</f>
        <v>69940</v>
      </c>
      <c r="D2625" t="s">
        <v>1156</v>
      </c>
      <c r="E2625">
        <v>142.88</v>
      </c>
      <c r="F2625">
        <v>20131003</v>
      </c>
      <c r="G2625" t="s">
        <v>583</v>
      </c>
      <c r="H2625" t="s">
        <v>1529</v>
      </c>
      <c r="I2625" t="s">
        <v>21</v>
      </c>
    </row>
    <row r="2626" spans="1:9" x14ac:dyDescent="0.25">
      <c r="A2626">
        <v>20131010</v>
      </c>
      <c r="B2626" t="str">
        <f>"112116"</f>
        <v>112116</v>
      </c>
      <c r="C2626" t="str">
        <f>"87551"</f>
        <v>87551</v>
      </c>
      <c r="D2626" t="s">
        <v>1530</v>
      </c>
      <c r="E2626">
        <v>35.72</v>
      </c>
      <c r="F2626">
        <v>20131010</v>
      </c>
      <c r="G2626" t="s">
        <v>150</v>
      </c>
      <c r="H2626" t="s">
        <v>1531</v>
      </c>
      <c r="I2626" t="s">
        <v>25</v>
      </c>
    </row>
    <row r="2627" spans="1:9" x14ac:dyDescent="0.25">
      <c r="A2627">
        <v>20131010</v>
      </c>
      <c r="B2627" t="str">
        <f>"112117"</f>
        <v>112117</v>
      </c>
      <c r="C2627" t="str">
        <f>"87550"</f>
        <v>87550</v>
      </c>
      <c r="D2627" t="s">
        <v>1532</v>
      </c>
      <c r="E2627">
        <v>300</v>
      </c>
      <c r="F2627">
        <v>20131008</v>
      </c>
      <c r="G2627" t="s">
        <v>1533</v>
      </c>
      <c r="H2627" t="s">
        <v>1534</v>
      </c>
      <c r="I2627" t="s">
        <v>21</v>
      </c>
    </row>
    <row r="2628" spans="1:9" x14ac:dyDescent="0.25">
      <c r="A2628">
        <v>20131010</v>
      </c>
      <c r="B2628" t="str">
        <f>"112118"</f>
        <v>112118</v>
      </c>
      <c r="C2628" t="str">
        <f>"86085"</f>
        <v>86085</v>
      </c>
      <c r="D2628" t="s">
        <v>703</v>
      </c>
      <c r="E2628">
        <v>76</v>
      </c>
      <c r="F2628">
        <v>20131009</v>
      </c>
      <c r="G2628" t="s">
        <v>704</v>
      </c>
      <c r="H2628" t="s">
        <v>1535</v>
      </c>
      <c r="I2628" t="s">
        <v>21</v>
      </c>
    </row>
    <row r="2629" spans="1:9" x14ac:dyDescent="0.25">
      <c r="A2629">
        <v>20131010</v>
      </c>
      <c r="B2629" t="str">
        <f>"112119"</f>
        <v>112119</v>
      </c>
      <c r="C2629" t="str">
        <f>"82502"</f>
        <v>82502</v>
      </c>
      <c r="D2629" t="s">
        <v>706</v>
      </c>
      <c r="E2629">
        <v>207</v>
      </c>
      <c r="F2629">
        <v>20131004</v>
      </c>
      <c r="G2629" t="s">
        <v>340</v>
      </c>
      <c r="H2629" t="s">
        <v>1536</v>
      </c>
      <c r="I2629" t="s">
        <v>21</v>
      </c>
    </row>
    <row r="2630" spans="1:9" x14ac:dyDescent="0.25">
      <c r="A2630">
        <v>20131010</v>
      </c>
      <c r="B2630" t="str">
        <f>"112119"</f>
        <v>112119</v>
      </c>
      <c r="C2630" t="str">
        <f>"82502"</f>
        <v>82502</v>
      </c>
      <c r="D2630" t="s">
        <v>706</v>
      </c>
      <c r="E2630">
        <v>40</v>
      </c>
      <c r="F2630">
        <v>20131004</v>
      </c>
      <c r="G2630" t="s">
        <v>340</v>
      </c>
      <c r="H2630" t="s">
        <v>1537</v>
      </c>
      <c r="I2630" t="s">
        <v>21</v>
      </c>
    </row>
    <row r="2631" spans="1:9" x14ac:dyDescent="0.25">
      <c r="A2631">
        <v>20131010</v>
      </c>
      <c r="B2631" t="str">
        <f>"112119"</f>
        <v>112119</v>
      </c>
      <c r="C2631" t="str">
        <f>"82502"</f>
        <v>82502</v>
      </c>
      <c r="D2631" t="s">
        <v>706</v>
      </c>
      <c r="E2631">
        <v>46</v>
      </c>
      <c r="F2631">
        <v>20131007</v>
      </c>
      <c r="G2631" t="s">
        <v>413</v>
      </c>
      <c r="H2631" t="s">
        <v>1538</v>
      </c>
      <c r="I2631" t="s">
        <v>21</v>
      </c>
    </row>
    <row r="2632" spans="1:9" x14ac:dyDescent="0.25">
      <c r="A2632">
        <v>20131010</v>
      </c>
      <c r="B2632" t="str">
        <f t="shared" ref="B2632:B2643" si="199">"112120"</f>
        <v>112120</v>
      </c>
      <c r="C2632" t="str">
        <f t="shared" ref="C2632:C2643" si="200">"85763"</f>
        <v>85763</v>
      </c>
      <c r="D2632" t="s">
        <v>710</v>
      </c>
      <c r="E2632">
        <v>730</v>
      </c>
      <c r="F2632">
        <v>20131007</v>
      </c>
      <c r="G2632" t="s">
        <v>746</v>
      </c>
      <c r="H2632" t="s">
        <v>555</v>
      </c>
      <c r="I2632" t="s">
        <v>21</v>
      </c>
    </row>
    <row r="2633" spans="1:9" x14ac:dyDescent="0.25">
      <c r="A2633">
        <v>20131010</v>
      </c>
      <c r="B2633" t="str">
        <f t="shared" si="199"/>
        <v>112120</v>
      </c>
      <c r="C2633" t="str">
        <f t="shared" si="200"/>
        <v>85763</v>
      </c>
      <c r="D2633" t="s">
        <v>710</v>
      </c>
      <c r="E2633">
        <v>510</v>
      </c>
      <c r="F2633">
        <v>20131007</v>
      </c>
      <c r="G2633" t="s">
        <v>746</v>
      </c>
      <c r="H2633" t="s">
        <v>555</v>
      </c>
      <c r="I2633" t="s">
        <v>21</v>
      </c>
    </row>
    <row r="2634" spans="1:9" x14ac:dyDescent="0.25">
      <c r="A2634">
        <v>20131010</v>
      </c>
      <c r="B2634" t="str">
        <f t="shared" si="199"/>
        <v>112120</v>
      </c>
      <c r="C2634" t="str">
        <f t="shared" si="200"/>
        <v>85763</v>
      </c>
      <c r="D2634" t="s">
        <v>710</v>
      </c>
      <c r="E2634">
        <v>510</v>
      </c>
      <c r="F2634">
        <v>20131007</v>
      </c>
      <c r="G2634" t="s">
        <v>746</v>
      </c>
      <c r="H2634" t="s">
        <v>555</v>
      </c>
      <c r="I2634" t="s">
        <v>21</v>
      </c>
    </row>
    <row r="2635" spans="1:9" x14ac:dyDescent="0.25">
      <c r="A2635">
        <v>20131010</v>
      </c>
      <c r="B2635" t="str">
        <f t="shared" si="199"/>
        <v>112120</v>
      </c>
      <c r="C2635" t="str">
        <f t="shared" si="200"/>
        <v>85763</v>
      </c>
      <c r="D2635" t="s">
        <v>710</v>
      </c>
      <c r="E2635">
        <v>300</v>
      </c>
      <c r="F2635">
        <v>20131007</v>
      </c>
      <c r="G2635" t="s">
        <v>746</v>
      </c>
      <c r="H2635" t="s">
        <v>555</v>
      </c>
      <c r="I2635" t="s">
        <v>21</v>
      </c>
    </row>
    <row r="2636" spans="1:9" x14ac:dyDescent="0.25">
      <c r="A2636">
        <v>20131010</v>
      </c>
      <c r="B2636" t="str">
        <f t="shared" si="199"/>
        <v>112120</v>
      </c>
      <c r="C2636" t="str">
        <f t="shared" si="200"/>
        <v>85763</v>
      </c>
      <c r="D2636" t="s">
        <v>710</v>
      </c>
      <c r="E2636">
        <v>300</v>
      </c>
      <c r="F2636">
        <v>20131007</v>
      </c>
      <c r="G2636" t="s">
        <v>746</v>
      </c>
      <c r="H2636" t="s">
        <v>555</v>
      </c>
      <c r="I2636" t="s">
        <v>21</v>
      </c>
    </row>
    <row r="2637" spans="1:9" x14ac:dyDescent="0.25">
      <c r="A2637">
        <v>20131010</v>
      </c>
      <c r="B2637" t="str">
        <f t="shared" si="199"/>
        <v>112120</v>
      </c>
      <c r="C2637" t="str">
        <f t="shared" si="200"/>
        <v>85763</v>
      </c>
      <c r="D2637" t="s">
        <v>710</v>
      </c>
      <c r="E2637">
        <v>400</v>
      </c>
      <c r="F2637">
        <v>20131007</v>
      </c>
      <c r="G2637" t="s">
        <v>746</v>
      </c>
      <c r="H2637" t="s">
        <v>555</v>
      </c>
      <c r="I2637" t="s">
        <v>21</v>
      </c>
    </row>
    <row r="2638" spans="1:9" x14ac:dyDescent="0.25">
      <c r="A2638">
        <v>20131010</v>
      </c>
      <c r="B2638" t="str">
        <f t="shared" si="199"/>
        <v>112120</v>
      </c>
      <c r="C2638" t="str">
        <f t="shared" si="200"/>
        <v>85763</v>
      </c>
      <c r="D2638" t="s">
        <v>710</v>
      </c>
      <c r="E2638">
        <v>600</v>
      </c>
      <c r="F2638">
        <v>20131007</v>
      </c>
      <c r="G2638" t="s">
        <v>746</v>
      </c>
      <c r="H2638" t="s">
        <v>555</v>
      </c>
      <c r="I2638" t="s">
        <v>21</v>
      </c>
    </row>
    <row r="2639" spans="1:9" x14ac:dyDescent="0.25">
      <c r="A2639">
        <v>20131010</v>
      </c>
      <c r="B2639" t="str">
        <f t="shared" si="199"/>
        <v>112120</v>
      </c>
      <c r="C2639" t="str">
        <f t="shared" si="200"/>
        <v>85763</v>
      </c>
      <c r="D2639" t="s">
        <v>710</v>
      </c>
      <c r="E2639">
        <v>600</v>
      </c>
      <c r="F2639">
        <v>20131007</v>
      </c>
      <c r="G2639" t="s">
        <v>746</v>
      </c>
      <c r="H2639" t="s">
        <v>555</v>
      </c>
      <c r="I2639" t="s">
        <v>21</v>
      </c>
    </row>
    <row r="2640" spans="1:9" x14ac:dyDescent="0.25">
      <c r="A2640">
        <v>20131010</v>
      </c>
      <c r="B2640" t="str">
        <f t="shared" si="199"/>
        <v>112120</v>
      </c>
      <c r="C2640" t="str">
        <f t="shared" si="200"/>
        <v>85763</v>
      </c>
      <c r="D2640" t="s">
        <v>710</v>
      </c>
      <c r="E2640">
        <v>880</v>
      </c>
      <c r="F2640">
        <v>20131007</v>
      </c>
      <c r="G2640" t="s">
        <v>746</v>
      </c>
      <c r="H2640" t="s">
        <v>555</v>
      </c>
      <c r="I2640" t="s">
        <v>21</v>
      </c>
    </row>
    <row r="2641" spans="1:9" x14ac:dyDescent="0.25">
      <c r="A2641">
        <v>20131010</v>
      </c>
      <c r="B2641" t="str">
        <f t="shared" si="199"/>
        <v>112120</v>
      </c>
      <c r="C2641" t="str">
        <f t="shared" si="200"/>
        <v>85763</v>
      </c>
      <c r="D2641" t="s">
        <v>710</v>
      </c>
      <c r="E2641">
        <v>840</v>
      </c>
      <c r="F2641">
        <v>20131007</v>
      </c>
      <c r="G2641" t="s">
        <v>746</v>
      </c>
      <c r="H2641" t="s">
        <v>555</v>
      </c>
      <c r="I2641" t="s">
        <v>21</v>
      </c>
    </row>
    <row r="2642" spans="1:9" x14ac:dyDescent="0.25">
      <c r="A2642">
        <v>20131010</v>
      </c>
      <c r="B2642" t="str">
        <f t="shared" si="199"/>
        <v>112120</v>
      </c>
      <c r="C2642" t="str">
        <f t="shared" si="200"/>
        <v>85763</v>
      </c>
      <c r="D2642" t="s">
        <v>710</v>
      </c>
      <c r="E2642">
        <v>630</v>
      </c>
      <c r="F2642">
        <v>20131007</v>
      </c>
      <c r="G2642" t="s">
        <v>746</v>
      </c>
      <c r="H2642" t="s">
        <v>555</v>
      </c>
      <c r="I2642" t="s">
        <v>21</v>
      </c>
    </row>
    <row r="2643" spans="1:9" x14ac:dyDescent="0.25">
      <c r="A2643">
        <v>20131010</v>
      </c>
      <c r="B2643" t="str">
        <f t="shared" si="199"/>
        <v>112120</v>
      </c>
      <c r="C2643" t="str">
        <f t="shared" si="200"/>
        <v>85763</v>
      </c>
      <c r="D2643" t="s">
        <v>710</v>
      </c>
      <c r="E2643">
        <v>630</v>
      </c>
      <c r="F2643">
        <v>20131007</v>
      </c>
      <c r="G2643" t="s">
        <v>746</v>
      </c>
      <c r="H2643" t="s">
        <v>555</v>
      </c>
      <c r="I2643" t="s">
        <v>21</v>
      </c>
    </row>
    <row r="2644" spans="1:9" x14ac:dyDescent="0.25">
      <c r="A2644">
        <v>20131010</v>
      </c>
      <c r="B2644" t="str">
        <f>"112121"</f>
        <v>112121</v>
      </c>
      <c r="C2644" t="str">
        <f>"83933"</f>
        <v>83933</v>
      </c>
      <c r="D2644" t="s">
        <v>1539</v>
      </c>
      <c r="E2644" s="1">
        <v>2277</v>
      </c>
      <c r="F2644">
        <v>20131009</v>
      </c>
      <c r="G2644" t="s">
        <v>404</v>
      </c>
      <c r="H2644" t="s">
        <v>1540</v>
      </c>
      <c r="I2644" t="s">
        <v>12</v>
      </c>
    </row>
    <row r="2645" spans="1:9" x14ac:dyDescent="0.25">
      <c r="A2645">
        <v>20131010</v>
      </c>
      <c r="B2645" t="str">
        <f>"112122"</f>
        <v>112122</v>
      </c>
      <c r="C2645" t="str">
        <f>"75600"</f>
        <v>75600</v>
      </c>
      <c r="D2645" t="s">
        <v>714</v>
      </c>
      <c r="E2645">
        <v>130.97999999999999</v>
      </c>
      <c r="F2645">
        <v>20131008</v>
      </c>
      <c r="G2645" t="s">
        <v>498</v>
      </c>
      <c r="H2645" t="s">
        <v>499</v>
      </c>
      <c r="I2645" t="s">
        <v>21</v>
      </c>
    </row>
    <row r="2646" spans="1:9" x14ac:dyDescent="0.25">
      <c r="A2646">
        <v>20131010</v>
      </c>
      <c r="B2646" t="str">
        <f>"112122"</f>
        <v>112122</v>
      </c>
      <c r="C2646" t="str">
        <f>"75600"</f>
        <v>75600</v>
      </c>
      <c r="D2646" t="s">
        <v>714</v>
      </c>
      <c r="E2646">
        <v>41.4</v>
      </c>
      <c r="F2646">
        <v>20131008</v>
      </c>
      <c r="G2646" t="s">
        <v>496</v>
      </c>
      <c r="H2646" t="s">
        <v>414</v>
      </c>
      <c r="I2646" t="s">
        <v>21</v>
      </c>
    </row>
    <row r="2647" spans="1:9" x14ac:dyDescent="0.25">
      <c r="A2647">
        <v>20131010</v>
      </c>
      <c r="B2647" t="str">
        <f>"112123"</f>
        <v>112123</v>
      </c>
      <c r="C2647" t="str">
        <f>"75581"</f>
        <v>75581</v>
      </c>
      <c r="D2647" t="s">
        <v>391</v>
      </c>
      <c r="E2647" s="1">
        <v>1020.6</v>
      </c>
      <c r="F2647">
        <v>20131009</v>
      </c>
      <c r="G2647" t="s">
        <v>482</v>
      </c>
      <c r="H2647" t="s">
        <v>393</v>
      </c>
      <c r="I2647" t="s">
        <v>21</v>
      </c>
    </row>
    <row r="2648" spans="1:9" x14ac:dyDescent="0.25">
      <c r="A2648">
        <v>20131010</v>
      </c>
      <c r="B2648" t="str">
        <f t="shared" ref="B2648:B2661" si="201">"112124"</f>
        <v>112124</v>
      </c>
      <c r="C2648" t="str">
        <f t="shared" ref="C2648:C2661" si="202">"69310"</f>
        <v>69310</v>
      </c>
      <c r="D2648" t="s">
        <v>716</v>
      </c>
      <c r="E2648" s="1">
        <v>5083.9799999999996</v>
      </c>
      <c r="F2648">
        <v>20131008</v>
      </c>
      <c r="G2648" t="s">
        <v>717</v>
      </c>
      <c r="H2648" t="s">
        <v>488</v>
      </c>
      <c r="I2648" t="s">
        <v>21</v>
      </c>
    </row>
    <row r="2649" spans="1:9" x14ac:dyDescent="0.25">
      <c r="A2649">
        <v>20131010</v>
      </c>
      <c r="B2649" t="str">
        <f t="shared" si="201"/>
        <v>112124</v>
      </c>
      <c r="C2649" t="str">
        <f t="shared" si="202"/>
        <v>69310</v>
      </c>
      <c r="D2649" t="s">
        <v>716</v>
      </c>
      <c r="E2649" s="1">
        <v>51404.73</v>
      </c>
      <c r="F2649">
        <v>20131008</v>
      </c>
      <c r="G2649" t="s">
        <v>718</v>
      </c>
      <c r="H2649" t="s">
        <v>488</v>
      </c>
      <c r="I2649" t="s">
        <v>21</v>
      </c>
    </row>
    <row r="2650" spans="1:9" x14ac:dyDescent="0.25">
      <c r="A2650">
        <v>20131010</v>
      </c>
      <c r="B2650" t="str">
        <f t="shared" si="201"/>
        <v>112124</v>
      </c>
      <c r="C2650" t="str">
        <f t="shared" si="202"/>
        <v>69310</v>
      </c>
      <c r="D2650" t="s">
        <v>716</v>
      </c>
      <c r="E2650" s="1">
        <v>24027.95</v>
      </c>
      <c r="F2650">
        <v>20131008</v>
      </c>
      <c r="G2650" t="s">
        <v>719</v>
      </c>
      <c r="H2650" t="s">
        <v>488</v>
      </c>
      <c r="I2650" t="s">
        <v>21</v>
      </c>
    </row>
    <row r="2651" spans="1:9" x14ac:dyDescent="0.25">
      <c r="A2651">
        <v>20131010</v>
      </c>
      <c r="B2651" t="str">
        <f t="shared" si="201"/>
        <v>112124</v>
      </c>
      <c r="C2651" t="str">
        <f t="shared" si="202"/>
        <v>69310</v>
      </c>
      <c r="D2651" t="s">
        <v>716</v>
      </c>
      <c r="E2651" s="1">
        <v>11713</v>
      </c>
      <c r="F2651">
        <v>20131008</v>
      </c>
      <c r="G2651" t="s">
        <v>720</v>
      </c>
      <c r="H2651" t="s">
        <v>488</v>
      </c>
      <c r="I2651" t="s">
        <v>21</v>
      </c>
    </row>
    <row r="2652" spans="1:9" x14ac:dyDescent="0.25">
      <c r="A2652">
        <v>20131010</v>
      </c>
      <c r="B2652" t="str">
        <f t="shared" si="201"/>
        <v>112124</v>
      </c>
      <c r="C2652" t="str">
        <f t="shared" si="202"/>
        <v>69310</v>
      </c>
      <c r="D2652" t="s">
        <v>716</v>
      </c>
      <c r="E2652" s="1">
        <v>15232.41</v>
      </c>
      <c r="F2652">
        <v>20131008</v>
      </c>
      <c r="G2652" t="s">
        <v>721</v>
      </c>
      <c r="H2652" t="s">
        <v>488</v>
      </c>
      <c r="I2652" t="s">
        <v>21</v>
      </c>
    </row>
    <row r="2653" spans="1:9" x14ac:dyDescent="0.25">
      <c r="A2653">
        <v>20131010</v>
      </c>
      <c r="B2653" t="str">
        <f t="shared" si="201"/>
        <v>112124</v>
      </c>
      <c r="C2653" t="str">
        <f t="shared" si="202"/>
        <v>69310</v>
      </c>
      <c r="D2653" t="s">
        <v>716</v>
      </c>
      <c r="E2653" s="1">
        <v>11224.44</v>
      </c>
      <c r="F2653">
        <v>20131008</v>
      </c>
      <c r="G2653" t="s">
        <v>722</v>
      </c>
      <c r="H2653" t="s">
        <v>488</v>
      </c>
      <c r="I2653" t="s">
        <v>21</v>
      </c>
    </row>
    <row r="2654" spans="1:9" x14ac:dyDescent="0.25">
      <c r="A2654">
        <v>20131010</v>
      </c>
      <c r="B2654" t="str">
        <f t="shared" si="201"/>
        <v>112124</v>
      </c>
      <c r="C2654" t="str">
        <f t="shared" si="202"/>
        <v>69310</v>
      </c>
      <c r="D2654" t="s">
        <v>716</v>
      </c>
      <c r="E2654" s="1">
        <v>12623.71</v>
      </c>
      <c r="F2654">
        <v>20131008</v>
      </c>
      <c r="G2654" t="s">
        <v>723</v>
      </c>
      <c r="H2654" t="s">
        <v>488</v>
      </c>
      <c r="I2654" t="s">
        <v>21</v>
      </c>
    </row>
    <row r="2655" spans="1:9" x14ac:dyDescent="0.25">
      <c r="A2655">
        <v>20131010</v>
      </c>
      <c r="B2655" t="str">
        <f t="shared" si="201"/>
        <v>112124</v>
      </c>
      <c r="C2655" t="str">
        <f t="shared" si="202"/>
        <v>69310</v>
      </c>
      <c r="D2655" t="s">
        <v>716</v>
      </c>
      <c r="E2655" s="1">
        <v>7559.92</v>
      </c>
      <c r="F2655">
        <v>20131008</v>
      </c>
      <c r="G2655" t="s">
        <v>724</v>
      </c>
      <c r="H2655" t="s">
        <v>488</v>
      </c>
      <c r="I2655" t="s">
        <v>21</v>
      </c>
    </row>
    <row r="2656" spans="1:9" x14ac:dyDescent="0.25">
      <c r="A2656">
        <v>20131010</v>
      </c>
      <c r="B2656" t="str">
        <f t="shared" si="201"/>
        <v>112124</v>
      </c>
      <c r="C2656" t="str">
        <f t="shared" si="202"/>
        <v>69310</v>
      </c>
      <c r="D2656" t="s">
        <v>716</v>
      </c>
      <c r="E2656" s="1">
        <v>10724.78</v>
      </c>
      <c r="F2656">
        <v>20131008</v>
      </c>
      <c r="G2656" t="s">
        <v>725</v>
      </c>
      <c r="H2656" t="s">
        <v>488</v>
      </c>
      <c r="I2656" t="s">
        <v>21</v>
      </c>
    </row>
    <row r="2657" spans="1:9" x14ac:dyDescent="0.25">
      <c r="A2657">
        <v>20131010</v>
      </c>
      <c r="B2657" t="str">
        <f t="shared" si="201"/>
        <v>112124</v>
      </c>
      <c r="C2657" t="str">
        <f t="shared" si="202"/>
        <v>69310</v>
      </c>
      <c r="D2657" t="s">
        <v>716</v>
      </c>
      <c r="E2657" s="1">
        <v>3537.56</v>
      </c>
      <c r="F2657">
        <v>20131008</v>
      </c>
      <c r="G2657" t="s">
        <v>726</v>
      </c>
      <c r="H2657" t="s">
        <v>488</v>
      </c>
      <c r="I2657" t="s">
        <v>21</v>
      </c>
    </row>
    <row r="2658" spans="1:9" x14ac:dyDescent="0.25">
      <c r="A2658">
        <v>20131010</v>
      </c>
      <c r="B2658" t="str">
        <f t="shared" si="201"/>
        <v>112124</v>
      </c>
      <c r="C2658" t="str">
        <f t="shared" si="202"/>
        <v>69310</v>
      </c>
      <c r="D2658" t="s">
        <v>716</v>
      </c>
      <c r="E2658" s="1">
        <v>4155.2299999999996</v>
      </c>
      <c r="F2658">
        <v>20131008</v>
      </c>
      <c r="G2658" t="s">
        <v>727</v>
      </c>
      <c r="H2658" t="s">
        <v>488</v>
      </c>
      <c r="I2658" t="s">
        <v>21</v>
      </c>
    </row>
    <row r="2659" spans="1:9" x14ac:dyDescent="0.25">
      <c r="A2659">
        <v>20131010</v>
      </c>
      <c r="B2659" t="str">
        <f t="shared" si="201"/>
        <v>112124</v>
      </c>
      <c r="C2659" t="str">
        <f t="shared" si="202"/>
        <v>69310</v>
      </c>
      <c r="D2659" t="s">
        <v>716</v>
      </c>
      <c r="E2659" s="1">
        <v>3634.14</v>
      </c>
      <c r="F2659">
        <v>20131008</v>
      </c>
      <c r="G2659" t="s">
        <v>728</v>
      </c>
      <c r="H2659" t="s">
        <v>488</v>
      </c>
      <c r="I2659" t="s">
        <v>21</v>
      </c>
    </row>
    <row r="2660" spans="1:9" x14ac:dyDescent="0.25">
      <c r="A2660">
        <v>20131010</v>
      </c>
      <c r="B2660" t="str">
        <f t="shared" si="201"/>
        <v>112124</v>
      </c>
      <c r="C2660" t="str">
        <f t="shared" si="202"/>
        <v>69310</v>
      </c>
      <c r="D2660" t="s">
        <v>716</v>
      </c>
      <c r="E2660" s="1">
        <v>1191.1400000000001</v>
      </c>
      <c r="F2660">
        <v>20131008</v>
      </c>
      <c r="G2660" t="s">
        <v>729</v>
      </c>
      <c r="H2660" t="s">
        <v>488</v>
      </c>
      <c r="I2660" t="s">
        <v>21</v>
      </c>
    </row>
    <row r="2661" spans="1:9" x14ac:dyDescent="0.25">
      <c r="A2661">
        <v>20131010</v>
      </c>
      <c r="B2661" t="str">
        <f t="shared" si="201"/>
        <v>112124</v>
      </c>
      <c r="C2661" t="str">
        <f t="shared" si="202"/>
        <v>69310</v>
      </c>
      <c r="D2661" t="s">
        <v>716</v>
      </c>
      <c r="E2661">
        <v>298.87</v>
      </c>
      <c r="F2661">
        <v>20131008</v>
      </c>
      <c r="G2661" t="s">
        <v>467</v>
      </c>
      <c r="H2661" t="s">
        <v>488</v>
      </c>
      <c r="I2661" t="s">
        <v>21</v>
      </c>
    </row>
    <row r="2662" spans="1:9" x14ac:dyDescent="0.25">
      <c r="A2662">
        <v>20131010</v>
      </c>
      <c r="B2662" t="str">
        <f>"112125"</f>
        <v>112125</v>
      </c>
      <c r="C2662" t="str">
        <f>"76301"</f>
        <v>76301</v>
      </c>
      <c r="D2662" t="s">
        <v>1319</v>
      </c>
      <c r="E2662">
        <v>46</v>
      </c>
      <c r="F2662">
        <v>20131010</v>
      </c>
      <c r="G2662" t="s">
        <v>1024</v>
      </c>
      <c r="H2662" t="s">
        <v>1320</v>
      </c>
      <c r="I2662" t="s">
        <v>21</v>
      </c>
    </row>
    <row r="2663" spans="1:9" x14ac:dyDescent="0.25">
      <c r="A2663">
        <v>20131010</v>
      </c>
      <c r="B2663" t="str">
        <f>"112126"</f>
        <v>112126</v>
      </c>
      <c r="C2663" t="str">
        <f>"87189"</f>
        <v>87189</v>
      </c>
      <c r="D2663" t="s">
        <v>730</v>
      </c>
      <c r="E2663">
        <v>894.01</v>
      </c>
      <c r="F2663">
        <v>20131004</v>
      </c>
      <c r="G2663" t="s">
        <v>482</v>
      </c>
      <c r="H2663" t="s">
        <v>414</v>
      </c>
      <c r="I2663" t="s">
        <v>21</v>
      </c>
    </row>
    <row r="2664" spans="1:9" x14ac:dyDescent="0.25">
      <c r="A2664">
        <v>20131010</v>
      </c>
      <c r="B2664" t="str">
        <f>"112126"</f>
        <v>112126</v>
      </c>
      <c r="C2664" t="str">
        <f>"87189"</f>
        <v>87189</v>
      </c>
      <c r="D2664" t="s">
        <v>730</v>
      </c>
      <c r="E2664">
        <v>325.81</v>
      </c>
      <c r="F2664">
        <v>20131004</v>
      </c>
      <c r="G2664" t="s">
        <v>482</v>
      </c>
      <c r="H2664" t="s">
        <v>414</v>
      </c>
      <c r="I2664" t="s">
        <v>21</v>
      </c>
    </row>
    <row r="2665" spans="1:9" x14ac:dyDescent="0.25">
      <c r="A2665">
        <v>20131010</v>
      </c>
      <c r="B2665" t="str">
        <f>"112126"</f>
        <v>112126</v>
      </c>
      <c r="C2665" t="str">
        <f>"87189"</f>
        <v>87189</v>
      </c>
      <c r="D2665" t="s">
        <v>730</v>
      </c>
      <c r="E2665">
        <v>663.81</v>
      </c>
      <c r="F2665">
        <v>20131004</v>
      </c>
      <c r="G2665" t="s">
        <v>415</v>
      </c>
      <c r="H2665" t="s">
        <v>414</v>
      </c>
      <c r="I2665" t="s">
        <v>21</v>
      </c>
    </row>
    <row r="2666" spans="1:9" x14ac:dyDescent="0.25">
      <c r="A2666">
        <v>20131010</v>
      </c>
      <c r="B2666" t="str">
        <f>"112126"</f>
        <v>112126</v>
      </c>
      <c r="C2666" t="str">
        <f>"87189"</f>
        <v>87189</v>
      </c>
      <c r="D2666" t="s">
        <v>730</v>
      </c>
      <c r="E2666">
        <v>318.01</v>
      </c>
      <c r="F2666">
        <v>20131004</v>
      </c>
      <c r="G2666" t="s">
        <v>392</v>
      </c>
      <c r="H2666" t="s">
        <v>414</v>
      </c>
      <c r="I2666" t="s">
        <v>21</v>
      </c>
    </row>
    <row r="2667" spans="1:9" x14ac:dyDescent="0.25">
      <c r="A2667">
        <v>20131010</v>
      </c>
      <c r="B2667" t="str">
        <f>"112126"</f>
        <v>112126</v>
      </c>
      <c r="C2667" t="str">
        <f>"87189"</f>
        <v>87189</v>
      </c>
      <c r="D2667" t="s">
        <v>730</v>
      </c>
      <c r="E2667">
        <v>824.6</v>
      </c>
      <c r="F2667">
        <v>20131008</v>
      </c>
      <c r="G2667" t="s">
        <v>331</v>
      </c>
      <c r="H2667" t="s">
        <v>414</v>
      </c>
      <c r="I2667" t="s">
        <v>12</v>
      </c>
    </row>
    <row r="2668" spans="1:9" x14ac:dyDescent="0.25">
      <c r="A2668">
        <v>20131010</v>
      </c>
      <c r="B2668" t="str">
        <f>"112127"</f>
        <v>112127</v>
      </c>
      <c r="C2668" t="str">
        <f>"00565"</f>
        <v>00565</v>
      </c>
      <c r="D2668" t="s">
        <v>1541</v>
      </c>
      <c r="E2668">
        <v>121.29</v>
      </c>
      <c r="F2668">
        <v>20131009</v>
      </c>
      <c r="G2668" t="s">
        <v>1079</v>
      </c>
      <c r="H2668" t="s">
        <v>1542</v>
      </c>
      <c r="I2668" t="s">
        <v>21</v>
      </c>
    </row>
    <row r="2669" spans="1:9" x14ac:dyDescent="0.25">
      <c r="A2669">
        <v>20131010</v>
      </c>
      <c r="B2669" t="str">
        <f>"112128"</f>
        <v>112128</v>
      </c>
      <c r="C2669" t="str">
        <f>"81358"</f>
        <v>81358</v>
      </c>
      <c r="D2669" t="s">
        <v>736</v>
      </c>
      <c r="E2669" s="1">
        <v>1774.06</v>
      </c>
      <c r="F2669">
        <v>20131008</v>
      </c>
      <c r="G2669" t="s">
        <v>1543</v>
      </c>
      <c r="H2669" t="s">
        <v>738</v>
      </c>
      <c r="I2669" t="s">
        <v>21</v>
      </c>
    </row>
    <row r="2670" spans="1:9" x14ac:dyDescent="0.25">
      <c r="A2670">
        <v>20131010</v>
      </c>
      <c r="B2670" t="str">
        <f>"112128"</f>
        <v>112128</v>
      </c>
      <c r="C2670" t="str">
        <f>"81358"</f>
        <v>81358</v>
      </c>
      <c r="D2670" t="s">
        <v>736</v>
      </c>
      <c r="E2670" s="1">
        <v>4185.45</v>
      </c>
      <c r="F2670">
        <v>20131008</v>
      </c>
      <c r="G2670" t="s">
        <v>737</v>
      </c>
      <c r="H2670" t="s">
        <v>738</v>
      </c>
      <c r="I2670" t="s">
        <v>21</v>
      </c>
    </row>
    <row r="2671" spans="1:9" x14ac:dyDescent="0.25">
      <c r="A2671">
        <v>20131010</v>
      </c>
      <c r="B2671" t="str">
        <f>"112129"</f>
        <v>112129</v>
      </c>
      <c r="C2671" t="str">
        <f>"81358"</f>
        <v>81358</v>
      </c>
      <c r="D2671" t="s">
        <v>736</v>
      </c>
      <c r="E2671">
        <v>109.92</v>
      </c>
      <c r="F2671">
        <v>20131008</v>
      </c>
      <c r="G2671" t="s">
        <v>737</v>
      </c>
      <c r="H2671" t="s">
        <v>738</v>
      </c>
      <c r="I2671" t="s">
        <v>21</v>
      </c>
    </row>
    <row r="2672" spans="1:9" x14ac:dyDescent="0.25">
      <c r="A2672">
        <v>20131010</v>
      </c>
      <c r="B2672" t="str">
        <f>"112130"</f>
        <v>112130</v>
      </c>
      <c r="C2672" t="str">
        <f>"76690"</f>
        <v>76690</v>
      </c>
      <c r="D2672" t="s">
        <v>1544</v>
      </c>
      <c r="E2672" s="1">
        <v>1057.19</v>
      </c>
      <c r="F2672">
        <v>20131004</v>
      </c>
      <c r="G2672" t="s">
        <v>473</v>
      </c>
      <c r="H2672" t="s">
        <v>1545</v>
      </c>
      <c r="I2672" t="s">
        <v>21</v>
      </c>
    </row>
    <row r="2673" spans="1:9" x14ac:dyDescent="0.25">
      <c r="A2673">
        <v>20131010</v>
      </c>
      <c r="B2673" t="str">
        <f>"112130"</f>
        <v>112130</v>
      </c>
      <c r="C2673" t="str">
        <f>"76690"</f>
        <v>76690</v>
      </c>
      <c r="D2673" t="s">
        <v>1544</v>
      </c>
      <c r="E2673">
        <v>62.7</v>
      </c>
      <c r="F2673">
        <v>20131004</v>
      </c>
      <c r="G2673" t="s">
        <v>415</v>
      </c>
      <c r="H2673" t="s">
        <v>1546</v>
      </c>
      <c r="I2673" t="s">
        <v>21</v>
      </c>
    </row>
    <row r="2674" spans="1:9" x14ac:dyDescent="0.25">
      <c r="A2674">
        <v>20131010</v>
      </c>
      <c r="B2674" t="str">
        <f>"112131"</f>
        <v>112131</v>
      </c>
      <c r="C2674" t="str">
        <f>"85445"</f>
        <v>85445</v>
      </c>
      <c r="D2674" t="s">
        <v>745</v>
      </c>
      <c r="E2674">
        <v>772</v>
      </c>
      <c r="F2674">
        <v>20131004</v>
      </c>
      <c r="G2674" t="s">
        <v>746</v>
      </c>
      <c r="H2674" t="s">
        <v>555</v>
      </c>
      <c r="I2674" t="s">
        <v>21</v>
      </c>
    </row>
    <row r="2675" spans="1:9" x14ac:dyDescent="0.25">
      <c r="A2675">
        <v>20131010</v>
      </c>
      <c r="B2675" t="str">
        <f>"112132"</f>
        <v>112132</v>
      </c>
      <c r="C2675" t="str">
        <f>"19200"</f>
        <v>19200</v>
      </c>
      <c r="D2675" t="s">
        <v>436</v>
      </c>
      <c r="E2675">
        <v>59.4</v>
      </c>
      <c r="F2675">
        <v>20131009</v>
      </c>
      <c r="G2675" t="s">
        <v>410</v>
      </c>
      <c r="H2675" t="s">
        <v>411</v>
      </c>
      <c r="I2675" t="s">
        <v>12</v>
      </c>
    </row>
    <row r="2676" spans="1:9" x14ac:dyDescent="0.25">
      <c r="A2676">
        <v>20131010</v>
      </c>
      <c r="B2676" t="str">
        <f>"112133"</f>
        <v>112133</v>
      </c>
      <c r="C2676" t="str">
        <f>"85896"</f>
        <v>85896</v>
      </c>
      <c r="D2676" t="s">
        <v>1547</v>
      </c>
      <c r="E2676" s="1">
        <v>2900</v>
      </c>
      <c r="F2676">
        <v>20131004</v>
      </c>
      <c r="G2676" t="s">
        <v>1548</v>
      </c>
      <c r="H2676" t="s">
        <v>1549</v>
      </c>
      <c r="I2676" t="s">
        <v>21</v>
      </c>
    </row>
    <row r="2677" spans="1:9" x14ac:dyDescent="0.25">
      <c r="A2677">
        <v>20131010</v>
      </c>
      <c r="B2677" t="str">
        <f t="shared" ref="B2677:B2703" si="203">"112134"</f>
        <v>112134</v>
      </c>
      <c r="C2677" t="str">
        <f t="shared" ref="C2677:C2703" si="204">"80825"</f>
        <v>80825</v>
      </c>
      <c r="D2677" t="s">
        <v>747</v>
      </c>
      <c r="E2677">
        <v>139.19</v>
      </c>
      <c r="F2677">
        <v>20131008</v>
      </c>
      <c r="G2677" t="s">
        <v>989</v>
      </c>
      <c r="H2677" t="s">
        <v>749</v>
      </c>
      <c r="I2677" t="s">
        <v>61</v>
      </c>
    </row>
    <row r="2678" spans="1:9" x14ac:dyDescent="0.25">
      <c r="A2678">
        <v>20131010</v>
      </c>
      <c r="B2678" t="str">
        <f t="shared" si="203"/>
        <v>112134</v>
      </c>
      <c r="C2678" t="str">
        <f t="shared" si="204"/>
        <v>80825</v>
      </c>
      <c r="D2678" t="s">
        <v>747</v>
      </c>
      <c r="E2678">
        <v>139.19</v>
      </c>
      <c r="F2678">
        <v>20131008</v>
      </c>
      <c r="G2678" t="s">
        <v>989</v>
      </c>
      <c r="H2678" t="s">
        <v>749</v>
      </c>
      <c r="I2678" t="s">
        <v>61</v>
      </c>
    </row>
    <row r="2679" spans="1:9" x14ac:dyDescent="0.25">
      <c r="A2679">
        <v>20131010</v>
      </c>
      <c r="B2679" t="str">
        <f t="shared" si="203"/>
        <v>112134</v>
      </c>
      <c r="C2679" t="str">
        <f t="shared" si="204"/>
        <v>80825</v>
      </c>
      <c r="D2679" t="s">
        <v>747</v>
      </c>
      <c r="E2679" s="1">
        <v>2093.38</v>
      </c>
      <c r="F2679">
        <v>20131008</v>
      </c>
      <c r="G2679" t="s">
        <v>748</v>
      </c>
      <c r="H2679" t="s">
        <v>749</v>
      </c>
      <c r="I2679" t="s">
        <v>21</v>
      </c>
    </row>
    <row r="2680" spans="1:9" x14ac:dyDescent="0.25">
      <c r="A2680">
        <v>20131010</v>
      </c>
      <c r="B2680" t="str">
        <f t="shared" si="203"/>
        <v>112134</v>
      </c>
      <c r="C2680" t="str">
        <f t="shared" si="204"/>
        <v>80825</v>
      </c>
      <c r="D2680" t="s">
        <v>747</v>
      </c>
      <c r="E2680">
        <v>276.89999999999998</v>
      </c>
      <c r="F2680">
        <v>20131008</v>
      </c>
      <c r="G2680" t="s">
        <v>748</v>
      </c>
      <c r="H2680" t="s">
        <v>749</v>
      </c>
      <c r="I2680" t="s">
        <v>21</v>
      </c>
    </row>
    <row r="2681" spans="1:9" x14ac:dyDescent="0.25">
      <c r="A2681">
        <v>20131010</v>
      </c>
      <c r="B2681" t="str">
        <f t="shared" si="203"/>
        <v>112134</v>
      </c>
      <c r="C2681" t="str">
        <f t="shared" si="204"/>
        <v>80825</v>
      </c>
      <c r="D2681" t="s">
        <v>747</v>
      </c>
      <c r="E2681">
        <v>444.2</v>
      </c>
      <c r="F2681">
        <v>20131008</v>
      </c>
      <c r="G2681" t="s">
        <v>748</v>
      </c>
      <c r="H2681" t="s">
        <v>1550</v>
      </c>
      <c r="I2681" t="s">
        <v>21</v>
      </c>
    </row>
    <row r="2682" spans="1:9" x14ac:dyDescent="0.25">
      <c r="A2682">
        <v>20131010</v>
      </c>
      <c r="B2682" t="str">
        <f t="shared" si="203"/>
        <v>112134</v>
      </c>
      <c r="C2682" t="str">
        <f t="shared" si="204"/>
        <v>80825</v>
      </c>
      <c r="D2682" t="s">
        <v>747</v>
      </c>
      <c r="E2682">
        <v>448.29</v>
      </c>
      <c r="F2682">
        <v>20131008</v>
      </c>
      <c r="G2682" t="s">
        <v>748</v>
      </c>
      <c r="H2682" t="s">
        <v>1550</v>
      </c>
      <c r="I2682" t="s">
        <v>21</v>
      </c>
    </row>
    <row r="2683" spans="1:9" x14ac:dyDescent="0.25">
      <c r="A2683">
        <v>20131010</v>
      </c>
      <c r="B2683" t="str">
        <f t="shared" si="203"/>
        <v>112134</v>
      </c>
      <c r="C2683" t="str">
        <f t="shared" si="204"/>
        <v>80825</v>
      </c>
      <c r="D2683" t="s">
        <v>747</v>
      </c>
      <c r="E2683">
        <v>196.46</v>
      </c>
      <c r="F2683">
        <v>20131008</v>
      </c>
      <c r="G2683" t="s">
        <v>1551</v>
      </c>
      <c r="H2683" t="s">
        <v>749</v>
      </c>
      <c r="I2683" t="s">
        <v>21</v>
      </c>
    </row>
    <row r="2684" spans="1:9" x14ac:dyDescent="0.25">
      <c r="A2684">
        <v>20131010</v>
      </c>
      <c r="B2684" t="str">
        <f t="shared" si="203"/>
        <v>112134</v>
      </c>
      <c r="C2684" t="str">
        <f t="shared" si="204"/>
        <v>80825</v>
      </c>
      <c r="D2684" t="s">
        <v>747</v>
      </c>
      <c r="E2684">
        <v>670.6</v>
      </c>
      <c r="F2684">
        <v>20131008</v>
      </c>
      <c r="G2684" t="s">
        <v>750</v>
      </c>
      <c r="H2684" t="s">
        <v>749</v>
      </c>
      <c r="I2684" t="s">
        <v>21</v>
      </c>
    </row>
    <row r="2685" spans="1:9" x14ac:dyDescent="0.25">
      <c r="A2685">
        <v>20131010</v>
      </c>
      <c r="B2685" t="str">
        <f t="shared" si="203"/>
        <v>112134</v>
      </c>
      <c r="C2685" t="str">
        <f t="shared" si="204"/>
        <v>80825</v>
      </c>
      <c r="D2685" t="s">
        <v>747</v>
      </c>
      <c r="E2685">
        <v>670.6</v>
      </c>
      <c r="F2685">
        <v>20131008</v>
      </c>
      <c r="G2685" t="s">
        <v>750</v>
      </c>
      <c r="H2685" t="s">
        <v>749</v>
      </c>
      <c r="I2685" t="s">
        <v>21</v>
      </c>
    </row>
    <row r="2686" spans="1:9" x14ac:dyDescent="0.25">
      <c r="A2686">
        <v>20131010</v>
      </c>
      <c r="B2686" t="str">
        <f t="shared" si="203"/>
        <v>112134</v>
      </c>
      <c r="C2686" t="str">
        <f t="shared" si="204"/>
        <v>80825</v>
      </c>
      <c r="D2686" t="s">
        <v>747</v>
      </c>
      <c r="E2686">
        <v>670.6</v>
      </c>
      <c r="F2686">
        <v>20131008</v>
      </c>
      <c r="G2686" t="s">
        <v>752</v>
      </c>
      <c r="H2686" t="s">
        <v>749</v>
      </c>
      <c r="I2686" t="s">
        <v>21</v>
      </c>
    </row>
    <row r="2687" spans="1:9" x14ac:dyDescent="0.25">
      <c r="A2687">
        <v>20131010</v>
      </c>
      <c r="B2687" t="str">
        <f t="shared" si="203"/>
        <v>112134</v>
      </c>
      <c r="C2687" t="str">
        <f t="shared" si="204"/>
        <v>80825</v>
      </c>
      <c r="D2687" t="s">
        <v>747</v>
      </c>
      <c r="E2687">
        <v>582.95000000000005</v>
      </c>
      <c r="F2687">
        <v>20131008</v>
      </c>
      <c r="G2687" t="s">
        <v>753</v>
      </c>
      <c r="H2687" t="s">
        <v>749</v>
      </c>
      <c r="I2687" t="s">
        <v>21</v>
      </c>
    </row>
    <row r="2688" spans="1:9" x14ac:dyDescent="0.25">
      <c r="A2688">
        <v>20131010</v>
      </c>
      <c r="B2688" t="str">
        <f t="shared" si="203"/>
        <v>112134</v>
      </c>
      <c r="C2688" t="str">
        <f t="shared" si="204"/>
        <v>80825</v>
      </c>
      <c r="D2688" t="s">
        <v>747</v>
      </c>
      <c r="E2688">
        <v>582.95000000000005</v>
      </c>
      <c r="F2688">
        <v>20131008</v>
      </c>
      <c r="G2688" t="s">
        <v>753</v>
      </c>
      <c r="H2688" t="s">
        <v>749</v>
      </c>
      <c r="I2688" t="s">
        <v>21</v>
      </c>
    </row>
    <row r="2689" spans="1:9" x14ac:dyDescent="0.25">
      <c r="A2689">
        <v>20131010</v>
      </c>
      <c r="B2689" t="str">
        <f t="shared" si="203"/>
        <v>112134</v>
      </c>
      <c r="C2689" t="str">
        <f t="shared" si="204"/>
        <v>80825</v>
      </c>
      <c r="D2689" t="s">
        <v>747</v>
      </c>
      <c r="E2689">
        <v>582.95000000000005</v>
      </c>
      <c r="F2689">
        <v>20131008</v>
      </c>
      <c r="G2689" t="s">
        <v>754</v>
      </c>
      <c r="H2689" t="s">
        <v>749</v>
      </c>
      <c r="I2689" t="s">
        <v>21</v>
      </c>
    </row>
    <row r="2690" spans="1:9" x14ac:dyDescent="0.25">
      <c r="A2690">
        <v>20131010</v>
      </c>
      <c r="B2690" t="str">
        <f t="shared" si="203"/>
        <v>112134</v>
      </c>
      <c r="C2690" t="str">
        <f t="shared" si="204"/>
        <v>80825</v>
      </c>
      <c r="D2690" t="s">
        <v>747</v>
      </c>
      <c r="E2690">
        <v>582.95000000000005</v>
      </c>
      <c r="F2690">
        <v>20131008</v>
      </c>
      <c r="G2690" t="s">
        <v>754</v>
      </c>
      <c r="H2690" t="s">
        <v>749</v>
      </c>
      <c r="I2690" t="s">
        <v>21</v>
      </c>
    </row>
    <row r="2691" spans="1:9" x14ac:dyDescent="0.25">
      <c r="A2691">
        <v>20131010</v>
      </c>
      <c r="B2691" t="str">
        <f t="shared" si="203"/>
        <v>112134</v>
      </c>
      <c r="C2691" t="str">
        <f t="shared" si="204"/>
        <v>80825</v>
      </c>
      <c r="D2691" t="s">
        <v>747</v>
      </c>
      <c r="E2691">
        <v>582.95000000000005</v>
      </c>
      <c r="F2691">
        <v>20131008</v>
      </c>
      <c r="G2691" t="s">
        <v>990</v>
      </c>
      <c r="H2691" t="s">
        <v>749</v>
      </c>
      <c r="I2691" t="s">
        <v>21</v>
      </c>
    </row>
    <row r="2692" spans="1:9" x14ac:dyDescent="0.25">
      <c r="A2692">
        <v>20131010</v>
      </c>
      <c r="B2692" t="str">
        <f t="shared" si="203"/>
        <v>112134</v>
      </c>
      <c r="C2692" t="str">
        <f t="shared" si="204"/>
        <v>80825</v>
      </c>
      <c r="D2692" t="s">
        <v>747</v>
      </c>
      <c r="E2692">
        <v>582.95000000000005</v>
      </c>
      <c r="F2692">
        <v>20131008</v>
      </c>
      <c r="G2692" t="s">
        <v>990</v>
      </c>
      <c r="H2692" t="s">
        <v>749</v>
      </c>
      <c r="I2692" t="s">
        <v>21</v>
      </c>
    </row>
    <row r="2693" spans="1:9" x14ac:dyDescent="0.25">
      <c r="A2693">
        <v>20131010</v>
      </c>
      <c r="B2693" t="str">
        <f t="shared" si="203"/>
        <v>112134</v>
      </c>
      <c r="C2693" t="str">
        <f t="shared" si="204"/>
        <v>80825</v>
      </c>
      <c r="D2693" t="s">
        <v>747</v>
      </c>
      <c r="E2693">
        <v>582.95000000000005</v>
      </c>
      <c r="F2693">
        <v>20131008</v>
      </c>
      <c r="G2693" t="s">
        <v>755</v>
      </c>
      <c r="H2693" t="s">
        <v>749</v>
      </c>
      <c r="I2693" t="s">
        <v>21</v>
      </c>
    </row>
    <row r="2694" spans="1:9" x14ac:dyDescent="0.25">
      <c r="A2694">
        <v>20131010</v>
      </c>
      <c r="B2694" t="str">
        <f t="shared" si="203"/>
        <v>112134</v>
      </c>
      <c r="C2694" t="str">
        <f t="shared" si="204"/>
        <v>80825</v>
      </c>
      <c r="D2694" t="s">
        <v>747</v>
      </c>
      <c r="E2694">
        <v>582.95000000000005</v>
      </c>
      <c r="F2694">
        <v>20131008</v>
      </c>
      <c r="G2694" t="s">
        <v>756</v>
      </c>
      <c r="H2694" t="s">
        <v>749</v>
      </c>
      <c r="I2694" t="s">
        <v>21</v>
      </c>
    </row>
    <row r="2695" spans="1:9" x14ac:dyDescent="0.25">
      <c r="A2695">
        <v>20131010</v>
      </c>
      <c r="B2695" t="str">
        <f t="shared" si="203"/>
        <v>112134</v>
      </c>
      <c r="C2695" t="str">
        <f t="shared" si="204"/>
        <v>80825</v>
      </c>
      <c r="D2695" t="s">
        <v>747</v>
      </c>
      <c r="E2695">
        <v>582.95000000000005</v>
      </c>
      <c r="F2695">
        <v>20131008</v>
      </c>
      <c r="G2695" t="s">
        <v>756</v>
      </c>
      <c r="H2695" t="s">
        <v>749</v>
      </c>
      <c r="I2695" t="s">
        <v>21</v>
      </c>
    </row>
    <row r="2696" spans="1:9" x14ac:dyDescent="0.25">
      <c r="A2696">
        <v>20131010</v>
      </c>
      <c r="B2696" t="str">
        <f t="shared" si="203"/>
        <v>112134</v>
      </c>
      <c r="C2696" t="str">
        <f t="shared" si="204"/>
        <v>80825</v>
      </c>
      <c r="D2696" t="s">
        <v>747</v>
      </c>
      <c r="E2696">
        <v>133.91</v>
      </c>
      <c r="F2696">
        <v>20131008</v>
      </c>
      <c r="G2696" t="s">
        <v>757</v>
      </c>
      <c r="H2696" t="s">
        <v>749</v>
      </c>
      <c r="I2696" t="s">
        <v>21</v>
      </c>
    </row>
    <row r="2697" spans="1:9" x14ac:dyDescent="0.25">
      <c r="A2697">
        <v>20131010</v>
      </c>
      <c r="B2697" t="str">
        <f t="shared" si="203"/>
        <v>112134</v>
      </c>
      <c r="C2697" t="str">
        <f t="shared" si="204"/>
        <v>80825</v>
      </c>
      <c r="D2697" t="s">
        <v>747</v>
      </c>
      <c r="E2697">
        <v>65.48</v>
      </c>
      <c r="F2697">
        <v>20131008</v>
      </c>
      <c r="G2697" t="s">
        <v>757</v>
      </c>
      <c r="H2697" t="s">
        <v>749</v>
      </c>
      <c r="I2697" t="s">
        <v>21</v>
      </c>
    </row>
    <row r="2698" spans="1:9" x14ac:dyDescent="0.25">
      <c r="A2698">
        <v>20131010</v>
      </c>
      <c r="B2698" t="str">
        <f t="shared" si="203"/>
        <v>112134</v>
      </c>
      <c r="C2698" t="str">
        <f t="shared" si="204"/>
        <v>80825</v>
      </c>
      <c r="D2698" t="s">
        <v>747</v>
      </c>
      <c r="E2698">
        <v>82.75</v>
      </c>
      <c r="F2698">
        <v>20131008</v>
      </c>
      <c r="G2698" t="s">
        <v>758</v>
      </c>
      <c r="H2698" t="s">
        <v>749</v>
      </c>
      <c r="I2698" t="s">
        <v>21</v>
      </c>
    </row>
    <row r="2699" spans="1:9" x14ac:dyDescent="0.25">
      <c r="A2699">
        <v>20131010</v>
      </c>
      <c r="B2699" t="str">
        <f t="shared" si="203"/>
        <v>112134</v>
      </c>
      <c r="C2699" t="str">
        <f t="shared" si="204"/>
        <v>80825</v>
      </c>
      <c r="D2699" t="s">
        <v>747</v>
      </c>
      <c r="E2699">
        <v>133.9</v>
      </c>
      <c r="F2699">
        <v>20131008</v>
      </c>
      <c r="G2699" t="s">
        <v>544</v>
      </c>
      <c r="H2699" t="s">
        <v>749</v>
      </c>
      <c r="I2699" t="s">
        <v>21</v>
      </c>
    </row>
    <row r="2700" spans="1:9" x14ac:dyDescent="0.25">
      <c r="A2700">
        <v>20131010</v>
      </c>
      <c r="B2700" t="str">
        <f t="shared" si="203"/>
        <v>112134</v>
      </c>
      <c r="C2700" t="str">
        <f t="shared" si="204"/>
        <v>80825</v>
      </c>
      <c r="D2700" t="s">
        <v>747</v>
      </c>
      <c r="E2700">
        <v>65.48</v>
      </c>
      <c r="F2700">
        <v>20131008</v>
      </c>
      <c r="G2700" t="s">
        <v>544</v>
      </c>
      <c r="H2700" t="s">
        <v>749</v>
      </c>
      <c r="I2700" t="s">
        <v>21</v>
      </c>
    </row>
    <row r="2701" spans="1:9" x14ac:dyDescent="0.25">
      <c r="A2701">
        <v>20131010</v>
      </c>
      <c r="B2701" t="str">
        <f t="shared" si="203"/>
        <v>112134</v>
      </c>
      <c r="C2701" t="str">
        <f t="shared" si="204"/>
        <v>80825</v>
      </c>
      <c r="D2701" t="s">
        <v>747</v>
      </c>
      <c r="E2701">
        <v>133.9</v>
      </c>
      <c r="F2701">
        <v>20131008</v>
      </c>
      <c r="G2701" t="s">
        <v>545</v>
      </c>
      <c r="H2701" t="s">
        <v>749</v>
      </c>
      <c r="I2701" t="s">
        <v>21</v>
      </c>
    </row>
    <row r="2702" spans="1:9" x14ac:dyDescent="0.25">
      <c r="A2702">
        <v>20131010</v>
      </c>
      <c r="B2702" t="str">
        <f t="shared" si="203"/>
        <v>112134</v>
      </c>
      <c r="C2702" t="str">
        <f t="shared" si="204"/>
        <v>80825</v>
      </c>
      <c r="D2702" t="s">
        <v>747</v>
      </c>
      <c r="E2702">
        <v>65.5</v>
      </c>
      <c r="F2702">
        <v>20131008</v>
      </c>
      <c r="G2702" t="s">
        <v>545</v>
      </c>
      <c r="H2702" t="s">
        <v>749</v>
      </c>
      <c r="I2702" t="s">
        <v>21</v>
      </c>
    </row>
    <row r="2703" spans="1:9" x14ac:dyDescent="0.25">
      <c r="A2703">
        <v>20131010</v>
      </c>
      <c r="B2703" t="str">
        <f t="shared" si="203"/>
        <v>112134</v>
      </c>
      <c r="C2703" t="str">
        <f t="shared" si="204"/>
        <v>80825</v>
      </c>
      <c r="D2703" t="s">
        <v>747</v>
      </c>
      <c r="E2703">
        <v>196.46</v>
      </c>
      <c r="F2703">
        <v>20131008</v>
      </c>
      <c r="G2703" t="s">
        <v>759</v>
      </c>
      <c r="H2703" t="s">
        <v>749</v>
      </c>
      <c r="I2703" t="s">
        <v>12</v>
      </c>
    </row>
    <row r="2704" spans="1:9" x14ac:dyDescent="0.25">
      <c r="A2704">
        <v>20131011</v>
      </c>
      <c r="B2704" t="str">
        <f>"112135"</f>
        <v>112135</v>
      </c>
      <c r="C2704" t="str">
        <f>"81886"</f>
        <v>81886</v>
      </c>
      <c r="D2704" t="s">
        <v>1527</v>
      </c>
      <c r="E2704" s="1">
        <v>5800</v>
      </c>
      <c r="F2704">
        <v>20131011</v>
      </c>
      <c r="G2704" t="s">
        <v>1272</v>
      </c>
      <c r="H2704" t="s">
        <v>1552</v>
      </c>
      <c r="I2704" t="s">
        <v>21</v>
      </c>
    </row>
    <row r="2705" spans="1:9" x14ac:dyDescent="0.25">
      <c r="A2705">
        <v>20131017</v>
      </c>
      <c r="B2705" t="str">
        <f>"112136"</f>
        <v>112136</v>
      </c>
      <c r="C2705" t="str">
        <f>"00925"</f>
        <v>00925</v>
      </c>
      <c r="D2705" t="s">
        <v>1553</v>
      </c>
      <c r="E2705" s="1">
        <v>4537.79</v>
      </c>
      <c r="F2705">
        <v>20131015</v>
      </c>
      <c r="G2705" t="s">
        <v>1486</v>
      </c>
      <c r="H2705" t="s">
        <v>414</v>
      </c>
      <c r="I2705" t="s">
        <v>38</v>
      </c>
    </row>
    <row r="2706" spans="1:9" x14ac:dyDescent="0.25">
      <c r="A2706">
        <v>20131017</v>
      </c>
      <c r="B2706" t="str">
        <f>"112137"</f>
        <v>112137</v>
      </c>
      <c r="C2706" t="str">
        <f>"00120"</f>
        <v>00120</v>
      </c>
      <c r="D2706" t="s">
        <v>336</v>
      </c>
      <c r="E2706">
        <v>103.5</v>
      </c>
      <c r="F2706">
        <v>20131010</v>
      </c>
      <c r="G2706" t="s">
        <v>337</v>
      </c>
      <c r="H2706" t="s">
        <v>338</v>
      </c>
      <c r="I2706" t="s">
        <v>21</v>
      </c>
    </row>
    <row r="2707" spans="1:9" x14ac:dyDescent="0.25">
      <c r="A2707">
        <v>20131017</v>
      </c>
      <c r="B2707" t="str">
        <f>"112138"</f>
        <v>112138</v>
      </c>
      <c r="C2707" t="str">
        <f>"87137"</f>
        <v>87137</v>
      </c>
      <c r="D2707" t="s">
        <v>1179</v>
      </c>
      <c r="E2707">
        <v>180.39</v>
      </c>
      <c r="F2707">
        <v>20131016</v>
      </c>
      <c r="G2707" t="s">
        <v>924</v>
      </c>
      <c r="H2707" t="s">
        <v>365</v>
      </c>
      <c r="I2707" t="s">
        <v>66</v>
      </c>
    </row>
    <row r="2708" spans="1:9" x14ac:dyDescent="0.25">
      <c r="A2708">
        <v>20131017</v>
      </c>
      <c r="B2708" t="str">
        <f>"112139"</f>
        <v>112139</v>
      </c>
      <c r="C2708" t="str">
        <f>"05800"</f>
        <v>05800</v>
      </c>
      <c r="D2708" t="s">
        <v>998</v>
      </c>
      <c r="E2708">
        <v>245</v>
      </c>
      <c r="F2708">
        <v>20131011</v>
      </c>
      <c r="G2708" t="s">
        <v>1554</v>
      </c>
      <c r="H2708" t="s">
        <v>1555</v>
      </c>
      <c r="I2708" t="s">
        <v>38</v>
      </c>
    </row>
    <row r="2709" spans="1:9" x14ac:dyDescent="0.25">
      <c r="A2709">
        <v>20131017</v>
      </c>
      <c r="B2709" t="str">
        <f>"112140"</f>
        <v>112140</v>
      </c>
      <c r="C2709" t="str">
        <f>"00255"</f>
        <v>00255</v>
      </c>
      <c r="D2709" t="s">
        <v>489</v>
      </c>
      <c r="E2709">
        <v>61.3</v>
      </c>
      <c r="F2709">
        <v>20131014</v>
      </c>
      <c r="G2709" t="s">
        <v>771</v>
      </c>
      <c r="H2709" t="s">
        <v>488</v>
      </c>
      <c r="I2709" t="s">
        <v>21</v>
      </c>
    </row>
    <row r="2710" spans="1:9" x14ac:dyDescent="0.25">
      <c r="A2710">
        <v>20131017</v>
      </c>
      <c r="B2710" t="str">
        <f>"112141"</f>
        <v>112141</v>
      </c>
      <c r="C2710" t="str">
        <f>"83627"</f>
        <v>83627</v>
      </c>
      <c r="D2710" t="s">
        <v>1556</v>
      </c>
      <c r="E2710">
        <v>55</v>
      </c>
      <c r="F2710">
        <v>20131015</v>
      </c>
      <c r="G2710" t="s">
        <v>356</v>
      </c>
      <c r="H2710" t="s">
        <v>357</v>
      </c>
      <c r="I2710" t="s">
        <v>61</v>
      </c>
    </row>
    <row r="2711" spans="1:9" x14ac:dyDescent="0.25">
      <c r="A2711">
        <v>20131017</v>
      </c>
      <c r="B2711" t="str">
        <f>"112142"</f>
        <v>112142</v>
      </c>
      <c r="C2711" t="str">
        <f>"83627"</f>
        <v>83627</v>
      </c>
      <c r="D2711" t="s">
        <v>1556</v>
      </c>
      <c r="E2711">
        <v>30</v>
      </c>
      <c r="F2711">
        <v>20131015</v>
      </c>
      <c r="G2711" t="s">
        <v>356</v>
      </c>
      <c r="H2711" t="s">
        <v>357</v>
      </c>
      <c r="I2711" t="s">
        <v>61</v>
      </c>
    </row>
    <row r="2712" spans="1:9" x14ac:dyDescent="0.25">
      <c r="A2712">
        <v>20131017</v>
      </c>
      <c r="B2712" t="str">
        <f>"112143"</f>
        <v>112143</v>
      </c>
      <c r="C2712" t="str">
        <f>"00728"</f>
        <v>00728</v>
      </c>
      <c r="D2712" t="s">
        <v>1557</v>
      </c>
      <c r="E2712" s="1">
        <v>4098</v>
      </c>
      <c r="F2712">
        <v>20131016</v>
      </c>
      <c r="G2712" t="s">
        <v>1064</v>
      </c>
      <c r="H2712" t="s">
        <v>1558</v>
      </c>
      <c r="I2712" t="s">
        <v>21</v>
      </c>
    </row>
    <row r="2713" spans="1:9" x14ac:dyDescent="0.25">
      <c r="A2713">
        <v>20131017</v>
      </c>
      <c r="B2713" t="str">
        <f>"112143"</f>
        <v>112143</v>
      </c>
      <c r="C2713" t="str">
        <f>"00728"</f>
        <v>00728</v>
      </c>
      <c r="D2713" t="s">
        <v>1557</v>
      </c>
      <c r="E2713">
        <v>188.1</v>
      </c>
      <c r="F2713">
        <v>20131016</v>
      </c>
      <c r="G2713" t="s">
        <v>837</v>
      </c>
      <c r="H2713" t="s">
        <v>1559</v>
      </c>
      <c r="I2713" t="s">
        <v>21</v>
      </c>
    </row>
    <row r="2714" spans="1:9" x14ac:dyDescent="0.25">
      <c r="A2714">
        <v>20131017</v>
      </c>
      <c r="B2714" t="str">
        <f>"112144"</f>
        <v>112144</v>
      </c>
      <c r="C2714" t="str">
        <f>"82758"</f>
        <v>82758</v>
      </c>
      <c r="D2714" t="s">
        <v>776</v>
      </c>
      <c r="E2714" s="1">
        <v>19626.25</v>
      </c>
      <c r="F2714">
        <v>20131014</v>
      </c>
      <c r="G2714" t="s">
        <v>777</v>
      </c>
      <c r="H2714" t="s">
        <v>778</v>
      </c>
      <c r="I2714" t="s">
        <v>21</v>
      </c>
    </row>
    <row r="2715" spans="1:9" x14ac:dyDescent="0.25">
      <c r="A2715">
        <v>20131017</v>
      </c>
      <c r="B2715" t="str">
        <f>"112145"</f>
        <v>112145</v>
      </c>
      <c r="C2715" t="str">
        <f>"87555"</f>
        <v>87555</v>
      </c>
      <c r="D2715" t="s">
        <v>1560</v>
      </c>
      <c r="E2715">
        <v>28.35</v>
      </c>
      <c r="F2715">
        <v>20131014</v>
      </c>
      <c r="G2715" t="s">
        <v>562</v>
      </c>
      <c r="H2715" t="s">
        <v>563</v>
      </c>
      <c r="I2715" t="s">
        <v>21</v>
      </c>
    </row>
    <row r="2716" spans="1:9" x14ac:dyDescent="0.25">
      <c r="A2716">
        <v>20131017</v>
      </c>
      <c r="B2716" t="str">
        <f>"112146"</f>
        <v>112146</v>
      </c>
      <c r="C2716" t="str">
        <f>"11488"</f>
        <v>11488</v>
      </c>
      <c r="D2716" t="s">
        <v>1561</v>
      </c>
      <c r="E2716">
        <v>19.53</v>
      </c>
      <c r="F2716">
        <v>20131010</v>
      </c>
      <c r="G2716" t="s">
        <v>498</v>
      </c>
      <c r="H2716" t="s">
        <v>499</v>
      </c>
      <c r="I2716" t="s">
        <v>21</v>
      </c>
    </row>
    <row r="2717" spans="1:9" x14ac:dyDescent="0.25">
      <c r="A2717">
        <v>20131017</v>
      </c>
      <c r="B2717" t="str">
        <f>"112146"</f>
        <v>112146</v>
      </c>
      <c r="C2717" t="str">
        <f>"11488"</f>
        <v>11488</v>
      </c>
      <c r="D2717" t="s">
        <v>1561</v>
      </c>
      <c r="E2717">
        <v>75.739999999999995</v>
      </c>
      <c r="F2717">
        <v>20131010</v>
      </c>
      <c r="G2717" t="s">
        <v>498</v>
      </c>
      <c r="H2717" t="s">
        <v>499</v>
      </c>
      <c r="I2717" t="s">
        <v>21</v>
      </c>
    </row>
    <row r="2718" spans="1:9" x14ac:dyDescent="0.25">
      <c r="A2718">
        <v>20131017</v>
      </c>
      <c r="B2718" t="str">
        <f>"112146"</f>
        <v>112146</v>
      </c>
      <c r="C2718" t="str">
        <f>"11488"</f>
        <v>11488</v>
      </c>
      <c r="D2718" t="s">
        <v>1561</v>
      </c>
      <c r="E2718">
        <v>25.83</v>
      </c>
      <c r="F2718">
        <v>20131010</v>
      </c>
      <c r="G2718" t="s">
        <v>496</v>
      </c>
      <c r="H2718" t="s">
        <v>414</v>
      </c>
      <c r="I2718" t="s">
        <v>21</v>
      </c>
    </row>
    <row r="2719" spans="1:9" x14ac:dyDescent="0.25">
      <c r="A2719">
        <v>20131017</v>
      </c>
      <c r="B2719" t="str">
        <f>"112147"</f>
        <v>112147</v>
      </c>
      <c r="C2719" t="str">
        <f>"11740"</f>
        <v>11740</v>
      </c>
      <c r="D2719" t="s">
        <v>1562</v>
      </c>
      <c r="E2719">
        <v>16</v>
      </c>
      <c r="F2719">
        <v>20131014</v>
      </c>
      <c r="G2719" t="s">
        <v>202</v>
      </c>
      <c r="H2719" t="s">
        <v>1563</v>
      </c>
      <c r="I2719" t="s">
        <v>12</v>
      </c>
    </row>
    <row r="2720" spans="1:9" x14ac:dyDescent="0.25">
      <c r="A2720">
        <v>20131017</v>
      </c>
      <c r="B2720" t="str">
        <f>"112148"</f>
        <v>112148</v>
      </c>
      <c r="C2720" t="str">
        <f>"11851"</f>
        <v>11851</v>
      </c>
      <c r="D2720" t="s">
        <v>342</v>
      </c>
      <c r="E2720">
        <v>86</v>
      </c>
      <c r="F2720">
        <v>20131016</v>
      </c>
      <c r="G2720" t="s">
        <v>289</v>
      </c>
      <c r="H2720" t="s">
        <v>784</v>
      </c>
      <c r="I2720" t="s">
        <v>38</v>
      </c>
    </row>
    <row r="2721" spans="1:9" x14ac:dyDescent="0.25">
      <c r="A2721">
        <v>20131017</v>
      </c>
      <c r="B2721" t="str">
        <f>"112148"</f>
        <v>112148</v>
      </c>
      <c r="C2721" t="str">
        <f>"11851"</f>
        <v>11851</v>
      </c>
      <c r="D2721" t="s">
        <v>342</v>
      </c>
      <c r="E2721">
        <v>90</v>
      </c>
      <c r="F2721">
        <v>20131016</v>
      </c>
      <c r="G2721" t="s">
        <v>119</v>
      </c>
      <c r="H2721" t="s">
        <v>1029</v>
      </c>
      <c r="I2721" t="s">
        <v>38</v>
      </c>
    </row>
    <row r="2722" spans="1:9" x14ac:dyDescent="0.25">
      <c r="A2722">
        <v>20131017</v>
      </c>
      <c r="B2722" t="str">
        <f>"112149"</f>
        <v>112149</v>
      </c>
      <c r="C2722" t="str">
        <f>"82728"</f>
        <v>82728</v>
      </c>
      <c r="D2722" t="s">
        <v>1564</v>
      </c>
      <c r="E2722">
        <v>449.7</v>
      </c>
      <c r="F2722">
        <v>20131016</v>
      </c>
      <c r="G2722" t="s">
        <v>830</v>
      </c>
      <c r="H2722" t="s">
        <v>1565</v>
      </c>
      <c r="I2722" t="s">
        <v>21</v>
      </c>
    </row>
    <row r="2723" spans="1:9" x14ac:dyDescent="0.25">
      <c r="A2723">
        <v>20131017</v>
      </c>
      <c r="B2723" t="str">
        <f>"112150"</f>
        <v>112150</v>
      </c>
      <c r="C2723" t="str">
        <f>"87554"</f>
        <v>87554</v>
      </c>
      <c r="D2723" t="s">
        <v>1566</v>
      </c>
      <c r="E2723">
        <v>75</v>
      </c>
      <c r="F2723">
        <v>20131014</v>
      </c>
      <c r="G2723" t="s">
        <v>202</v>
      </c>
      <c r="H2723" t="s">
        <v>1567</v>
      </c>
      <c r="I2723" t="s">
        <v>12</v>
      </c>
    </row>
    <row r="2724" spans="1:9" x14ac:dyDescent="0.25">
      <c r="A2724">
        <v>20131017</v>
      </c>
      <c r="B2724" t="str">
        <f>"112151"</f>
        <v>112151</v>
      </c>
      <c r="C2724" t="str">
        <f>"16500"</f>
        <v>16500</v>
      </c>
      <c r="D2724" t="s">
        <v>798</v>
      </c>
      <c r="E2724">
        <v>43</v>
      </c>
      <c r="F2724">
        <v>20131011</v>
      </c>
      <c r="G2724" t="s">
        <v>637</v>
      </c>
      <c r="H2724" t="s">
        <v>784</v>
      </c>
      <c r="I2724" t="s">
        <v>38</v>
      </c>
    </row>
    <row r="2725" spans="1:9" x14ac:dyDescent="0.25">
      <c r="A2725">
        <v>20131017</v>
      </c>
      <c r="B2725" t="str">
        <f>"112152"</f>
        <v>112152</v>
      </c>
      <c r="C2725" t="str">
        <f>"84575"</f>
        <v>84575</v>
      </c>
      <c r="D2725" t="s">
        <v>1568</v>
      </c>
      <c r="E2725">
        <v>604.79999999999995</v>
      </c>
      <c r="F2725">
        <v>20131014</v>
      </c>
      <c r="G2725" t="s">
        <v>691</v>
      </c>
      <c r="H2725" t="s">
        <v>563</v>
      </c>
      <c r="I2725" t="s">
        <v>68</v>
      </c>
    </row>
    <row r="2726" spans="1:9" x14ac:dyDescent="0.25">
      <c r="A2726">
        <v>20131017</v>
      </c>
      <c r="B2726" t="str">
        <f>"112153"</f>
        <v>112153</v>
      </c>
      <c r="C2726" t="str">
        <f>"83967"</f>
        <v>83967</v>
      </c>
      <c r="D2726" t="s">
        <v>1569</v>
      </c>
      <c r="E2726" s="1">
        <v>1485</v>
      </c>
      <c r="F2726">
        <v>20131016</v>
      </c>
      <c r="G2726" t="s">
        <v>1064</v>
      </c>
      <c r="H2726" t="s">
        <v>1570</v>
      </c>
      <c r="I2726" t="s">
        <v>21</v>
      </c>
    </row>
    <row r="2727" spans="1:9" x14ac:dyDescent="0.25">
      <c r="A2727">
        <v>20131017</v>
      </c>
      <c r="B2727" t="str">
        <f>"112154"</f>
        <v>112154</v>
      </c>
      <c r="C2727" t="str">
        <f>"00444"</f>
        <v>00444</v>
      </c>
      <c r="D2727" t="s">
        <v>1369</v>
      </c>
      <c r="E2727">
        <v>520</v>
      </c>
      <c r="F2727">
        <v>20131016</v>
      </c>
      <c r="G2727" t="s">
        <v>1548</v>
      </c>
      <c r="H2727" t="s">
        <v>1054</v>
      </c>
      <c r="I2727" t="s">
        <v>21</v>
      </c>
    </row>
    <row r="2728" spans="1:9" x14ac:dyDescent="0.25">
      <c r="A2728">
        <v>20131017</v>
      </c>
      <c r="B2728" t="str">
        <f>"112155"</f>
        <v>112155</v>
      </c>
      <c r="C2728" t="str">
        <f>"18500"</f>
        <v>18500</v>
      </c>
      <c r="D2728" t="s">
        <v>517</v>
      </c>
      <c r="E2728" s="1">
        <v>13864</v>
      </c>
      <c r="F2728">
        <v>20131016</v>
      </c>
      <c r="G2728" t="s">
        <v>14</v>
      </c>
      <c r="H2728" t="s">
        <v>15</v>
      </c>
      <c r="I2728" t="s">
        <v>15</v>
      </c>
    </row>
    <row r="2729" spans="1:9" x14ac:dyDescent="0.25">
      <c r="A2729">
        <v>20131017</v>
      </c>
      <c r="B2729" t="str">
        <f>"112156"</f>
        <v>112156</v>
      </c>
      <c r="C2729" t="str">
        <f>"81251"</f>
        <v>81251</v>
      </c>
      <c r="D2729" t="s">
        <v>1571</v>
      </c>
      <c r="E2729">
        <v>2.48</v>
      </c>
      <c r="F2729">
        <v>20131014</v>
      </c>
      <c r="G2729" t="s">
        <v>404</v>
      </c>
      <c r="H2729" t="s">
        <v>1572</v>
      </c>
      <c r="I2729" t="s">
        <v>12</v>
      </c>
    </row>
    <row r="2730" spans="1:9" x14ac:dyDescent="0.25">
      <c r="A2730">
        <v>20131017</v>
      </c>
      <c r="B2730" t="str">
        <f>"112156"</f>
        <v>112156</v>
      </c>
      <c r="C2730" t="str">
        <f>"81251"</f>
        <v>81251</v>
      </c>
      <c r="D2730" t="s">
        <v>1571</v>
      </c>
      <c r="E2730">
        <v>189.49</v>
      </c>
      <c r="F2730">
        <v>20131014</v>
      </c>
      <c r="G2730" t="s">
        <v>202</v>
      </c>
      <c r="H2730" t="s">
        <v>1573</v>
      </c>
      <c r="I2730" t="s">
        <v>12</v>
      </c>
    </row>
    <row r="2731" spans="1:9" x14ac:dyDescent="0.25">
      <c r="A2731">
        <v>20131017</v>
      </c>
      <c r="B2731" t="str">
        <f>"112157"</f>
        <v>112157</v>
      </c>
      <c r="C2731" t="str">
        <f>"82014"</f>
        <v>82014</v>
      </c>
      <c r="D2731" t="s">
        <v>1574</v>
      </c>
      <c r="E2731">
        <v>150</v>
      </c>
      <c r="F2731">
        <v>20131010</v>
      </c>
      <c r="G2731" t="s">
        <v>1033</v>
      </c>
      <c r="H2731" t="s">
        <v>1575</v>
      </c>
      <c r="I2731" t="s">
        <v>21</v>
      </c>
    </row>
    <row r="2732" spans="1:9" x14ac:dyDescent="0.25">
      <c r="A2732">
        <v>20131017</v>
      </c>
      <c r="B2732" t="str">
        <f>"112158"</f>
        <v>112158</v>
      </c>
      <c r="C2732" t="str">
        <f>"86378"</f>
        <v>86378</v>
      </c>
      <c r="D2732" t="s">
        <v>351</v>
      </c>
      <c r="E2732">
        <v>102.16</v>
      </c>
      <c r="F2732">
        <v>20131014</v>
      </c>
      <c r="G2732" t="s">
        <v>221</v>
      </c>
      <c r="H2732" t="s">
        <v>354</v>
      </c>
      <c r="I2732" t="s">
        <v>25</v>
      </c>
    </row>
    <row r="2733" spans="1:9" x14ac:dyDescent="0.25">
      <c r="A2733">
        <v>20131017</v>
      </c>
      <c r="B2733" t="str">
        <f>"112159"</f>
        <v>112159</v>
      </c>
      <c r="C2733" t="str">
        <f>"23827"</f>
        <v>23827</v>
      </c>
      <c r="D2733" t="s">
        <v>528</v>
      </c>
      <c r="E2733">
        <v>271.83999999999997</v>
      </c>
      <c r="F2733">
        <v>20131016</v>
      </c>
      <c r="G2733" t="s">
        <v>506</v>
      </c>
      <c r="H2733" t="s">
        <v>1576</v>
      </c>
      <c r="I2733" t="s">
        <v>21</v>
      </c>
    </row>
    <row r="2734" spans="1:9" x14ac:dyDescent="0.25">
      <c r="A2734">
        <v>20131017</v>
      </c>
      <c r="B2734" t="str">
        <f>"112159"</f>
        <v>112159</v>
      </c>
      <c r="C2734" t="str">
        <f>"23827"</f>
        <v>23827</v>
      </c>
      <c r="D2734" t="s">
        <v>528</v>
      </c>
      <c r="E2734" s="1">
        <v>1220.42</v>
      </c>
      <c r="F2734">
        <v>20131011</v>
      </c>
      <c r="G2734" t="s">
        <v>637</v>
      </c>
      <c r="H2734" t="s">
        <v>513</v>
      </c>
      <c r="I2734" t="s">
        <v>38</v>
      </c>
    </row>
    <row r="2735" spans="1:9" x14ac:dyDescent="0.25">
      <c r="A2735">
        <v>20131017</v>
      </c>
      <c r="B2735" t="str">
        <f>"112160"</f>
        <v>112160</v>
      </c>
      <c r="C2735" t="str">
        <f>"86731"</f>
        <v>86731</v>
      </c>
      <c r="D2735" t="s">
        <v>1577</v>
      </c>
      <c r="E2735">
        <v>431.25</v>
      </c>
      <c r="F2735">
        <v>20131016</v>
      </c>
      <c r="G2735" t="s">
        <v>1578</v>
      </c>
      <c r="H2735" t="s">
        <v>1579</v>
      </c>
      <c r="I2735" t="s">
        <v>21</v>
      </c>
    </row>
    <row r="2736" spans="1:9" x14ac:dyDescent="0.25">
      <c r="A2736">
        <v>20131017</v>
      </c>
      <c r="B2736" t="str">
        <f>"112161"</f>
        <v>112161</v>
      </c>
      <c r="C2736" t="str">
        <f>"84625"</f>
        <v>84625</v>
      </c>
      <c r="D2736" t="s">
        <v>1580</v>
      </c>
      <c r="E2736">
        <v>410.14</v>
      </c>
      <c r="F2736">
        <v>20131011</v>
      </c>
      <c r="G2736" t="s">
        <v>704</v>
      </c>
      <c r="H2736" t="s">
        <v>513</v>
      </c>
      <c r="I2736" t="s">
        <v>21</v>
      </c>
    </row>
    <row r="2737" spans="1:9" x14ac:dyDescent="0.25">
      <c r="A2737">
        <v>20131017</v>
      </c>
      <c r="B2737" t="str">
        <f>"112162"</f>
        <v>112162</v>
      </c>
      <c r="C2737" t="str">
        <f>"81436"</f>
        <v>81436</v>
      </c>
      <c r="D2737" t="s">
        <v>1581</v>
      </c>
      <c r="E2737">
        <v>246.76</v>
      </c>
      <c r="F2737">
        <v>20131016</v>
      </c>
      <c r="G2737" t="s">
        <v>1025</v>
      </c>
      <c r="H2737" t="s">
        <v>357</v>
      </c>
      <c r="I2737" t="s">
        <v>21</v>
      </c>
    </row>
    <row r="2738" spans="1:9" x14ac:dyDescent="0.25">
      <c r="A2738">
        <v>20131017</v>
      </c>
      <c r="B2738" t="str">
        <f>"112162"</f>
        <v>112162</v>
      </c>
      <c r="C2738" t="str">
        <f>"81436"</f>
        <v>81436</v>
      </c>
      <c r="D2738" t="s">
        <v>1581</v>
      </c>
      <c r="E2738">
        <v>353.24</v>
      </c>
      <c r="F2738">
        <v>20131016</v>
      </c>
      <c r="G2738" t="s">
        <v>1150</v>
      </c>
      <c r="H2738" t="s">
        <v>357</v>
      </c>
      <c r="I2738" t="s">
        <v>21</v>
      </c>
    </row>
    <row r="2739" spans="1:9" x14ac:dyDescent="0.25">
      <c r="A2739">
        <v>20131017</v>
      </c>
      <c r="B2739" t="str">
        <f>"112163"</f>
        <v>112163</v>
      </c>
      <c r="C2739" t="str">
        <f>"26425"</f>
        <v>26425</v>
      </c>
      <c r="D2739" t="s">
        <v>822</v>
      </c>
      <c r="E2739">
        <v>387.28</v>
      </c>
      <c r="F2739">
        <v>20131014</v>
      </c>
      <c r="G2739" t="s">
        <v>1408</v>
      </c>
      <c r="H2739" t="s">
        <v>1582</v>
      </c>
      <c r="I2739" t="s">
        <v>12</v>
      </c>
    </row>
    <row r="2740" spans="1:9" x14ac:dyDescent="0.25">
      <c r="A2740">
        <v>20131017</v>
      </c>
      <c r="B2740" t="str">
        <f>"112164"</f>
        <v>112164</v>
      </c>
      <c r="C2740" t="str">
        <f>"26990"</f>
        <v>26990</v>
      </c>
      <c r="D2740" t="s">
        <v>548</v>
      </c>
      <c r="E2740">
        <v>25</v>
      </c>
      <c r="F2740">
        <v>20131011</v>
      </c>
      <c r="G2740" t="s">
        <v>1033</v>
      </c>
      <c r="H2740" t="s">
        <v>1410</v>
      </c>
      <c r="I2740" t="s">
        <v>21</v>
      </c>
    </row>
    <row r="2741" spans="1:9" x14ac:dyDescent="0.25">
      <c r="A2741">
        <v>20131017</v>
      </c>
      <c r="B2741" t="str">
        <f>"112164"</f>
        <v>112164</v>
      </c>
      <c r="C2741" t="str">
        <f>"26990"</f>
        <v>26990</v>
      </c>
      <c r="D2741" t="s">
        <v>548</v>
      </c>
      <c r="E2741">
        <v>70</v>
      </c>
      <c r="F2741">
        <v>20131016</v>
      </c>
      <c r="G2741" t="s">
        <v>1227</v>
      </c>
      <c r="H2741" t="s">
        <v>1583</v>
      </c>
      <c r="I2741" t="s">
        <v>21</v>
      </c>
    </row>
    <row r="2742" spans="1:9" x14ac:dyDescent="0.25">
      <c r="A2742">
        <v>20131017</v>
      </c>
      <c r="B2742" t="str">
        <f>"112164"</f>
        <v>112164</v>
      </c>
      <c r="C2742" t="str">
        <f>"26990"</f>
        <v>26990</v>
      </c>
      <c r="D2742" t="s">
        <v>548</v>
      </c>
      <c r="E2742">
        <v>10</v>
      </c>
      <c r="F2742">
        <v>20131015</v>
      </c>
      <c r="G2742" t="s">
        <v>810</v>
      </c>
      <c r="H2742" t="s">
        <v>1410</v>
      </c>
      <c r="I2742" t="s">
        <v>66</v>
      </c>
    </row>
    <row r="2743" spans="1:9" x14ac:dyDescent="0.25">
      <c r="A2743">
        <v>20131017</v>
      </c>
      <c r="B2743" t="str">
        <f>"112165"</f>
        <v>112165</v>
      </c>
      <c r="C2743" t="str">
        <f>"87542"</f>
        <v>87542</v>
      </c>
      <c r="D2743" t="s">
        <v>1413</v>
      </c>
      <c r="E2743">
        <v>102.88</v>
      </c>
      <c r="F2743">
        <v>20131014</v>
      </c>
      <c r="G2743" t="s">
        <v>774</v>
      </c>
      <c r="H2743" t="s">
        <v>765</v>
      </c>
      <c r="I2743" t="s">
        <v>61</v>
      </c>
    </row>
    <row r="2744" spans="1:9" x14ac:dyDescent="0.25">
      <c r="A2744">
        <v>20131017</v>
      </c>
      <c r="B2744" t="str">
        <f>"112166"</f>
        <v>112166</v>
      </c>
      <c r="C2744" t="str">
        <f>"83239"</f>
        <v>83239</v>
      </c>
      <c r="D2744" t="s">
        <v>1055</v>
      </c>
      <c r="E2744" s="1">
        <v>1308</v>
      </c>
      <c r="F2744">
        <v>20131016</v>
      </c>
      <c r="G2744" t="s">
        <v>840</v>
      </c>
      <c r="H2744" t="s">
        <v>1584</v>
      </c>
      <c r="I2744" t="s">
        <v>21</v>
      </c>
    </row>
    <row r="2745" spans="1:9" x14ac:dyDescent="0.25">
      <c r="A2745">
        <v>20131017</v>
      </c>
      <c r="B2745" t="str">
        <f>"112167"</f>
        <v>112167</v>
      </c>
      <c r="C2745" t="str">
        <f>"28060"</f>
        <v>28060</v>
      </c>
      <c r="D2745" t="s">
        <v>1585</v>
      </c>
      <c r="E2745">
        <v>723.8</v>
      </c>
      <c r="F2745">
        <v>20131016</v>
      </c>
      <c r="G2745" t="s">
        <v>448</v>
      </c>
      <c r="H2745" t="s">
        <v>1586</v>
      </c>
      <c r="I2745" t="s">
        <v>21</v>
      </c>
    </row>
    <row r="2746" spans="1:9" x14ac:dyDescent="0.25">
      <c r="A2746">
        <v>20131017</v>
      </c>
      <c r="B2746" t="str">
        <f>"112168"</f>
        <v>112168</v>
      </c>
      <c r="C2746" t="str">
        <f>"87028"</f>
        <v>87028</v>
      </c>
      <c r="D2746" t="s">
        <v>1587</v>
      </c>
      <c r="E2746" s="1">
        <v>2411.85</v>
      </c>
      <c r="F2746">
        <v>20131010</v>
      </c>
      <c r="G2746" t="s">
        <v>413</v>
      </c>
      <c r="H2746" t="s">
        <v>1588</v>
      </c>
      <c r="I2746" t="s">
        <v>21</v>
      </c>
    </row>
    <row r="2747" spans="1:9" x14ac:dyDescent="0.25">
      <c r="A2747">
        <v>20131017</v>
      </c>
      <c r="B2747" t="str">
        <f>"112169"</f>
        <v>112169</v>
      </c>
      <c r="C2747" t="str">
        <f>"86945"</f>
        <v>86945</v>
      </c>
      <c r="D2747" t="s">
        <v>1589</v>
      </c>
      <c r="E2747">
        <v>72.55</v>
      </c>
      <c r="F2747">
        <v>20131010</v>
      </c>
      <c r="G2747" t="s">
        <v>1145</v>
      </c>
      <c r="H2747" t="s">
        <v>365</v>
      </c>
      <c r="I2747" t="s">
        <v>73</v>
      </c>
    </row>
    <row r="2748" spans="1:9" x14ac:dyDescent="0.25">
      <c r="A2748">
        <v>20131017</v>
      </c>
      <c r="B2748" t="str">
        <f>"112170"</f>
        <v>112170</v>
      </c>
      <c r="C2748" t="str">
        <f>"85190"</f>
        <v>85190</v>
      </c>
      <c r="D2748" t="s">
        <v>1590</v>
      </c>
      <c r="E2748">
        <v>262</v>
      </c>
      <c r="F2748">
        <v>20131016</v>
      </c>
      <c r="G2748" t="s">
        <v>1591</v>
      </c>
      <c r="H2748" t="s">
        <v>1592</v>
      </c>
      <c r="I2748" t="s">
        <v>25</v>
      </c>
    </row>
    <row r="2749" spans="1:9" x14ac:dyDescent="0.25">
      <c r="A2749">
        <v>20131017</v>
      </c>
      <c r="B2749" t="str">
        <f>"112171"</f>
        <v>112171</v>
      </c>
      <c r="C2749" t="str">
        <f>"30000"</f>
        <v>30000</v>
      </c>
      <c r="D2749" t="s">
        <v>556</v>
      </c>
      <c r="E2749">
        <v>9.99</v>
      </c>
      <c r="F2749">
        <v>20131011</v>
      </c>
      <c r="G2749" t="s">
        <v>581</v>
      </c>
      <c r="H2749" t="s">
        <v>1593</v>
      </c>
      <c r="I2749" t="s">
        <v>21</v>
      </c>
    </row>
    <row r="2750" spans="1:9" x14ac:dyDescent="0.25">
      <c r="A2750">
        <v>20131017</v>
      </c>
      <c r="B2750" t="str">
        <f>"112171"</f>
        <v>112171</v>
      </c>
      <c r="C2750" t="str">
        <f>"30000"</f>
        <v>30000</v>
      </c>
      <c r="D2750" t="s">
        <v>556</v>
      </c>
      <c r="E2750">
        <v>97.93</v>
      </c>
      <c r="F2750">
        <v>20131016</v>
      </c>
      <c r="G2750" t="s">
        <v>583</v>
      </c>
      <c r="H2750" t="s">
        <v>1594</v>
      </c>
      <c r="I2750" t="s">
        <v>21</v>
      </c>
    </row>
    <row r="2751" spans="1:9" x14ac:dyDescent="0.25">
      <c r="A2751">
        <v>20131017</v>
      </c>
      <c r="B2751" t="str">
        <f>"112171"</f>
        <v>112171</v>
      </c>
      <c r="C2751" t="str">
        <f>"30000"</f>
        <v>30000</v>
      </c>
      <c r="D2751" t="s">
        <v>556</v>
      </c>
      <c r="E2751">
        <v>89.99</v>
      </c>
      <c r="F2751">
        <v>20131016</v>
      </c>
      <c r="G2751" t="s">
        <v>830</v>
      </c>
      <c r="H2751" t="s">
        <v>1595</v>
      </c>
      <c r="I2751" t="s">
        <v>21</v>
      </c>
    </row>
    <row r="2752" spans="1:9" x14ac:dyDescent="0.25">
      <c r="A2752">
        <v>20131017</v>
      </c>
      <c r="B2752" t="str">
        <f>"112171"</f>
        <v>112171</v>
      </c>
      <c r="C2752" t="str">
        <f>"30000"</f>
        <v>30000</v>
      </c>
      <c r="D2752" t="s">
        <v>556</v>
      </c>
      <c r="E2752" s="1">
        <v>1425.01</v>
      </c>
      <c r="F2752">
        <v>20131016</v>
      </c>
      <c r="G2752" t="s">
        <v>935</v>
      </c>
      <c r="H2752" t="s">
        <v>1596</v>
      </c>
      <c r="I2752" t="s">
        <v>21</v>
      </c>
    </row>
    <row r="2753" spans="1:9" x14ac:dyDescent="0.25">
      <c r="A2753">
        <v>20131017</v>
      </c>
      <c r="B2753" t="str">
        <f>"112171"</f>
        <v>112171</v>
      </c>
      <c r="C2753" t="str">
        <f>"30000"</f>
        <v>30000</v>
      </c>
      <c r="D2753" t="s">
        <v>556</v>
      </c>
      <c r="E2753">
        <v>77.91</v>
      </c>
      <c r="F2753">
        <v>20131011</v>
      </c>
      <c r="G2753" t="s">
        <v>137</v>
      </c>
      <c r="H2753" t="s">
        <v>1597</v>
      </c>
      <c r="I2753" t="s">
        <v>21</v>
      </c>
    </row>
    <row r="2754" spans="1:9" x14ac:dyDescent="0.25">
      <c r="A2754">
        <v>20131017</v>
      </c>
      <c r="B2754" t="str">
        <f>"112172"</f>
        <v>112172</v>
      </c>
      <c r="C2754" t="str">
        <f>"85748"</f>
        <v>85748</v>
      </c>
      <c r="D2754" t="s">
        <v>1598</v>
      </c>
      <c r="E2754" s="1">
        <v>2000</v>
      </c>
      <c r="F2754">
        <v>20131011</v>
      </c>
      <c r="G2754" t="s">
        <v>1026</v>
      </c>
      <c r="H2754" t="s">
        <v>1599</v>
      </c>
      <c r="I2754" t="s">
        <v>21</v>
      </c>
    </row>
    <row r="2755" spans="1:9" x14ac:dyDescent="0.25">
      <c r="A2755">
        <v>20131017</v>
      </c>
      <c r="B2755" t="str">
        <f>"112173"</f>
        <v>112173</v>
      </c>
      <c r="C2755" t="str">
        <f>"85982"</f>
        <v>85982</v>
      </c>
      <c r="D2755" t="s">
        <v>1600</v>
      </c>
      <c r="E2755">
        <v>800</v>
      </c>
      <c r="F2755">
        <v>20131016</v>
      </c>
      <c r="G2755" t="s">
        <v>1150</v>
      </c>
      <c r="H2755" t="s">
        <v>1601</v>
      </c>
      <c r="I2755" t="s">
        <v>21</v>
      </c>
    </row>
    <row r="2756" spans="1:9" x14ac:dyDescent="0.25">
      <c r="A2756">
        <v>20131017</v>
      </c>
      <c r="B2756" t="str">
        <f>"112174"</f>
        <v>112174</v>
      </c>
      <c r="C2756" t="str">
        <f>"87352"</f>
        <v>87352</v>
      </c>
      <c r="D2756" t="s">
        <v>1602</v>
      </c>
      <c r="E2756" s="1">
        <v>14112</v>
      </c>
      <c r="F2756">
        <v>20131016</v>
      </c>
      <c r="G2756" t="s">
        <v>48</v>
      </c>
      <c r="H2756" t="s">
        <v>1603</v>
      </c>
      <c r="I2756" t="s">
        <v>25</v>
      </c>
    </row>
    <row r="2757" spans="1:9" x14ac:dyDescent="0.25">
      <c r="A2757">
        <v>20131017</v>
      </c>
      <c r="B2757" t="str">
        <f>"112175"</f>
        <v>112175</v>
      </c>
      <c r="C2757" t="str">
        <f>"87558"</f>
        <v>87558</v>
      </c>
      <c r="D2757" t="s">
        <v>1604</v>
      </c>
      <c r="E2757">
        <v>489</v>
      </c>
      <c r="F2757">
        <v>20131016</v>
      </c>
      <c r="G2757" t="s">
        <v>1605</v>
      </c>
      <c r="H2757" t="s">
        <v>1606</v>
      </c>
      <c r="I2757" t="s">
        <v>21</v>
      </c>
    </row>
    <row r="2758" spans="1:9" x14ac:dyDescent="0.25">
      <c r="A2758">
        <v>20131017</v>
      </c>
      <c r="B2758" t="str">
        <f>"112176"</f>
        <v>112176</v>
      </c>
      <c r="C2758" t="str">
        <f>"87495"</f>
        <v>87495</v>
      </c>
      <c r="D2758" t="s">
        <v>859</v>
      </c>
      <c r="E2758">
        <v>33.549999999999997</v>
      </c>
      <c r="F2758">
        <v>20131016</v>
      </c>
      <c r="G2758" t="s">
        <v>191</v>
      </c>
      <c r="H2758" t="s">
        <v>1607</v>
      </c>
      <c r="I2758" t="s">
        <v>25</v>
      </c>
    </row>
    <row r="2759" spans="1:9" x14ac:dyDescent="0.25">
      <c r="A2759">
        <v>20131017</v>
      </c>
      <c r="B2759" t="str">
        <f>"112177"</f>
        <v>112177</v>
      </c>
      <c r="C2759" t="str">
        <f>"86978"</f>
        <v>86978</v>
      </c>
      <c r="D2759" t="s">
        <v>1092</v>
      </c>
      <c r="E2759">
        <v>80</v>
      </c>
      <c r="F2759">
        <v>20131010</v>
      </c>
      <c r="G2759" t="s">
        <v>1093</v>
      </c>
      <c r="H2759" t="s">
        <v>765</v>
      </c>
      <c r="I2759" t="s">
        <v>61</v>
      </c>
    </row>
    <row r="2760" spans="1:9" x14ac:dyDescent="0.25">
      <c r="A2760">
        <v>20131017</v>
      </c>
      <c r="B2760" t="str">
        <f>"112177"</f>
        <v>112177</v>
      </c>
      <c r="C2760" t="str">
        <f>"86978"</f>
        <v>86978</v>
      </c>
      <c r="D2760" t="s">
        <v>1092</v>
      </c>
      <c r="E2760">
        <v>70</v>
      </c>
      <c r="F2760">
        <v>20131014</v>
      </c>
      <c r="G2760" t="s">
        <v>1093</v>
      </c>
      <c r="H2760" t="s">
        <v>765</v>
      </c>
      <c r="I2760" t="s">
        <v>61</v>
      </c>
    </row>
    <row r="2761" spans="1:9" x14ac:dyDescent="0.25">
      <c r="A2761">
        <v>20131017</v>
      </c>
      <c r="B2761" t="str">
        <f>"112178"</f>
        <v>112178</v>
      </c>
      <c r="C2761" t="str">
        <f>"83005"</f>
        <v>83005</v>
      </c>
      <c r="D2761" t="s">
        <v>1608</v>
      </c>
      <c r="E2761">
        <v>702</v>
      </c>
      <c r="F2761">
        <v>20131010</v>
      </c>
      <c r="G2761" t="s">
        <v>413</v>
      </c>
      <c r="H2761" t="s">
        <v>1609</v>
      </c>
      <c r="I2761" t="s">
        <v>21</v>
      </c>
    </row>
    <row r="2762" spans="1:9" x14ac:dyDescent="0.25">
      <c r="A2762">
        <v>20131017</v>
      </c>
      <c r="B2762" t="str">
        <f>"112179"</f>
        <v>112179</v>
      </c>
      <c r="C2762" t="str">
        <f>"87532"</f>
        <v>87532</v>
      </c>
      <c r="D2762" t="s">
        <v>1610</v>
      </c>
      <c r="E2762">
        <v>789</v>
      </c>
      <c r="F2762">
        <v>20131016</v>
      </c>
      <c r="G2762" t="s">
        <v>840</v>
      </c>
      <c r="H2762" t="s">
        <v>1611</v>
      </c>
      <c r="I2762" t="s">
        <v>21</v>
      </c>
    </row>
    <row r="2763" spans="1:9" x14ac:dyDescent="0.25">
      <c r="A2763">
        <v>20131017</v>
      </c>
      <c r="B2763" t="str">
        <f>"112180"</f>
        <v>112180</v>
      </c>
      <c r="C2763" t="str">
        <f>"36970"</f>
        <v>36970</v>
      </c>
      <c r="D2763" t="s">
        <v>1253</v>
      </c>
      <c r="E2763">
        <v>98.28</v>
      </c>
      <c r="F2763">
        <v>20131014</v>
      </c>
      <c r="G2763" t="s">
        <v>892</v>
      </c>
      <c r="H2763" t="s">
        <v>563</v>
      </c>
      <c r="I2763" t="s">
        <v>79</v>
      </c>
    </row>
    <row r="2764" spans="1:9" x14ac:dyDescent="0.25">
      <c r="A2764">
        <v>20131017</v>
      </c>
      <c r="B2764" t="str">
        <f>"112181"</f>
        <v>112181</v>
      </c>
      <c r="C2764" t="str">
        <f>"37965"</f>
        <v>37965</v>
      </c>
      <c r="D2764" t="s">
        <v>1612</v>
      </c>
      <c r="E2764">
        <v>799.87</v>
      </c>
      <c r="F2764">
        <v>20131016</v>
      </c>
      <c r="G2764" t="s">
        <v>1613</v>
      </c>
      <c r="H2764" t="s">
        <v>1614</v>
      </c>
      <c r="I2764" t="s">
        <v>21</v>
      </c>
    </row>
    <row r="2765" spans="1:9" x14ac:dyDescent="0.25">
      <c r="A2765">
        <v>20131017</v>
      </c>
      <c r="B2765" t="str">
        <f>"112182"</f>
        <v>112182</v>
      </c>
      <c r="C2765" t="str">
        <f>"87486"</f>
        <v>87486</v>
      </c>
      <c r="D2765" t="s">
        <v>1615</v>
      </c>
      <c r="E2765" s="1">
        <v>2072.67</v>
      </c>
      <c r="F2765">
        <v>20131016</v>
      </c>
      <c r="G2765" t="s">
        <v>1304</v>
      </c>
      <c r="H2765" t="s">
        <v>1616</v>
      </c>
      <c r="I2765" t="s">
        <v>21</v>
      </c>
    </row>
    <row r="2766" spans="1:9" x14ac:dyDescent="0.25">
      <c r="A2766">
        <v>20131017</v>
      </c>
      <c r="B2766" t="str">
        <f>"112183"</f>
        <v>112183</v>
      </c>
      <c r="C2766" t="str">
        <f>"81295"</f>
        <v>81295</v>
      </c>
      <c r="D2766" t="s">
        <v>1617</v>
      </c>
      <c r="E2766" s="1">
        <v>2290.5</v>
      </c>
      <c r="F2766">
        <v>20131016</v>
      </c>
      <c r="G2766" t="s">
        <v>1618</v>
      </c>
      <c r="H2766" t="s">
        <v>607</v>
      </c>
      <c r="I2766" t="s">
        <v>21</v>
      </c>
    </row>
    <row r="2767" spans="1:9" x14ac:dyDescent="0.25">
      <c r="A2767">
        <v>20131017</v>
      </c>
      <c r="B2767" t="str">
        <f>"112183"</f>
        <v>112183</v>
      </c>
      <c r="C2767" t="str">
        <f>"81295"</f>
        <v>81295</v>
      </c>
      <c r="D2767" t="s">
        <v>1617</v>
      </c>
      <c r="E2767" s="1">
        <v>2487</v>
      </c>
      <c r="F2767">
        <v>20131014</v>
      </c>
      <c r="G2767" t="s">
        <v>1619</v>
      </c>
      <c r="H2767" t="s">
        <v>607</v>
      </c>
      <c r="I2767" t="s">
        <v>21</v>
      </c>
    </row>
    <row r="2768" spans="1:9" x14ac:dyDescent="0.25">
      <c r="A2768">
        <v>20131017</v>
      </c>
      <c r="B2768" t="str">
        <f>"112184"</f>
        <v>112184</v>
      </c>
      <c r="C2768" t="str">
        <f>"85122"</f>
        <v>85122</v>
      </c>
      <c r="D2768" t="s">
        <v>1103</v>
      </c>
      <c r="E2768">
        <v>62.47</v>
      </c>
      <c r="F2768">
        <v>20131016</v>
      </c>
      <c r="G2768" t="s">
        <v>364</v>
      </c>
      <c r="H2768" t="s">
        <v>365</v>
      </c>
      <c r="I2768" t="s">
        <v>21</v>
      </c>
    </row>
    <row r="2769" spans="1:9" x14ac:dyDescent="0.25">
      <c r="A2769">
        <v>20131017</v>
      </c>
      <c r="B2769" t="str">
        <f>"112185"</f>
        <v>112185</v>
      </c>
      <c r="C2769" t="str">
        <f>"87556"</f>
        <v>87556</v>
      </c>
      <c r="D2769" t="s">
        <v>1620</v>
      </c>
      <c r="E2769">
        <v>220</v>
      </c>
      <c r="F2769">
        <v>20131015</v>
      </c>
      <c r="G2769" t="s">
        <v>347</v>
      </c>
      <c r="H2769" t="s">
        <v>361</v>
      </c>
      <c r="I2769" t="s">
        <v>61</v>
      </c>
    </row>
    <row r="2770" spans="1:9" x14ac:dyDescent="0.25">
      <c r="A2770">
        <v>20131017</v>
      </c>
      <c r="B2770" t="str">
        <f>"112186"</f>
        <v>112186</v>
      </c>
      <c r="C2770" t="str">
        <f>"86767"</f>
        <v>86767</v>
      </c>
      <c r="D2770" t="s">
        <v>1458</v>
      </c>
      <c r="E2770">
        <v>51.03</v>
      </c>
      <c r="F2770">
        <v>20131014</v>
      </c>
      <c r="G2770" t="s">
        <v>601</v>
      </c>
      <c r="H2770" t="s">
        <v>563</v>
      </c>
      <c r="I2770" t="s">
        <v>21</v>
      </c>
    </row>
    <row r="2771" spans="1:9" x14ac:dyDescent="0.25">
      <c r="A2771">
        <v>20131017</v>
      </c>
      <c r="B2771" t="str">
        <f>"112187"</f>
        <v>112187</v>
      </c>
      <c r="C2771" t="str">
        <f>"42750"</f>
        <v>42750</v>
      </c>
      <c r="D2771" t="s">
        <v>888</v>
      </c>
      <c r="E2771">
        <v>131.06</v>
      </c>
      <c r="F2771">
        <v>20131015</v>
      </c>
      <c r="G2771" t="s">
        <v>181</v>
      </c>
      <c r="H2771" t="s">
        <v>354</v>
      </c>
      <c r="I2771" t="s">
        <v>38</v>
      </c>
    </row>
    <row r="2772" spans="1:9" x14ac:dyDescent="0.25">
      <c r="A2772">
        <v>20131017</v>
      </c>
      <c r="B2772" t="str">
        <f>"112188"</f>
        <v>112188</v>
      </c>
      <c r="C2772" t="str">
        <f>"43125"</f>
        <v>43125</v>
      </c>
      <c r="D2772" t="s">
        <v>891</v>
      </c>
      <c r="E2772">
        <v>21.87</v>
      </c>
      <c r="F2772">
        <v>20131014</v>
      </c>
      <c r="G2772" t="s">
        <v>892</v>
      </c>
      <c r="H2772" t="s">
        <v>563</v>
      </c>
      <c r="I2772" t="s">
        <v>79</v>
      </c>
    </row>
    <row r="2773" spans="1:9" x14ac:dyDescent="0.25">
      <c r="A2773">
        <v>20131017</v>
      </c>
      <c r="B2773" t="str">
        <f>"112189"</f>
        <v>112189</v>
      </c>
      <c r="C2773" t="str">
        <f>"44725"</f>
        <v>44725</v>
      </c>
      <c r="D2773" t="s">
        <v>1621</v>
      </c>
      <c r="E2773">
        <v>750.34</v>
      </c>
      <c r="F2773">
        <v>20131016</v>
      </c>
      <c r="G2773" t="s">
        <v>584</v>
      </c>
      <c r="H2773" t="s">
        <v>1622</v>
      </c>
      <c r="I2773" t="s">
        <v>21</v>
      </c>
    </row>
    <row r="2774" spans="1:9" x14ac:dyDescent="0.25">
      <c r="A2774">
        <v>20131017</v>
      </c>
      <c r="B2774" t="str">
        <f>"112189"</f>
        <v>112189</v>
      </c>
      <c r="C2774" t="str">
        <f>"44725"</f>
        <v>44725</v>
      </c>
      <c r="D2774" t="s">
        <v>1621</v>
      </c>
      <c r="E2774">
        <v>672.04</v>
      </c>
      <c r="F2774">
        <v>20131011</v>
      </c>
      <c r="G2774" t="s">
        <v>1188</v>
      </c>
      <c r="H2774" t="s">
        <v>1623</v>
      </c>
      <c r="I2774" t="s">
        <v>21</v>
      </c>
    </row>
    <row r="2775" spans="1:9" x14ac:dyDescent="0.25">
      <c r="A2775">
        <v>20131017</v>
      </c>
      <c r="B2775" t="str">
        <f>"112190"</f>
        <v>112190</v>
      </c>
      <c r="C2775" t="str">
        <f>"83545"</f>
        <v>83545</v>
      </c>
      <c r="D2775" t="s">
        <v>1624</v>
      </c>
      <c r="E2775">
        <v>208.98</v>
      </c>
      <c r="F2775">
        <v>20131016</v>
      </c>
      <c r="G2775" t="s">
        <v>1167</v>
      </c>
      <c r="H2775" t="s">
        <v>1625</v>
      </c>
      <c r="I2775" t="s">
        <v>21</v>
      </c>
    </row>
    <row r="2776" spans="1:9" x14ac:dyDescent="0.25">
      <c r="A2776">
        <v>20131017</v>
      </c>
      <c r="B2776" t="str">
        <f>"112191"</f>
        <v>112191</v>
      </c>
      <c r="C2776" t="str">
        <f>"81963"</f>
        <v>81963</v>
      </c>
      <c r="D2776" t="s">
        <v>1626</v>
      </c>
      <c r="E2776">
        <v>450</v>
      </c>
      <c r="F2776">
        <v>20131015</v>
      </c>
      <c r="G2776" t="s">
        <v>347</v>
      </c>
      <c r="H2776" t="s">
        <v>361</v>
      </c>
      <c r="I2776" t="s">
        <v>61</v>
      </c>
    </row>
    <row r="2777" spans="1:9" x14ac:dyDescent="0.25">
      <c r="A2777">
        <v>20131017</v>
      </c>
      <c r="B2777" t="str">
        <f>"112192"</f>
        <v>112192</v>
      </c>
      <c r="C2777" t="str">
        <f>"81180"</f>
        <v>81180</v>
      </c>
      <c r="D2777" t="s">
        <v>1627</v>
      </c>
      <c r="E2777" s="1">
        <v>4662.9399999999996</v>
      </c>
      <c r="F2777">
        <v>20131016</v>
      </c>
      <c r="G2777" t="s">
        <v>506</v>
      </c>
      <c r="H2777" t="s">
        <v>1628</v>
      </c>
      <c r="I2777" t="s">
        <v>21</v>
      </c>
    </row>
    <row r="2778" spans="1:9" x14ac:dyDescent="0.25">
      <c r="A2778">
        <v>20131017</v>
      </c>
      <c r="B2778" t="str">
        <f>"112193"</f>
        <v>112193</v>
      </c>
      <c r="C2778" t="str">
        <f>"87557"</f>
        <v>87557</v>
      </c>
      <c r="D2778" t="s">
        <v>1629</v>
      </c>
      <c r="E2778">
        <v>122.49</v>
      </c>
      <c r="F2778">
        <v>20131016</v>
      </c>
      <c r="G2778" t="s">
        <v>1630</v>
      </c>
      <c r="H2778" t="s">
        <v>563</v>
      </c>
      <c r="I2778" t="s">
        <v>21</v>
      </c>
    </row>
    <row r="2779" spans="1:9" x14ac:dyDescent="0.25">
      <c r="A2779">
        <v>20131017</v>
      </c>
      <c r="B2779" t="str">
        <f>"112194"</f>
        <v>112194</v>
      </c>
      <c r="C2779" t="str">
        <f>"87404"</f>
        <v>87404</v>
      </c>
      <c r="D2779" t="s">
        <v>1108</v>
      </c>
      <c r="E2779">
        <v>3.39</v>
      </c>
      <c r="F2779">
        <v>20131011</v>
      </c>
      <c r="G2779" t="s">
        <v>426</v>
      </c>
      <c r="H2779" t="s">
        <v>968</v>
      </c>
      <c r="I2779" t="s">
        <v>21</v>
      </c>
    </row>
    <row r="2780" spans="1:9" x14ac:dyDescent="0.25">
      <c r="A2780">
        <v>20131017</v>
      </c>
      <c r="B2780" t="str">
        <f>"112195"</f>
        <v>112195</v>
      </c>
      <c r="C2780" t="str">
        <f>"49832"</f>
        <v>49832</v>
      </c>
      <c r="D2780" t="s">
        <v>1631</v>
      </c>
      <c r="E2780" s="1">
        <v>73840.38</v>
      </c>
      <c r="F2780">
        <v>20131016</v>
      </c>
      <c r="G2780" t="s">
        <v>568</v>
      </c>
      <c r="H2780" t="s">
        <v>1632</v>
      </c>
      <c r="I2780" t="s">
        <v>21</v>
      </c>
    </row>
    <row r="2781" spans="1:9" x14ac:dyDescent="0.25">
      <c r="A2781">
        <v>20131017</v>
      </c>
      <c r="B2781" t="str">
        <f>"112196"</f>
        <v>112196</v>
      </c>
      <c r="C2781" t="str">
        <f>"86598"</f>
        <v>86598</v>
      </c>
      <c r="D2781" t="s">
        <v>1633</v>
      </c>
      <c r="E2781">
        <v>128.94999999999999</v>
      </c>
      <c r="F2781">
        <v>20131016</v>
      </c>
      <c r="G2781" t="s">
        <v>1591</v>
      </c>
      <c r="H2781" t="s">
        <v>354</v>
      </c>
      <c r="I2781" t="s">
        <v>25</v>
      </c>
    </row>
    <row r="2782" spans="1:9" x14ac:dyDescent="0.25">
      <c r="A2782">
        <v>20131017</v>
      </c>
      <c r="B2782" t="str">
        <f>"112197"</f>
        <v>112197</v>
      </c>
      <c r="C2782" t="str">
        <f>"84193"</f>
        <v>84193</v>
      </c>
      <c r="D2782" t="s">
        <v>1110</v>
      </c>
      <c r="E2782">
        <v>49.01</v>
      </c>
      <c r="F2782">
        <v>20131010</v>
      </c>
      <c r="G2782" t="s">
        <v>562</v>
      </c>
      <c r="H2782" t="s">
        <v>563</v>
      </c>
      <c r="I2782" t="s">
        <v>21</v>
      </c>
    </row>
    <row r="2783" spans="1:9" x14ac:dyDescent="0.25">
      <c r="A2783">
        <v>20131017</v>
      </c>
      <c r="B2783" t="str">
        <f>"112198"</f>
        <v>112198</v>
      </c>
      <c r="C2783" t="str">
        <f>"85231"</f>
        <v>85231</v>
      </c>
      <c r="D2783" t="s">
        <v>914</v>
      </c>
      <c r="E2783">
        <v>297.14</v>
      </c>
      <c r="F2783">
        <v>20131016</v>
      </c>
      <c r="G2783" t="s">
        <v>194</v>
      </c>
      <c r="H2783" t="s">
        <v>354</v>
      </c>
      <c r="I2783" t="s">
        <v>25</v>
      </c>
    </row>
    <row r="2784" spans="1:9" x14ac:dyDescent="0.25">
      <c r="A2784">
        <v>20131017</v>
      </c>
      <c r="B2784" t="str">
        <f>"112199"</f>
        <v>112199</v>
      </c>
      <c r="C2784" t="str">
        <f>"85770"</f>
        <v>85770</v>
      </c>
      <c r="D2784" t="s">
        <v>363</v>
      </c>
      <c r="E2784">
        <v>55.46</v>
      </c>
      <c r="F2784">
        <v>20131016</v>
      </c>
      <c r="G2784" t="s">
        <v>364</v>
      </c>
      <c r="H2784" t="s">
        <v>365</v>
      </c>
      <c r="I2784" t="s">
        <v>21</v>
      </c>
    </row>
    <row r="2785" spans="1:9" x14ac:dyDescent="0.25">
      <c r="A2785">
        <v>20131017</v>
      </c>
      <c r="B2785" t="str">
        <f>"112200"</f>
        <v>112200</v>
      </c>
      <c r="C2785" t="str">
        <f>"84249"</f>
        <v>84249</v>
      </c>
      <c r="D2785" t="s">
        <v>1111</v>
      </c>
      <c r="E2785">
        <v>100</v>
      </c>
      <c r="F2785">
        <v>20131015</v>
      </c>
      <c r="G2785" t="s">
        <v>181</v>
      </c>
      <c r="H2785" t="s">
        <v>354</v>
      </c>
      <c r="I2785" t="s">
        <v>38</v>
      </c>
    </row>
    <row r="2786" spans="1:9" x14ac:dyDescent="0.25">
      <c r="A2786">
        <v>20131017</v>
      </c>
      <c r="B2786" t="str">
        <f>"112201"</f>
        <v>112201</v>
      </c>
      <c r="C2786" t="str">
        <f>"83501"</f>
        <v>83501</v>
      </c>
      <c r="D2786" t="s">
        <v>1634</v>
      </c>
      <c r="E2786">
        <v>25</v>
      </c>
      <c r="F2786">
        <v>20131016</v>
      </c>
      <c r="G2786" t="s">
        <v>1635</v>
      </c>
      <c r="H2786" t="s">
        <v>1636</v>
      </c>
      <c r="I2786" t="s">
        <v>21</v>
      </c>
    </row>
    <row r="2787" spans="1:9" x14ac:dyDescent="0.25">
      <c r="A2787">
        <v>20131017</v>
      </c>
      <c r="B2787" t="str">
        <f>"112202"</f>
        <v>112202</v>
      </c>
      <c r="C2787" t="str">
        <f>"87096"</f>
        <v>87096</v>
      </c>
      <c r="D2787" t="s">
        <v>1637</v>
      </c>
      <c r="E2787">
        <v>145</v>
      </c>
      <c r="F2787">
        <v>20131016</v>
      </c>
      <c r="G2787" t="s">
        <v>1638</v>
      </c>
      <c r="H2787" t="s">
        <v>357</v>
      </c>
      <c r="I2787" t="s">
        <v>21</v>
      </c>
    </row>
    <row r="2788" spans="1:9" x14ac:dyDescent="0.25">
      <c r="A2788">
        <v>20131017</v>
      </c>
      <c r="B2788" t="str">
        <f>"112203"</f>
        <v>112203</v>
      </c>
      <c r="C2788" t="str">
        <f>"55625"</f>
        <v>55625</v>
      </c>
      <c r="D2788" t="s">
        <v>1639</v>
      </c>
      <c r="E2788">
        <v>195.2</v>
      </c>
      <c r="F2788">
        <v>20131015</v>
      </c>
      <c r="G2788" t="s">
        <v>1640</v>
      </c>
      <c r="H2788" t="s">
        <v>414</v>
      </c>
      <c r="I2788" t="s">
        <v>21</v>
      </c>
    </row>
    <row r="2789" spans="1:9" x14ac:dyDescent="0.25">
      <c r="A2789">
        <v>20131017</v>
      </c>
      <c r="B2789" t="str">
        <f>"112204"</f>
        <v>112204</v>
      </c>
      <c r="C2789" t="str">
        <f>"55795"</f>
        <v>55795</v>
      </c>
      <c r="D2789" t="s">
        <v>931</v>
      </c>
      <c r="E2789">
        <v>175.27</v>
      </c>
      <c r="F2789">
        <v>20131016</v>
      </c>
      <c r="G2789" t="s">
        <v>1235</v>
      </c>
      <c r="H2789" t="s">
        <v>365</v>
      </c>
      <c r="I2789" t="s">
        <v>79</v>
      </c>
    </row>
    <row r="2790" spans="1:9" x14ac:dyDescent="0.25">
      <c r="A2790">
        <v>20131017</v>
      </c>
      <c r="B2790" t="str">
        <f>"112204"</f>
        <v>112204</v>
      </c>
      <c r="C2790" t="str">
        <f>"55795"</f>
        <v>55795</v>
      </c>
      <c r="D2790" t="s">
        <v>931</v>
      </c>
      <c r="E2790">
        <v>57.57</v>
      </c>
      <c r="F2790">
        <v>20131016</v>
      </c>
      <c r="G2790" t="s">
        <v>1235</v>
      </c>
      <c r="H2790" t="s">
        <v>365</v>
      </c>
      <c r="I2790" t="s">
        <v>79</v>
      </c>
    </row>
    <row r="2791" spans="1:9" x14ac:dyDescent="0.25">
      <c r="A2791">
        <v>20131017</v>
      </c>
      <c r="B2791" t="str">
        <f>"112205"</f>
        <v>112205</v>
      </c>
      <c r="C2791" t="str">
        <f>"00151"</f>
        <v>00151</v>
      </c>
      <c r="D2791" t="s">
        <v>1641</v>
      </c>
      <c r="E2791">
        <v>260</v>
      </c>
      <c r="F2791">
        <v>20131016</v>
      </c>
      <c r="G2791" t="s">
        <v>971</v>
      </c>
      <c r="H2791" t="s">
        <v>1642</v>
      </c>
      <c r="I2791" t="s">
        <v>21</v>
      </c>
    </row>
    <row r="2792" spans="1:9" x14ac:dyDescent="0.25">
      <c r="A2792">
        <v>20131017</v>
      </c>
      <c r="B2792" t="str">
        <f>"112206"</f>
        <v>112206</v>
      </c>
      <c r="C2792" t="str">
        <f>"86946"</f>
        <v>86946</v>
      </c>
      <c r="D2792" t="s">
        <v>933</v>
      </c>
      <c r="E2792">
        <v>162.91</v>
      </c>
      <c r="F2792">
        <v>20131015</v>
      </c>
      <c r="G2792" t="s">
        <v>36</v>
      </c>
      <c r="H2792" t="s">
        <v>354</v>
      </c>
      <c r="I2792" t="s">
        <v>38</v>
      </c>
    </row>
    <row r="2793" spans="1:9" x14ac:dyDescent="0.25">
      <c r="A2793">
        <v>20131017</v>
      </c>
      <c r="B2793" t="str">
        <f>"112206"</f>
        <v>112206</v>
      </c>
      <c r="C2793" t="str">
        <f>"86946"</f>
        <v>86946</v>
      </c>
      <c r="D2793" t="s">
        <v>933</v>
      </c>
      <c r="E2793">
        <v>83</v>
      </c>
      <c r="F2793">
        <v>20131015</v>
      </c>
      <c r="G2793" t="s">
        <v>36</v>
      </c>
      <c r="H2793" t="s">
        <v>354</v>
      </c>
      <c r="I2793" t="s">
        <v>38</v>
      </c>
    </row>
    <row r="2794" spans="1:9" x14ac:dyDescent="0.25">
      <c r="A2794">
        <v>20131017</v>
      </c>
      <c r="B2794" t="str">
        <f>"112207"</f>
        <v>112207</v>
      </c>
      <c r="C2794" t="str">
        <f>"58385"</f>
        <v>58385</v>
      </c>
      <c r="D2794" t="s">
        <v>1643</v>
      </c>
      <c r="E2794">
        <v>81.93</v>
      </c>
      <c r="F2794">
        <v>20131010</v>
      </c>
      <c r="G2794" t="s">
        <v>1644</v>
      </c>
      <c r="H2794" t="s">
        <v>1645</v>
      </c>
      <c r="I2794" t="s">
        <v>38</v>
      </c>
    </row>
    <row r="2795" spans="1:9" x14ac:dyDescent="0.25">
      <c r="A2795">
        <v>20131017</v>
      </c>
      <c r="B2795" t="str">
        <f>"112208"</f>
        <v>112208</v>
      </c>
      <c r="C2795" t="str">
        <f>"86964"</f>
        <v>86964</v>
      </c>
      <c r="D2795" t="s">
        <v>1280</v>
      </c>
      <c r="E2795" s="1">
        <v>23128.799999999999</v>
      </c>
      <c r="F2795">
        <v>20131016</v>
      </c>
      <c r="G2795" t="s">
        <v>1067</v>
      </c>
      <c r="H2795" t="s">
        <v>1646</v>
      </c>
      <c r="I2795" t="s">
        <v>21</v>
      </c>
    </row>
    <row r="2796" spans="1:9" x14ac:dyDescent="0.25">
      <c r="A2796">
        <v>20131017</v>
      </c>
      <c r="B2796" t="str">
        <f>"112209"</f>
        <v>112209</v>
      </c>
      <c r="C2796" t="str">
        <f>"87330"</f>
        <v>87330</v>
      </c>
      <c r="D2796" t="s">
        <v>671</v>
      </c>
      <c r="E2796" s="1">
        <v>1225</v>
      </c>
      <c r="F2796">
        <v>20131011</v>
      </c>
      <c r="G2796" t="s">
        <v>672</v>
      </c>
      <c r="H2796" t="s">
        <v>1647</v>
      </c>
      <c r="I2796" t="s">
        <v>21</v>
      </c>
    </row>
    <row r="2797" spans="1:9" x14ac:dyDescent="0.25">
      <c r="A2797">
        <v>20131017</v>
      </c>
      <c r="B2797" t="str">
        <f>"112210"</f>
        <v>112210</v>
      </c>
      <c r="C2797" t="str">
        <f>"59725"</f>
        <v>59725</v>
      </c>
      <c r="D2797" t="s">
        <v>674</v>
      </c>
      <c r="E2797">
        <v>43.96</v>
      </c>
      <c r="F2797">
        <v>20131010</v>
      </c>
      <c r="G2797" t="s">
        <v>496</v>
      </c>
      <c r="H2797" t="s">
        <v>414</v>
      </c>
      <c r="I2797" t="s">
        <v>21</v>
      </c>
    </row>
    <row r="2798" spans="1:9" x14ac:dyDescent="0.25">
      <c r="A2798">
        <v>20131017</v>
      </c>
      <c r="B2798" t="str">
        <f>"112210"</f>
        <v>112210</v>
      </c>
      <c r="C2798" t="str">
        <f>"59725"</f>
        <v>59725</v>
      </c>
      <c r="D2798" t="s">
        <v>674</v>
      </c>
      <c r="E2798">
        <v>25.98</v>
      </c>
      <c r="F2798">
        <v>20131010</v>
      </c>
      <c r="G2798" t="s">
        <v>415</v>
      </c>
      <c r="H2798" t="s">
        <v>414</v>
      </c>
      <c r="I2798" t="s">
        <v>21</v>
      </c>
    </row>
    <row r="2799" spans="1:9" x14ac:dyDescent="0.25">
      <c r="A2799">
        <v>20131017</v>
      </c>
      <c r="B2799" t="str">
        <f>"112210"</f>
        <v>112210</v>
      </c>
      <c r="C2799" t="str">
        <f>"59725"</f>
        <v>59725</v>
      </c>
      <c r="D2799" t="s">
        <v>674</v>
      </c>
      <c r="E2799">
        <v>6.49</v>
      </c>
      <c r="F2799">
        <v>20131010</v>
      </c>
      <c r="G2799" t="s">
        <v>530</v>
      </c>
      <c r="H2799" t="s">
        <v>414</v>
      </c>
      <c r="I2799" t="s">
        <v>21</v>
      </c>
    </row>
    <row r="2800" spans="1:9" x14ac:dyDescent="0.25">
      <c r="A2800">
        <v>20131017</v>
      </c>
      <c r="B2800" t="str">
        <f>"112211"</f>
        <v>112211</v>
      </c>
      <c r="C2800" t="str">
        <f>"84225"</f>
        <v>84225</v>
      </c>
      <c r="D2800" t="s">
        <v>676</v>
      </c>
      <c r="E2800">
        <v>100</v>
      </c>
      <c r="F2800">
        <v>20131010</v>
      </c>
      <c r="G2800" t="s">
        <v>1079</v>
      </c>
      <c r="H2800" t="s">
        <v>1648</v>
      </c>
      <c r="I2800" t="s">
        <v>21</v>
      </c>
    </row>
    <row r="2801" spans="1:9" x14ac:dyDescent="0.25">
      <c r="A2801">
        <v>20131017</v>
      </c>
      <c r="B2801" t="str">
        <f>"112211"</f>
        <v>112211</v>
      </c>
      <c r="C2801" t="str">
        <f>"84225"</f>
        <v>84225</v>
      </c>
      <c r="D2801" t="s">
        <v>676</v>
      </c>
      <c r="E2801">
        <v>100</v>
      </c>
      <c r="F2801">
        <v>20131016</v>
      </c>
      <c r="G2801" t="s">
        <v>1649</v>
      </c>
      <c r="H2801" t="s">
        <v>1650</v>
      </c>
      <c r="I2801" t="s">
        <v>21</v>
      </c>
    </row>
    <row r="2802" spans="1:9" x14ac:dyDescent="0.25">
      <c r="A2802">
        <v>20131017</v>
      </c>
      <c r="B2802" t="str">
        <f>"112212"</f>
        <v>112212</v>
      </c>
      <c r="C2802" t="str">
        <f>"87027"</f>
        <v>87027</v>
      </c>
      <c r="D2802" t="s">
        <v>941</v>
      </c>
      <c r="E2802">
        <v>130.85</v>
      </c>
      <c r="F2802">
        <v>20131014</v>
      </c>
      <c r="G2802" t="s">
        <v>774</v>
      </c>
      <c r="H2802" t="s">
        <v>765</v>
      </c>
      <c r="I2802" t="s">
        <v>61</v>
      </c>
    </row>
    <row r="2803" spans="1:9" x14ac:dyDescent="0.25">
      <c r="A2803">
        <v>20131017</v>
      </c>
      <c r="B2803" t="str">
        <f>"112213"</f>
        <v>112213</v>
      </c>
      <c r="C2803" t="str">
        <f>"83945"</f>
        <v>83945</v>
      </c>
      <c r="D2803" t="s">
        <v>1651</v>
      </c>
      <c r="E2803">
        <v>39.9</v>
      </c>
      <c r="F2803">
        <v>20131016</v>
      </c>
      <c r="G2803" t="s">
        <v>581</v>
      </c>
      <c r="H2803" t="s">
        <v>1652</v>
      </c>
      <c r="I2803" t="s">
        <v>21</v>
      </c>
    </row>
    <row r="2804" spans="1:9" x14ac:dyDescent="0.25">
      <c r="A2804">
        <v>20131017</v>
      </c>
      <c r="B2804" t="str">
        <f>"112214"</f>
        <v>112214</v>
      </c>
      <c r="C2804" t="str">
        <f>"00034"</f>
        <v>00034</v>
      </c>
      <c r="D2804" t="s">
        <v>1653</v>
      </c>
      <c r="E2804" s="1">
        <v>3221.7</v>
      </c>
      <c r="F2804">
        <v>20131011</v>
      </c>
      <c r="G2804" t="s">
        <v>392</v>
      </c>
      <c r="H2804" t="s">
        <v>1654</v>
      </c>
      <c r="I2804" t="s">
        <v>21</v>
      </c>
    </row>
    <row r="2805" spans="1:9" x14ac:dyDescent="0.25">
      <c r="A2805">
        <v>20131017</v>
      </c>
      <c r="B2805" t="str">
        <f>"112215"</f>
        <v>112215</v>
      </c>
      <c r="C2805" t="str">
        <f>"81382"</f>
        <v>81382</v>
      </c>
      <c r="D2805" t="s">
        <v>1655</v>
      </c>
      <c r="E2805">
        <v>631.42999999999995</v>
      </c>
      <c r="F2805">
        <v>20131016</v>
      </c>
      <c r="G2805" t="s">
        <v>1656</v>
      </c>
      <c r="H2805" t="s">
        <v>1657</v>
      </c>
      <c r="I2805" t="s">
        <v>66</v>
      </c>
    </row>
    <row r="2806" spans="1:9" x14ac:dyDescent="0.25">
      <c r="A2806">
        <v>20131017</v>
      </c>
      <c r="B2806" t="str">
        <f>"112216"</f>
        <v>112216</v>
      </c>
      <c r="C2806" t="str">
        <f>"87288"</f>
        <v>87288</v>
      </c>
      <c r="D2806" t="s">
        <v>1137</v>
      </c>
      <c r="E2806">
        <v>100</v>
      </c>
      <c r="F2806">
        <v>20131010</v>
      </c>
      <c r="G2806" t="s">
        <v>496</v>
      </c>
      <c r="H2806" t="s">
        <v>414</v>
      </c>
      <c r="I2806" t="s">
        <v>21</v>
      </c>
    </row>
    <row r="2807" spans="1:9" x14ac:dyDescent="0.25">
      <c r="A2807">
        <v>20131017</v>
      </c>
      <c r="B2807" t="str">
        <f>"112217"</f>
        <v>112217</v>
      </c>
      <c r="C2807" t="str">
        <f>"85523"</f>
        <v>85523</v>
      </c>
      <c r="D2807" t="s">
        <v>1658</v>
      </c>
      <c r="E2807">
        <v>50.62</v>
      </c>
      <c r="F2807">
        <v>20131015</v>
      </c>
      <c r="G2807" t="s">
        <v>36</v>
      </c>
      <c r="H2807" t="s">
        <v>354</v>
      </c>
      <c r="I2807" t="s">
        <v>38</v>
      </c>
    </row>
    <row r="2808" spans="1:9" x14ac:dyDescent="0.25">
      <c r="A2808">
        <v>20131017</v>
      </c>
      <c r="B2808" t="str">
        <f>"112218"</f>
        <v>112218</v>
      </c>
      <c r="C2808" t="str">
        <f>"00743"</f>
        <v>00743</v>
      </c>
      <c r="D2808" t="s">
        <v>1659</v>
      </c>
      <c r="E2808">
        <v>460</v>
      </c>
      <c r="F2808">
        <v>20131016</v>
      </c>
      <c r="G2808" t="s">
        <v>1660</v>
      </c>
      <c r="H2808" t="s">
        <v>679</v>
      </c>
      <c r="I2808" t="s">
        <v>38</v>
      </c>
    </row>
    <row r="2809" spans="1:9" x14ac:dyDescent="0.25">
      <c r="A2809">
        <v>20131017</v>
      </c>
      <c r="B2809" t="str">
        <f>"112219"</f>
        <v>112219</v>
      </c>
      <c r="C2809" t="str">
        <f>"82845"</f>
        <v>82845</v>
      </c>
      <c r="D2809" t="s">
        <v>1146</v>
      </c>
      <c r="E2809">
        <v>418</v>
      </c>
      <c r="F2809">
        <v>20131016</v>
      </c>
      <c r="G2809" t="s">
        <v>1147</v>
      </c>
      <c r="H2809" t="s">
        <v>1309</v>
      </c>
      <c r="I2809" t="s">
        <v>21</v>
      </c>
    </row>
    <row r="2810" spans="1:9" x14ac:dyDescent="0.25">
      <c r="A2810">
        <v>20131017</v>
      </c>
      <c r="B2810" t="str">
        <f>"112220"</f>
        <v>112220</v>
      </c>
      <c r="C2810" t="str">
        <f>"68960"</f>
        <v>68960</v>
      </c>
      <c r="D2810" t="s">
        <v>689</v>
      </c>
      <c r="E2810">
        <v>130</v>
      </c>
      <c r="F2810">
        <v>20131014</v>
      </c>
      <c r="G2810" t="s">
        <v>1030</v>
      </c>
      <c r="H2810" t="s">
        <v>357</v>
      </c>
      <c r="I2810" t="s">
        <v>63</v>
      </c>
    </row>
    <row r="2811" spans="1:9" x14ac:dyDescent="0.25">
      <c r="A2811">
        <v>20131017</v>
      </c>
      <c r="B2811" t="str">
        <f>"112221"</f>
        <v>112221</v>
      </c>
      <c r="C2811" t="str">
        <f>"86376"</f>
        <v>86376</v>
      </c>
      <c r="D2811" t="s">
        <v>1661</v>
      </c>
      <c r="E2811">
        <v>567.5</v>
      </c>
      <c r="F2811">
        <v>20131016</v>
      </c>
      <c r="G2811" t="s">
        <v>840</v>
      </c>
      <c r="H2811" t="s">
        <v>1662</v>
      </c>
      <c r="I2811" t="s">
        <v>21</v>
      </c>
    </row>
    <row r="2812" spans="1:9" x14ac:dyDescent="0.25">
      <c r="A2812">
        <v>20131017</v>
      </c>
      <c r="B2812" t="str">
        <f>"112222"</f>
        <v>112222</v>
      </c>
      <c r="C2812" t="str">
        <f>"87485"</f>
        <v>87485</v>
      </c>
      <c r="D2812" t="s">
        <v>1663</v>
      </c>
      <c r="E2812" s="1">
        <v>12060</v>
      </c>
      <c r="F2812">
        <v>20131016</v>
      </c>
      <c r="G2812" t="s">
        <v>1019</v>
      </c>
      <c r="H2812" t="s">
        <v>1664</v>
      </c>
      <c r="I2812" t="s">
        <v>131</v>
      </c>
    </row>
    <row r="2813" spans="1:9" x14ac:dyDescent="0.25">
      <c r="A2813">
        <v>20131017</v>
      </c>
      <c r="B2813" t="str">
        <f t="shared" ref="B2813:B2821" si="205">"112223"</f>
        <v>112223</v>
      </c>
      <c r="C2813" t="str">
        <f t="shared" ref="C2813:C2821" si="206">"69350"</f>
        <v>69350</v>
      </c>
      <c r="D2813" t="s">
        <v>1665</v>
      </c>
      <c r="E2813">
        <v>96.9</v>
      </c>
      <c r="F2813">
        <v>20131016</v>
      </c>
      <c r="G2813" t="s">
        <v>473</v>
      </c>
      <c r="H2813" t="s">
        <v>1666</v>
      </c>
      <c r="I2813" t="s">
        <v>21</v>
      </c>
    </row>
    <row r="2814" spans="1:9" x14ac:dyDescent="0.25">
      <c r="A2814">
        <v>20131017</v>
      </c>
      <c r="B2814" t="str">
        <f t="shared" si="205"/>
        <v>112223</v>
      </c>
      <c r="C2814" t="str">
        <f t="shared" si="206"/>
        <v>69350</v>
      </c>
      <c r="D2814" t="s">
        <v>1665</v>
      </c>
      <c r="E2814">
        <v>19.38</v>
      </c>
      <c r="F2814">
        <v>20131016</v>
      </c>
      <c r="G2814" t="s">
        <v>475</v>
      </c>
      <c r="H2814" t="s">
        <v>1666</v>
      </c>
      <c r="I2814" t="s">
        <v>21</v>
      </c>
    </row>
    <row r="2815" spans="1:9" x14ac:dyDescent="0.25">
      <c r="A2815">
        <v>20131017</v>
      </c>
      <c r="B2815" t="str">
        <f t="shared" si="205"/>
        <v>112223</v>
      </c>
      <c r="C2815" t="str">
        <f t="shared" si="206"/>
        <v>69350</v>
      </c>
      <c r="D2815" t="s">
        <v>1665</v>
      </c>
      <c r="E2815">
        <v>38.76</v>
      </c>
      <c r="F2815">
        <v>20131016</v>
      </c>
      <c r="G2815" t="s">
        <v>476</v>
      </c>
      <c r="H2815" t="s">
        <v>1666</v>
      </c>
      <c r="I2815" t="s">
        <v>21</v>
      </c>
    </row>
    <row r="2816" spans="1:9" x14ac:dyDescent="0.25">
      <c r="A2816">
        <v>20131017</v>
      </c>
      <c r="B2816" t="str">
        <f t="shared" si="205"/>
        <v>112223</v>
      </c>
      <c r="C2816" t="str">
        <f t="shared" si="206"/>
        <v>69350</v>
      </c>
      <c r="D2816" t="s">
        <v>1665</v>
      </c>
      <c r="E2816">
        <v>48.45</v>
      </c>
      <c r="F2816">
        <v>20131016</v>
      </c>
      <c r="G2816" t="s">
        <v>477</v>
      </c>
      <c r="H2816" t="s">
        <v>1666</v>
      </c>
      <c r="I2816" t="s">
        <v>21</v>
      </c>
    </row>
    <row r="2817" spans="1:9" x14ac:dyDescent="0.25">
      <c r="A2817">
        <v>20131017</v>
      </c>
      <c r="B2817" t="str">
        <f t="shared" si="205"/>
        <v>112223</v>
      </c>
      <c r="C2817" t="str">
        <f t="shared" si="206"/>
        <v>69350</v>
      </c>
      <c r="D2817" t="s">
        <v>1665</v>
      </c>
      <c r="E2817">
        <v>38.76</v>
      </c>
      <c r="F2817">
        <v>20131016</v>
      </c>
      <c r="G2817" t="s">
        <v>479</v>
      </c>
      <c r="H2817" t="s">
        <v>1666</v>
      </c>
      <c r="I2817" t="s">
        <v>21</v>
      </c>
    </row>
    <row r="2818" spans="1:9" x14ac:dyDescent="0.25">
      <c r="A2818">
        <v>20131017</v>
      </c>
      <c r="B2818" t="str">
        <f t="shared" si="205"/>
        <v>112223</v>
      </c>
      <c r="C2818" t="str">
        <f t="shared" si="206"/>
        <v>69350</v>
      </c>
      <c r="D2818" t="s">
        <v>1665</v>
      </c>
      <c r="E2818">
        <v>38.76</v>
      </c>
      <c r="F2818">
        <v>20131016</v>
      </c>
      <c r="G2818" t="s">
        <v>480</v>
      </c>
      <c r="H2818" t="s">
        <v>1666</v>
      </c>
      <c r="I2818" t="s">
        <v>21</v>
      </c>
    </row>
    <row r="2819" spans="1:9" x14ac:dyDescent="0.25">
      <c r="A2819">
        <v>20131017</v>
      </c>
      <c r="B2819" t="str">
        <f t="shared" si="205"/>
        <v>112223</v>
      </c>
      <c r="C2819" t="str">
        <f t="shared" si="206"/>
        <v>69350</v>
      </c>
      <c r="D2819" t="s">
        <v>1665</v>
      </c>
      <c r="E2819">
        <v>25.84</v>
      </c>
      <c r="F2819">
        <v>20131016</v>
      </c>
      <c r="G2819" t="s">
        <v>481</v>
      </c>
      <c r="H2819" t="s">
        <v>1666</v>
      </c>
      <c r="I2819" t="s">
        <v>21</v>
      </c>
    </row>
    <row r="2820" spans="1:9" x14ac:dyDescent="0.25">
      <c r="A2820">
        <v>20131017</v>
      </c>
      <c r="B2820" t="str">
        <f t="shared" si="205"/>
        <v>112223</v>
      </c>
      <c r="C2820" t="str">
        <f t="shared" si="206"/>
        <v>69350</v>
      </c>
      <c r="D2820" t="s">
        <v>1665</v>
      </c>
      <c r="E2820">
        <v>33.07</v>
      </c>
      <c r="F2820">
        <v>20131016</v>
      </c>
      <c r="G2820" t="s">
        <v>482</v>
      </c>
      <c r="H2820" t="s">
        <v>1667</v>
      </c>
      <c r="I2820" t="s">
        <v>21</v>
      </c>
    </row>
    <row r="2821" spans="1:9" x14ac:dyDescent="0.25">
      <c r="A2821">
        <v>20131017</v>
      </c>
      <c r="B2821" t="str">
        <f t="shared" si="205"/>
        <v>112223</v>
      </c>
      <c r="C2821" t="str">
        <f t="shared" si="206"/>
        <v>69350</v>
      </c>
      <c r="D2821" t="s">
        <v>1665</v>
      </c>
      <c r="E2821">
        <v>12.92</v>
      </c>
      <c r="F2821">
        <v>20131016</v>
      </c>
      <c r="G2821" t="s">
        <v>483</v>
      </c>
      <c r="H2821" t="s">
        <v>1666</v>
      </c>
      <c r="I2821" t="s">
        <v>21</v>
      </c>
    </row>
    <row r="2822" spans="1:9" x14ac:dyDescent="0.25">
      <c r="A2822">
        <v>20131017</v>
      </c>
      <c r="B2822" t="str">
        <f>"112224"</f>
        <v>112224</v>
      </c>
      <c r="C2822" t="str">
        <f>"87394"</f>
        <v>87394</v>
      </c>
      <c r="D2822" t="s">
        <v>1668</v>
      </c>
      <c r="E2822">
        <v>485</v>
      </c>
      <c r="F2822">
        <v>20131010</v>
      </c>
      <c r="G2822" t="s">
        <v>1033</v>
      </c>
      <c r="H2822" t="s">
        <v>1054</v>
      </c>
      <c r="I2822" t="s">
        <v>21</v>
      </c>
    </row>
    <row r="2823" spans="1:9" x14ac:dyDescent="0.25">
      <c r="A2823">
        <v>20131017</v>
      </c>
      <c r="B2823" t="str">
        <f>"112225"</f>
        <v>112225</v>
      </c>
      <c r="C2823" t="str">
        <f>"69940"</f>
        <v>69940</v>
      </c>
      <c r="D2823" t="s">
        <v>1156</v>
      </c>
      <c r="E2823">
        <v>120</v>
      </c>
      <c r="F2823">
        <v>20131016</v>
      </c>
      <c r="G2823" t="s">
        <v>840</v>
      </c>
      <c r="H2823" t="s">
        <v>1669</v>
      </c>
      <c r="I2823" t="s">
        <v>21</v>
      </c>
    </row>
    <row r="2824" spans="1:9" x14ac:dyDescent="0.25">
      <c r="A2824">
        <v>20131017</v>
      </c>
      <c r="B2824" t="str">
        <f>"112226"</f>
        <v>112226</v>
      </c>
      <c r="C2824" t="str">
        <f>"70660"</f>
        <v>70660</v>
      </c>
      <c r="D2824" t="s">
        <v>1670</v>
      </c>
      <c r="E2824">
        <v>225</v>
      </c>
      <c r="F2824">
        <v>20131016</v>
      </c>
      <c r="G2824" t="s">
        <v>1026</v>
      </c>
      <c r="H2824" t="s">
        <v>954</v>
      </c>
      <c r="I2824" t="s">
        <v>21</v>
      </c>
    </row>
    <row r="2825" spans="1:9" x14ac:dyDescent="0.25">
      <c r="A2825">
        <v>20131017</v>
      </c>
      <c r="B2825" t="str">
        <f>"112226"</f>
        <v>112226</v>
      </c>
      <c r="C2825" t="str">
        <f>"70660"</f>
        <v>70660</v>
      </c>
      <c r="D2825" t="s">
        <v>1670</v>
      </c>
      <c r="E2825">
        <v>450</v>
      </c>
      <c r="F2825">
        <v>20131016</v>
      </c>
      <c r="G2825" t="s">
        <v>1145</v>
      </c>
      <c r="H2825" t="s">
        <v>954</v>
      </c>
      <c r="I2825" t="s">
        <v>73</v>
      </c>
    </row>
    <row r="2826" spans="1:9" x14ac:dyDescent="0.25">
      <c r="A2826">
        <v>20131017</v>
      </c>
      <c r="B2826" t="str">
        <f>"112227"</f>
        <v>112227</v>
      </c>
      <c r="C2826" t="str">
        <f>"00332"</f>
        <v>00332</v>
      </c>
      <c r="D2826" t="s">
        <v>1160</v>
      </c>
      <c r="E2826" s="1">
        <v>1081</v>
      </c>
      <c r="F2826">
        <v>20131016</v>
      </c>
      <c r="G2826" t="s">
        <v>367</v>
      </c>
      <c r="H2826" t="s">
        <v>1161</v>
      </c>
      <c r="I2826" t="s">
        <v>21</v>
      </c>
    </row>
    <row r="2827" spans="1:9" x14ac:dyDescent="0.25">
      <c r="A2827">
        <v>20131017</v>
      </c>
      <c r="B2827" t="str">
        <f>"112228"</f>
        <v>112228</v>
      </c>
      <c r="C2827" t="str">
        <f>"87510"</f>
        <v>87510</v>
      </c>
      <c r="D2827" t="s">
        <v>1671</v>
      </c>
      <c r="E2827">
        <v>200.55</v>
      </c>
      <c r="F2827">
        <v>20131011</v>
      </c>
      <c r="G2827" t="s">
        <v>1672</v>
      </c>
      <c r="H2827" t="s">
        <v>1673</v>
      </c>
      <c r="I2827" t="s">
        <v>21</v>
      </c>
    </row>
    <row r="2828" spans="1:9" x14ac:dyDescent="0.25">
      <c r="A2828">
        <v>20131017</v>
      </c>
      <c r="B2828" t="str">
        <f>"112229"</f>
        <v>112229</v>
      </c>
      <c r="C2828" t="str">
        <f>"00264"</f>
        <v>00264</v>
      </c>
      <c r="D2828" t="s">
        <v>1674</v>
      </c>
      <c r="E2828" s="1">
        <v>1248</v>
      </c>
      <c r="F2828">
        <v>20131016</v>
      </c>
      <c r="G2828" t="s">
        <v>299</v>
      </c>
      <c r="H2828" t="s">
        <v>1675</v>
      </c>
      <c r="I2828" t="s">
        <v>25</v>
      </c>
    </row>
    <row r="2829" spans="1:9" x14ac:dyDescent="0.25">
      <c r="A2829">
        <v>20131017</v>
      </c>
      <c r="B2829" t="str">
        <f>"112230"</f>
        <v>112230</v>
      </c>
      <c r="C2829" t="str">
        <f>"00077"</f>
        <v>00077</v>
      </c>
      <c r="D2829" t="s">
        <v>1676</v>
      </c>
      <c r="E2829">
        <v>65</v>
      </c>
      <c r="F2829">
        <v>20131015</v>
      </c>
      <c r="G2829" t="s">
        <v>1153</v>
      </c>
      <c r="H2829" t="s">
        <v>1677</v>
      </c>
      <c r="I2829" t="s">
        <v>61</v>
      </c>
    </row>
    <row r="2830" spans="1:9" x14ac:dyDescent="0.25">
      <c r="A2830">
        <v>20131017</v>
      </c>
      <c r="B2830" t="str">
        <f>"112230"</f>
        <v>112230</v>
      </c>
      <c r="C2830" t="str">
        <f>"00077"</f>
        <v>00077</v>
      </c>
      <c r="D2830" t="s">
        <v>1676</v>
      </c>
      <c r="E2830">
        <v>65</v>
      </c>
      <c r="F2830">
        <v>20131015</v>
      </c>
      <c r="G2830" t="s">
        <v>1153</v>
      </c>
      <c r="H2830" t="s">
        <v>1677</v>
      </c>
      <c r="I2830" t="s">
        <v>61</v>
      </c>
    </row>
    <row r="2831" spans="1:9" x14ac:dyDescent="0.25">
      <c r="A2831">
        <v>20131017</v>
      </c>
      <c r="B2831" t="str">
        <f>"112230"</f>
        <v>112230</v>
      </c>
      <c r="C2831" t="str">
        <f>"00077"</f>
        <v>00077</v>
      </c>
      <c r="D2831" t="s">
        <v>1676</v>
      </c>
      <c r="E2831">
        <v>65</v>
      </c>
      <c r="F2831">
        <v>20131015</v>
      </c>
      <c r="G2831" t="s">
        <v>1153</v>
      </c>
      <c r="H2831" t="s">
        <v>1677</v>
      </c>
      <c r="I2831" t="s">
        <v>61</v>
      </c>
    </row>
    <row r="2832" spans="1:9" x14ac:dyDescent="0.25">
      <c r="A2832">
        <v>20131017</v>
      </c>
      <c r="B2832" t="str">
        <f>"112230"</f>
        <v>112230</v>
      </c>
      <c r="C2832" t="str">
        <f>"00077"</f>
        <v>00077</v>
      </c>
      <c r="D2832" t="s">
        <v>1676</v>
      </c>
      <c r="E2832">
        <v>65</v>
      </c>
      <c r="F2832">
        <v>20131015</v>
      </c>
      <c r="G2832" t="s">
        <v>1153</v>
      </c>
      <c r="H2832" t="s">
        <v>1677</v>
      </c>
      <c r="I2832" t="s">
        <v>61</v>
      </c>
    </row>
    <row r="2833" spans="1:9" x14ac:dyDescent="0.25">
      <c r="A2833">
        <v>20131017</v>
      </c>
      <c r="B2833" t="str">
        <f>"112231"</f>
        <v>112231</v>
      </c>
      <c r="C2833" t="str">
        <f>"87559"</f>
        <v>87559</v>
      </c>
      <c r="D2833" t="s">
        <v>1678</v>
      </c>
      <c r="E2833">
        <v>270</v>
      </c>
      <c r="F2833">
        <v>20131016</v>
      </c>
      <c r="G2833" t="s">
        <v>1679</v>
      </c>
      <c r="H2833" t="s">
        <v>1680</v>
      </c>
      <c r="I2833" t="s">
        <v>25</v>
      </c>
    </row>
    <row r="2834" spans="1:9" x14ac:dyDescent="0.25">
      <c r="A2834">
        <v>20131017</v>
      </c>
      <c r="B2834" t="str">
        <f>"112232"</f>
        <v>112232</v>
      </c>
      <c r="C2834" t="str">
        <f>"81142"</f>
        <v>81142</v>
      </c>
      <c r="D2834" t="s">
        <v>1681</v>
      </c>
      <c r="E2834">
        <v>690.85</v>
      </c>
      <c r="F2834">
        <v>20131016</v>
      </c>
      <c r="G2834" t="s">
        <v>448</v>
      </c>
      <c r="H2834" t="s">
        <v>1682</v>
      </c>
      <c r="I2834" t="s">
        <v>21</v>
      </c>
    </row>
    <row r="2835" spans="1:9" x14ac:dyDescent="0.25">
      <c r="A2835">
        <v>20131017</v>
      </c>
      <c r="B2835" t="str">
        <f>"112233"</f>
        <v>112233</v>
      </c>
      <c r="C2835" t="str">
        <f>"86596"</f>
        <v>86596</v>
      </c>
      <c r="D2835" t="s">
        <v>1683</v>
      </c>
      <c r="E2835">
        <v>132.11000000000001</v>
      </c>
      <c r="F2835">
        <v>20131016</v>
      </c>
      <c r="G2835" t="s">
        <v>1684</v>
      </c>
      <c r="H2835" t="s">
        <v>1685</v>
      </c>
      <c r="I2835" t="s">
        <v>21</v>
      </c>
    </row>
    <row r="2836" spans="1:9" x14ac:dyDescent="0.25">
      <c r="A2836">
        <v>20131017</v>
      </c>
      <c r="B2836" t="str">
        <f>"112234"</f>
        <v>112234</v>
      </c>
      <c r="C2836" t="str">
        <f>"00282"</f>
        <v>00282</v>
      </c>
      <c r="D2836" t="s">
        <v>1686</v>
      </c>
      <c r="E2836">
        <v>216</v>
      </c>
      <c r="F2836">
        <v>20131016</v>
      </c>
      <c r="G2836" t="s">
        <v>1687</v>
      </c>
      <c r="H2836" t="s">
        <v>361</v>
      </c>
      <c r="I2836" t="s">
        <v>21</v>
      </c>
    </row>
    <row r="2837" spans="1:9" x14ac:dyDescent="0.25">
      <c r="A2837">
        <v>20131017</v>
      </c>
      <c r="B2837" t="str">
        <f>"112235"</f>
        <v>112235</v>
      </c>
      <c r="C2837" t="str">
        <f>"75500"</f>
        <v>75500</v>
      </c>
      <c r="D2837" t="s">
        <v>711</v>
      </c>
      <c r="E2837">
        <v>99.5</v>
      </c>
      <c r="F2837">
        <v>20131016</v>
      </c>
      <c r="G2837" t="s">
        <v>712</v>
      </c>
      <c r="H2837" t="s">
        <v>1688</v>
      </c>
      <c r="I2837" t="s">
        <v>21</v>
      </c>
    </row>
    <row r="2838" spans="1:9" x14ac:dyDescent="0.25">
      <c r="A2838">
        <v>20131017</v>
      </c>
      <c r="B2838" t="str">
        <f>"112236"</f>
        <v>112236</v>
      </c>
      <c r="C2838" t="str">
        <f>"87561"</f>
        <v>87561</v>
      </c>
      <c r="D2838" t="s">
        <v>1689</v>
      </c>
      <c r="E2838">
        <v>25</v>
      </c>
      <c r="F2838">
        <v>20131016</v>
      </c>
      <c r="G2838" t="s">
        <v>1690</v>
      </c>
      <c r="H2838" t="s">
        <v>388</v>
      </c>
      <c r="I2838" t="s">
        <v>21</v>
      </c>
    </row>
    <row r="2839" spans="1:9" x14ac:dyDescent="0.25">
      <c r="A2839">
        <v>20131017</v>
      </c>
      <c r="B2839" t="str">
        <f>"112237"</f>
        <v>112237</v>
      </c>
      <c r="C2839" t="str">
        <f>"86951"</f>
        <v>86951</v>
      </c>
      <c r="D2839" t="s">
        <v>394</v>
      </c>
      <c r="E2839">
        <v>236.91</v>
      </c>
      <c r="F2839">
        <v>20131014</v>
      </c>
      <c r="G2839" t="s">
        <v>337</v>
      </c>
      <c r="H2839" t="s">
        <v>338</v>
      </c>
      <c r="I2839" t="s">
        <v>21</v>
      </c>
    </row>
    <row r="2840" spans="1:9" x14ac:dyDescent="0.25">
      <c r="A2840">
        <v>20131017</v>
      </c>
      <c r="B2840" t="str">
        <f>"112238"</f>
        <v>112238</v>
      </c>
      <c r="C2840" t="str">
        <f>"87560"</f>
        <v>87560</v>
      </c>
      <c r="D2840" t="s">
        <v>1691</v>
      </c>
      <c r="E2840" s="1">
        <v>3000</v>
      </c>
      <c r="F2840">
        <v>20131016</v>
      </c>
      <c r="G2840" t="s">
        <v>1504</v>
      </c>
      <c r="H2840" t="s">
        <v>1692</v>
      </c>
      <c r="I2840" t="s">
        <v>21</v>
      </c>
    </row>
    <row r="2841" spans="1:9" x14ac:dyDescent="0.25">
      <c r="A2841">
        <v>20131017</v>
      </c>
      <c r="B2841" t="str">
        <f>"112239"</f>
        <v>112239</v>
      </c>
      <c r="C2841" t="str">
        <f>"81358"</f>
        <v>81358</v>
      </c>
      <c r="D2841" t="s">
        <v>736</v>
      </c>
      <c r="E2841">
        <v>321.05</v>
      </c>
      <c r="F2841">
        <v>20131014</v>
      </c>
      <c r="G2841" t="s">
        <v>737</v>
      </c>
      <c r="H2841" t="s">
        <v>738</v>
      </c>
      <c r="I2841" t="s">
        <v>21</v>
      </c>
    </row>
    <row r="2842" spans="1:9" x14ac:dyDescent="0.25">
      <c r="A2842">
        <v>20131017</v>
      </c>
      <c r="B2842" t="str">
        <f>"112240"</f>
        <v>112240</v>
      </c>
      <c r="C2842" t="str">
        <f>"76904"</f>
        <v>76904</v>
      </c>
      <c r="D2842" t="s">
        <v>1323</v>
      </c>
      <c r="E2842">
        <v>50</v>
      </c>
      <c r="F2842">
        <v>20131011</v>
      </c>
      <c r="G2842" t="s">
        <v>637</v>
      </c>
      <c r="H2842" t="s">
        <v>784</v>
      </c>
      <c r="I2842" t="s">
        <v>38</v>
      </c>
    </row>
    <row r="2843" spans="1:9" x14ac:dyDescent="0.25">
      <c r="A2843">
        <v>20131017</v>
      </c>
      <c r="B2843" t="str">
        <f>"112240"</f>
        <v>112240</v>
      </c>
      <c r="C2843" t="str">
        <f>"76904"</f>
        <v>76904</v>
      </c>
      <c r="D2843" t="s">
        <v>1323</v>
      </c>
      <c r="E2843">
        <v>40</v>
      </c>
      <c r="F2843">
        <v>20131011</v>
      </c>
      <c r="G2843" t="s">
        <v>637</v>
      </c>
      <c r="H2843" t="s">
        <v>784</v>
      </c>
      <c r="I2843" t="s">
        <v>38</v>
      </c>
    </row>
    <row r="2844" spans="1:9" x14ac:dyDescent="0.25">
      <c r="A2844">
        <v>20131017</v>
      </c>
      <c r="B2844" t="str">
        <f>"112241"</f>
        <v>112241</v>
      </c>
      <c r="C2844" t="str">
        <f>"87553"</f>
        <v>87553</v>
      </c>
      <c r="D2844" t="s">
        <v>1693</v>
      </c>
      <c r="E2844">
        <v>126.61</v>
      </c>
      <c r="F2844">
        <v>20131014</v>
      </c>
      <c r="G2844" t="s">
        <v>774</v>
      </c>
      <c r="H2844" t="s">
        <v>765</v>
      </c>
      <c r="I2844" t="s">
        <v>61</v>
      </c>
    </row>
    <row r="2845" spans="1:9" x14ac:dyDescent="0.25">
      <c r="A2845">
        <v>20131017</v>
      </c>
      <c r="B2845" t="str">
        <f>"112242"</f>
        <v>112242</v>
      </c>
      <c r="C2845" t="str">
        <f>"86496"</f>
        <v>86496</v>
      </c>
      <c r="D2845" t="s">
        <v>1325</v>
      </c>
      <c r="E2845">
        <v>105.85</v>
      </c>
      <c r="F2845">
        <v>20131014</v>
      </c>
      <c r="G2845" t="s">
        <v>774</v>
      </c>
      <c r="H2845" t="s">
        <v>765</v>
      </c>
      <c r="I2845" t="s">
        <v>61</v>
      </c>
    </row>
    <row r="2846" spans="1:9" x14ac:dyDescent="0.25">
      <c r="A2846">
        <v>20131017</v>
      </c>
      <c r="B2846" t="str">
        <f>"112243"</f>
        <v>112243</v>
      </c>
      <c r="C2846" t="str">
        <f>"82714"</f>
        <v>82714</v>
      </c>
      <c r="D2846" t="s">
        <v>1174</v>
      </c>
      <c r="E2846">
        <v>80</v>
      </c>
      <c r="F2846">
        <v>20131010</v>
      </c>
      <c r="G2846" t="s">
        <v>1093</v>
      </c>
      <c r="H2846" t="s">
        <v>765</v>
      </c>
      <c r="I2846" t="s">
        <v>61</v>
      </c>
    </row>
    <row r="2847" spans="1:9" x14ac:dyDescent="0.25">
      <c r="A2847">
        <v>20131017</v>
      </c>
      <c r="B2847" t="str">
        <f>"112243"</f>
        <v>112243</v>
      </c>
      <c r="C2847" t="str">
        <f>"82714"</f>
        <v>82714</v>
      </c>
      <c r="D2847" t="s">
        <v>1174</v>
      </c>
      <c r="E2847">
        <v>70</v>
      </c>
      <c r="F2847">
        <v>20131014</v>
      </c>
      <c r="G2847" t="s">
        <v>1093</v>
      </c>
      <c r="H2847" t="s">
        <v>765</v>
      </c>
      <c r="I2847" t="s">
        <v>61</v>
      </c>
    </row>
    <row r="2848" spans="1:9" x14ac:dyDescent="0.25">
      <c r="A2848">
        <v>20131017</v>
      </c>
      <c r="B2848" t="str">
        <f>"112244"</f>
        <v>112244</v>
      </c>
      <c r="C2848" t="str">
        <f>"81631"</f>
        <v>81631</v>
      </c>
      <c r="D2848" t="s">
        <v>1694</v>
      </c>
      <c r="E2848">
        <v>56.07</v>
      </c>
      <c r="F2848">
        <v>20131015</v>
      </c>
      <c r="G2848" t="s">
        <v>1554</v>
      </c>
      <c r="H2848" t="s">
        <v>354</v>
      </c>
      <c r="I2848" t="s">
        <v>38</v>
      </c>
    </row>
    <row r="2849" spans="1:9" x14ac:dyDescent="0.25">
      <c r="A2849">
        <v>20131017</v>
      </c>
      <c r="B2849" t="str">
        <f>"112245"</f>
        <v>112245</v>
      </c>
      <c r="C2849" t="str">
        <f>"86521"</f>
        <v>86521</v>
      </c>
      <c r="D2849" t="s">
        <v>988</v>
      </c>
      <c r="E2849">
        <v>143.33000000000001</v>
      </c>
      <c r="F2849">
        <v>20131010</v>
      </c>
      <c r="G2849" t="s">
        <v>1093</v>
      </c>
      <c r="H2849" t="s">
        <v>765</v>
      </c>
      <c r="I2849" t="s">
        <v>61</v>
      </c>
    </row>
    <row r="2850" spans="1:9" x14ac:dyDescent="0.25">
      <c r="A2850">
        <v>20131017</v>
      </c>
      <c r="B2850" t="str">
        <f>"112245"</f>
        <v>112245</v>
      </c>
      <c r="C2850" t="str">
        <f>"86521"</f>
        <v>86521</v>
      </c>
      <c r="D2850" t="s">
        <v>988</v>
      </c>
      <c r="E2850">
        <v>154.75</v>
      </c>
      <c r="F2850">
        <v>20131014</v>
      </c>
      <c r="G2850" t="s">
        <v>1093</v>
      </c>
      <c r="H2850" t="s">
        <v>765</v>
      </c>
      <c r="I2850" t="s">
        <v>61</v>
      </c>
    </row>
    <row r="2851" spans="1:9" x14ac:dyDescent="0.25">
      <c r="A2851">
        <v>20131017</v>
      </c>
      <c r="B2851" t="str">
        <f>"112246"</f>
        <v>112246</v>
      </c>
      <c r="C2851" t="str">
        <f>"84132"</f>
        <v>84132</v>
      </c>
      <c r="D2851" t="s">
        <v>1695</v>
      </c>
      <c r="E2851">
        <v>72.27</v>
      </c>
      <c r="F2851">
        <v>20131011</v>
      </c>
      <c r="G2851" t="s">
        <v>1696</v>
      </c>
      <c r="H2851" t="s">
        <v>563</v>
      </c>
      <c r="I2851" t="s">
        <v>21</v>
      </c>
    </row>
    <row r="2852" spans="1:9" x14ac:dyDescent="0.25">
      <c r="A2852">
        <v>20131017</v>
      </c>
      <c r="B2852" t="str">
        <f>"112246"</f>
        <v>112246</v>
      </c>
      <c r="C2852" t="str">
        <f>"84132"</f>
        <v>84132</v>
      </c>
      <c r="D2852" t="s">
        <v>1695</v>
      </c>
      <c r="E2852">
        <v>69.709999999999994</v>
      </c>
      <c r="F2852">
        <v>20131011</v>
      </c>
      <c r="G2852" t="s">
        <v>1696</v>
      </c>
      <c r="H2852" t="s">
        <v>563</v>
      </c>
      <c r="I2852" t="s">
        <v>21</v>
      </c>
    </row>
    <row r="2853" spans="1:9" x14ac:dyDescent="0.25">
      <c r="A2853">
        <v>20131017</v>
      </c>
      <c r="B2853" t="str">
        <f>"112246"</f>
        <v>112246</v>
      </c>
      <c r="C2853" t="str">
        <f>"84132"</f>
        <v>84132</v>
      </c>
      <c r="D2853" t="s">
        <v>1695</v>
      </c>
      <c r="E2853">
        <v>132.41</v>
      </c>
      <c r="F2853">
        <v>20131016</v>
      </c>
      <c r="G2853" t="s">
        <v>1145</v>
      </c>
      <c r="H2853" t="s">
        <v>365</v>
      </c>
      <c r="I2853" t="s">
        <v>73</v>
      </c>
    </row>
    <row r="2854" spans="1:9" x14ac:dyDescent="0.25">
      <c r="A2854">
        <v>20131024</v>
      </c>
      <c r="B2854" t="str">
        <f>"112247"</f>
        <v>112247</v>
      </c>
      <c r="C2854" t="str">
        <f>"02125"</f>
        <v>02125</v>
      </c>
      <c r="D2854" t="s">
        <v>1697</v>
      </c>
      <c r="E2854" s="1">
        <v>1326.19</v>
      </c>
      <c r="F2854">
        <v>20131023</v>
      </c>
      <c r="G2854" t="s">
        <v>448</v>
      </c>
      <c r="H2854" t="s">
        <v>1698</v>
      </c>
      <c r="I2854" t="s">
        <v>21</v>
      </c>
    </row>
    <row r="2855" spans="1:9" x14ac:dyDescent="0.25">
      <c r="A2855">
        <v>20131024</v>
      </c>
      <c r="B2855" t="str">
        <f>"112248"</f>
        <v>112248</v>
      </c>
      <c r="C2855" t="str">
        <f>"82045"</f>
        <v>82045</v>
      </c>
      <c r="D2855" t="s">
        <v>1699</v>
      </c>
      <c r="E2855" s="1">
        <v>4075</v>
      </c>
      <c r="F2855">
        <v>20131023</v>
      </c>
      <c r="G2855" t="s">
        <v>214</v>
      </c>
      <c r="H2855" t="s">
        <v>1700</v>
      </c>
      <c r="I2855" t="s">
        <v>38</v>
      </c>
    </row>
    <row r="2856" spans="1:9" x14ac:dyDescent="0.25">
      <c r="A2856">
        <v>20131024</v>
      </c>
      <c r="B2856" t="str">
        <f>"112248"</f>
        <v>112248</v>
      </c>
      <c r="C2856" t="str">
        <f>"82045"</f>
        <v>82045</v>
      </c>
      <c r="D2856" t="s">
        <v>1699</v>
      </c>
      <c r="E2856" s="1">
        <v>2283</v>
      </c>
      <c r="F2856">
        <v>20131023</v>
      </c>
      <c r="G2856" t="s">
        <v>637</v>
      </c>
      <c r="H2856" t="s">
        <v>1700</v>
      </c>
      <c r="I2856" t="s">
        <v>38</v>
      </c>
    </row>
    <row r="2857" spans="1:9" x14ac:dyDescent="0.25">
      <c r="A2857">
        <v>20131024</v>
      </c>
      <c r="B2857" t="str">
        <f>"112249"</f>
        <v>112249</v>
      </c>
      <c r="C2857" t="str">
        <f>"87466"</f>
        <v>87466</v>
      </c>
      <c r="D2857" t="s">
        <v>468</v>
      </c>
      <c r="E2857">
        <v>320</v>
      </c>
      <c r="F2857">
        <v>20131023</v>
      </c>
      <c r="G2857" t="s">
        <v>469</v>
      </c>
      <c r="H2857" t="s">
        <v>501</v>
      </c>
      <c r="I2857" t="s">
        <v>21</v>
      </c>
    </row>
    <row r="2858" spans="1:9" x14ac:dyDescent="0.25">
      <c r="A2858">
        <v>20131024</v>
      </c>
      <c r="B2858" t="str">
        <f>"112250"</f>
        <v>112250</v>
      </c>
      <c r="C2858" t="str">
        <f>"87013"</f>
        <v>87013</v>
      </c>
      <c r="D2858" t="s">
        <v>1701</v>
      </c>
      <c r="E2858" s="1">
        <v>1106.8900000000001</v>
      </c>
      <c r="F2858">
        <v>20131023</v>
      </c>
      <c r="G2858" t="s">
        <v>1064</v>
      </c>
      <c r="H2858" t="s">
        <v>1702</v>
      </c>
      <c r="I2858" t="s">
        <v>21</v>
      </c>
    </row>
    <row r="2859" spans="1:9" x14ac:dyDescent="0.25">
      <c r="A2859">
        <v>20131024</v>
      </c>
      <c r="B2859" t="str">
        <f>"112251"</f>
        <v>112251</v>
      </c>
      <c r="C2859" t="str">
        <f>"00250"</f>
        <v>00250</v>
      </c>
      <c r="D2859" t="s">
        <v>1703</v>
      </c>
      <c r="E2859">
        <v>127.35</v>
      </c>
      <c r="F2859">
        <v>20131021</v>
      </c>
      <c r="G2859" t="s">
        <v>1672</v>
      </c>
      <c r="H2859" t="s">
        <v>1704</v>
      </c>
      <c r="I2859" t="s">
        <v>21</v>
      </c>
    </row>
    <row r="2860" spans="1:9" x14ac:dyDescent="0.25">
      <c r="A2860">
        <v>20131024</v>
      </c>
      <c r="B2860" t="str">
        <f>"112252"</f>
        <v>112252</v>
      </c>
      <c r="C2860" t="str">
        <f>"00500"</f>
        <v>00500</v>
      </c>
      <c r="D2860" t="s">
        <v>486</v>
      </c>
      <c r="E2860" s="1">
        <v>10437.26</v>
      </c>
      <c r="F2860">
        <v>20131021</v>
      </c>
      <c r="G2860" t="s">
        <v>487</v>
      </c>
      <c r="H2860" t="s">
        <v>488</v>
      </c>
      <c r="I2860" t="s">
        <v>21</v>
      </c>
    </row>
    <row r="2861" spans="1:9" x14ac:dyDescent="0.25">
      <c r="A2861">
        <v>20131024</v>
      </c>
      <c r="B2861" t="str">
        <f>"112253"</f>
        <v>112253</v>
      </c>
      <c r="C2861" t="str">
        <f>"00500"</f>
        <v>00500</v>
      </c>
      <c r="D2861" t="s">
        <v>486</v>
      </c>
      <c r="E2861" s="1">
        <v>7016.46</v>
      </c>
      <c r="F2861">
        <v>20131021</v>
      </c>
      <c r="G2861" t="s">
        <v>487</v>
      </c>
      <c r="H2861" t="s">
        <v>488</v>
      </c>
      <c r="I2861" t="s">
        <v>21</v>
      </c>
    </row>
    <row r="2862" spans="1:9" x14ac:dyDescent="0.25">
      <c r="A2862">
        <v>20131024</v>
      </c>
      <c r="B2862" t="str">
        <f>"112254"</f>
        <v>112254</v>
      </c>
      <c r="C2862" t="str">
        <f>"00500"</f>
        <v>00500</v>
      </c>
      <c r="D2862" t="s">
        <v>486</v>
      </c>
      <c r="E2862" s="1">
        <v>5472.66</v>
      </c>
      <c r="F2862">
        <v>20131023</v>
      </c>
      <c r="G2862" t="s">
        <v>1705</v>
      </c>
      <c r="H2862" t="s">
        <v>488</v>
      </c>
      <c r="I2862" t="s">
        <v>21</v>
      </c>
    </row>
    <row r="2863" spans="1:9" x14ac:dyDescent="0.25">
      <c r="A2863">
        <v>20131024</v>
      </c>
      <c r="B2863" t="str">
        <f>"112254"</f>
        <v>112254</v>
      </c>
      <c r="C2863" t="str">
        <f>"00500"</f>
        <v>00500</v>
      </c>
      <c r="D2863" t="s">
        <v>486</v>
      </c>
      <c r="E2863" s="1">
        <v>-5472.66</v>
      </c>
      <c r="F2863">
        <v>20131024</v>
      </c>
      <c r="G2863" t="s">
        <v>1705</v>
      </c>
      <c r="H2863" t="s">
        <v>1706</v>
      </c>
      <c r="I2863" t="s">
        <v>21</v>
      </c>
    </row>
    <row r="2864" spans="1:9" x14ac:dyDescent="0.25">
      <c r="A2864">
        <v>20131024</v>
      </c>
      <c r="B2864" t="str">
        <f>"112255"</f>
        <v>112255</v>
      </c>
      <c r="C2864" t="str">
        <f>"00255"</f>
        <v>00255</v>
      </c>
      <c r="D2864" t="s">
        <v>489</v>
      </c>
      <c r="E2864">
        <v>223.11</v>
      </c>
      <c r="F2864">
        <v>20131021</v>
      </c>
      <c r="G2864" t="s">
        <v>1186</v>
      </c>
      <c r="H2864" t="s">
        <v>488</v>
      </c>
      <c r="I2864" t="s">
        <v>21</v>
      </c>
    </row>
    <row r="2865" spans="1:9" x14ac:dyDescent="0.25">
      <c r="A2865">
        <v>20131024</v>
      </c>
      <c r="B2865" t="str">
        <f>"112256"</f>
        <v>112256</v>
      </c>
      <c r="C2865" t="str">
        <f>"83627"</f>
        <v>83627</v>
      </c>
      <c r="D2865" t="s">
        <v>1556</v>
      </c>
      <c r="E2865">
        <v>35</v>
      </c>
      <c r="F2865">
        <v>20131021</v>
      </c>
      <c r="G2865" t="s">
        <v>356</v>
      </c>
      <c r="H2865" t="s">
        <v>790</v>
      </c>
      <c r="I2865" t="s">
        <v>61</v>
      </c>
    </row>
    <row r="2866" spans="1:9" x14ac:dyDescent="0.25">
      <c r="A2866">
        <v>20131024</v>
      </c>
      <c r="B2866" t="str">
        <f>"112257"</f>
        <v>112257</v>
      </c>
      <c r="C2866" t="str">
        <f>"83193"</f>
        <v>83193</v>
      </c>
      <c r="D2866" t="s">
        <v>1008</v>
      </c>
      <c r="E2866">
        <v>600</v>
      </c>
      <c r="F2866">
        <v>20131021</v>
      </c>
      <c r="G2866" t="s">
        <v>1030</v>
      </c>
      <c r="H2866" t="s">
        <v>1707</v>
      </c>
      <c r="I2866" t="s">
        <v>63</v>
      </c>
    </row>
    <row r="2867" spans="1:9" x14ac:dyDescent="0.25">
      <c r="A2867">
        <v>20131024</v>
      </c>
      <c r="B2867" t="str">
        <f>"112257"</f>
        <v>112257</v>
      </c>
      <c r="C2867" t="str">
        <f>"83193"</f>
        <v>83193</v>
      </c>
      <c r="D2867" t="s">
        <v>1008</v>
      </c>
      <c r="E2867" s="1">
        <v>1700</v>
      </c>
      <c r="F2867">
        <v>20131021</v>
      </c>
      <c r="G2867" t="s">
        <v>289</v>
      </c>
      <c r="H2867" t="s">
        <v>357</v>
      </c>
      <c r="I2867" t="s">
        <v>38</v>
      </c>
    </row>
    <row r="2868" spans="1:9" x14ac:dyDescent="0.25">
      <c r="A2868">
        <v>20131024</v>
      </c>
      <c r="B2868" t="str">
        <f>"112258"</f>
        <v>112258</v>
      </c>
      <c r="C2868" t="str">
        <f>"00210"</f>
        <v>00210</v>
      </c>
      <c r="D2868" t="s">
        <v>1708</v>
      </c>
      <c r="E2868">
        <v>109.59</v>
      </c>
      <c r="F2868">
        <v>20131018</v>
      </c>
      <c r="G2868" t="s">
        <v>879</v>
      </c>
      <c r="H2868" t="s">
        <v>1709</v>
      </c>
      <c r="I2868" t="s">
        <v>21</v>
      </c>
    </row>
    <row r="2869" spans="1:9" x14ac:dyDescent="0.25">
      <c r="A2869">
        <v>20131024</v>
      </c>
      <c r="B2869" t="str">
        <f>"112259"</f>
        <v>112259</v>
      </c>
      <c r="C2869" t="str">
        <f>"82984"</f>
        <v>82984</v>
      </c>
      <c r="D2869" t="s">
        <v>1710</v>
      </c>
      <c r="E2869">
        <v>200</v>
      </c>
      <c r="F2869">
        <v>20131021</v>
      </c>
      <c r="G2869" t="s">
        <v>347</v>
      </c>
      <c r="H2869" t="s">
        <v>361</v>
      </c>
      <c r="I2869" t="s">
        <v>61</v>
      </c>
    </row>
    <row r="2870" spans="1:9" x14ac:dyDescent="0.25">
      <c r="A2870">
        <v>20131024</v>
      </c>
      <c r="B2870" t="str">
        <f>"112260"</f>
        <v>112260</v>
      </c>
      <c r="C2870" t="str">
        <f>"83493"</f>
        <v>83493</v>
      </c>
      <c r="D2870" t="s">
        <v>509</v>
      </c>
      <c r="E2870">
        <v>285</v>
      </c>
      <c r="F2870">
        <v>20131021</v>
      </c>
      <c r="G2870" t="s">
        <v>356</v>
      </c>
      <c r="H2870" t="s">
        <v>357</v>
      </c>
      <c r="I2870" t="s">
        <v>61</v>
      </c>
    </row>
    <row r="2871" spans="1:9" x14ac:dyDescent="0.25">
      <c r="A2871">
        <v>20131024</v>
      </c>
      <c r="B2871" t="str">
        <f t="shared" ref="B2871:B2902" si="207">"112261"</f>
        <v>112261</v>
      </c>
      <c r="C2871" t="str">
        <f t="shared" ref="C2871:C2902" si="208">"83878"</f>
        <v>83878</v>
      </c>
      <c r="D2871" t="s">
        <v>1016</v>
      </c>
      <c r="E2871">
        <v>-0.91</v>
      </c>
      <c r="F2871">
        <v>20131024</v>
      </c>
      <c r="G2871" t="s">
        <v>870</v>
      </c>
      <c r="H2871" t="s">
        <v>1018</v>
      </c>
      <c r="I2871" t="s">
        <v>21</v>
      </c>
    </row>
    <row r="2872" spans="1:9" x14ac:dyDescent="0.25">
      <c r="A2872">
        <v>20131024</v>
      </c>
      <c r="B2872" t="str">
        <f t="shared" si="207"/>
        <v>112261</v>
      </c>
      <c r="C2872" t="str">
        <f t="shared" si="208"/>
        <v>83878</v>
      </c>
      <c r="D2872" t="s">
        <v>1016</v>
      </c>
      <c r="E2872">
        <v>93.6</v>
      </c>
      <c r="F2872">
        <v>20131023</v>
      </c>
      <c r="G2872" t="s">
        <v>1711</v>
      </c>
      <c r="H2872" t="s">
        <v>1018</v>
      </c>
      <c r="I2872" t="s">
        <v>21</v>
      </c>
    </row>
    <row r="2873" spans="1:9" x14ac:dyDescent="0.25">
      <c r="A2873">
        <v>20131024</v>
      </c>
      <c r="B2873" t="str">
        <f t="shared" si="207"/>
        <v>112261</v>
      </c>
      <c r="C2873" t="str">
        <f t="shared" si="208"/>
        <v>83878</v>
      </c>
      <c r="D2873" t="s">
        <v>1016</v>
      </c>
      <c r="E2873">
        <v>146.11000000000001</v>
      </c>
      <c r="F2873">
        <v>20131023</v>
      </c>
      <c r="G2873" t="s">
        <v>1712</v>
      </c>
      <c r="H2873" t="s">
        <v>1018</v>
      </c>
      <c r="I2873" t="s">
        <v>21</v>
      </c>
    </row>
    <row r="2874" spans="1:9" x14ac:dyDescent="0.25">
      <c r="A2874">
        <v>20131024</v>
      </c>
      <c r="B2874" t="str">
        <f t="shared" si="207"/>
        <v>112261</v>
      </c>
      <c r="C2874" t="str">
        <f t="shared" si="208"/>
        <v>83878</v>
      </c>
      <c r="D2874" t="s">
        <v>1016</v>
      </c>
      <c r="E2874">
        <v>21.66</v>
      </c>
      <c r="F2874">
        <v>20131023</v>
      </c>
      <c r="G2874" t="s">
        <v>1020</v>
      </c>
      <c r="H2874" t="s">
        <v>1022</v>
      </c>
      <c r="I2874" t="s">
        <v>21</v>
      </c>
    </row>
    <row r="2875" spans="1:9" x14ac:dyDescent="0.25">
      <c r="A2875">
        <v>20131024</v>
      </c>
      <c r="B2875" t="str">
        <f t="shared" si="207"/>
        <v>112261</v>
      </c>
      <c r="C2875" t="str">
        <f t="shared" si="208"/>
        <v>83878</v>
      </c>
      <c r="D2875" t="s">
        <v>1016</v>
      </c>
      <c r="E2875">
        <v>83.76</v>
      </c>
      <c r="F2875">
        <v>20131023</v>
      </c>
      <c r="G2875" t="s">
        <v>1020</v>
      </c>
      <c r="H2875" t="s">
        <v>1022</v>
      </c>
      <c r="I2875" t="s">
        <v>21</v>
      </c>
    </row>
    <row r="2876" spans="1:9" x14ac:dyDescent="0.25">
      <c r="A2876">
        <v>20131024</v>
      </c>
      <c r="B2876" t="str">
        <f t="shared" si="207"/>
        <v>112261</v>
      </c>
      <c r="C2876" t="str">
        <f t="shared" si="208"/>
        <v>83878</v>
      </c>
      <c r="D2876" t="s">
        <v>1016</v>
      </c>
      <c r="E2876">
        <v>203.64</v>
      </c>
      <c r="F2876">
        <v>20131023</v>
      </c>
      <c r="G2876" t="s">
        <v>1020</v>
      </c>
      <c r="H2876" t="s">
        <v>1713</v>
      </c>
      <c r="I2876" t="s">
        <v>21</v>
      </c>
    </row>
    <row r="2877" spans="1:9" x14ac:dyDescent="0.25">
      <c r="A2877">
        <v>20131024</v>
      </c>
      <c r="B2877" t="str">
        <f t="shared" si="207"/>
        <v>112261</v>
      </c>
      <c r="C2877" t="str">
        <f t="shared" si="208"/>
        <v>83878</v>
      </c>
      <c r="D2877" t="s">
        <v>1016</v>
      </c>
      <c r="E2877">
        <v>257.52999999999997</v>
      </c>
      <c r="F2877">
        <v>20131023</v>
      </c>
      <c r="G2877" t="s">
        <v>1020</v>
      </c>
      <c r="H2877" t="s">
        <v>1714</v>
      </c>
      <c r="I2877" t="s">
        <v>21</v>
      </c>
    </row>
    <row r="2878" spans="1:9" x14ac:dyDescent="0.25">
      <c r="A2878">
        <v>20131024</v>
      </c>
      <c r="B2878" t="str">
        <f t="shared" si="207"/>
        <v>112261</v>
      </c>
      <c r="C2878" t="str">
        <f t="shared" si="208"/>
        <v>83878</v>
      </c>
      <c r="D2878" t="s">
        <v>1016</v>
      </c>
      <c r="E2878">
        <v>116.45</v>
      </c>
      <c r="F2878">
        <v>20131023</v>
      </c>
      <c r="G2878" t="s">
        <v>1020</v>
      </c>
      <c r="H2878" t="s">
        <v>1715</v>
      </c>
      <c r="I2878" t="s">
        <v>21</v>
      </c>
    </row>
    <row r="2879" spans="1:9" x14ac:dyDescent="0.25">
      <c r="A2879">
        <v>20131024</v>
      </c>
      <c r="B2879" t="str">
        <f t="shared" si="207"/>
        <v>112261</v>
      </c>
      <c r="C2879" t="str">
        <f t="shared" si="208"/>
        <v>83878</v>
      </c>
      <c r="D2879" t="s">
        <v>1016</v>
      </c>
      <c r="E2879">
        <v>485.29</v>
      </c>
      <c r="F2879">
        <v>20131023</v>
      </c>
      <c r="G2879" t="s">
        <v>1020</v>
      </c>
      <c r="H2879" t="s">
        <v>1716</v>
      </c>
      <c r="I2879" t="s">
        <v>21</v>
      </c>
    </row>
    <row r="2880" spans="1:9" x14ac:dyDescent="0.25">
      <c r="A2880">
        <v>20131024</v>
      </c>
      <c r="B2880" t="str">
        <f t="shared" si="207"/>
        <v>112261</v>
      </c>
      <c r="C2880" t="str">
        <f t="shared" si="208"/>
        <v>83878</v>
      </c>
      <c r="D2880" t="s">
        <v>1016</v>
      </c>
      <c r="E2880">
        <v>248.06</v>
      </c>
      <c r="F2880">
        <v>20131023</v>
      </c>
      <c r="G2880" t="s">
        <v>1020</v>
      </c>
      <c r="H2880" t="s">
        <v>1713</v>
      </c>
      <c r="I2880" t="s">
        <v>21</v>
      </c>
    </row>
    <row r="2881" spans="1:9" x14ac:dyDescent="0.25">
      <c r="A2881">
        <v>20131024</v>
      </c>
      <c r="B2881" t="str">
        <f t="shared" si="207"/>
        <v>112261</v>
      </c>
      <c r="C2881" t="str">
        <f t="shared" si="208"/>
        <v>83878</v>
      </c>
      <c r="D2881" t="s">
        <v>1016</v>
      </c>
      <c r="E2881">
        <v>125.24</v>
      </c>
      <c r="F2881">
        <v>20131023</v>
      </c>
      <c r="G2881" t="s">
        <v>1020</v>
      </c>
      <c r="H2881" t="s">
        <v>1713</v>
      </c>
      <c r="I2881" t="s">
        <v>21</v>
      </c>
    </row>
    <row r="2882" spans="1:9" x14ac:dyDescent="0.25">
      <c r="A2882">
        <v>20131024</v>
      </c>
      <c r="B2882" t="str">
        <f t="shared" si="207"/>
        <v>112261</v>
      </c>
      <c r="C2882" t="str">
        <f t="shared" si="208"/>
        <v>83878</v>
      </c>
      <c r="D2882" t="s">
        <v>1016</v>
      </c>
      <c r="E2882">
        <v>10.95</v>
      </c>
      <c r="F2882">
        <v>20131023</v>
      </c>
      <c r="G2882" t="s">
        <v>1020</v>
      </c>
      <c r="H2882" t="s">
        <v>1021</v>
      </c>
      <c r="I2882" t="s">
        <v>21</v>
      </c>
    </row>
    <row r="2883" spans="1:9" x14ac:dyDescent="0.25">
      <c r="A2883">
        <v>20131024</v>
      </c>
      <c r="B2883" t="str">
        <f t="shared" si="207"/>
        <v>112261</v>
      </c>
      <c r="C2883" t="str">
        <f t="shared" si="208"/>
        <v>83878</v>
      </c>
      <c r="D2883" t="s">
        <v>1016</v>
      </c>
      <c r="E2883">
        <v>37.54</v>
      </c>
      <c r="F2883">
        <v>20131023</v>
      </c>
      <c r="G2883" t="s">
        <v>1020</v>
      </c>
      <c r="H2883" t="s">
        <v>1713</v>
      </c>
      <c r="I2883" t="s">
        <v>21</v>
      </c>
    </row>
    <row r="2884" spans="1:9" x14ac:dyDescent="0.25">
      <c r="A2884">
        <v>20131024</v>
      </c>
      <c r="B2884" t="str">
        <f t="shared" si="207"/>
        <v>112261</v>
      </c>
      <c r="C2884" t="str">
        <f t="shared" si="208"/>
        <v>83878</v>
      </c>
      <c r="D2884" t="s">
        <v>1016</v>
      </c>
      <c r="E2884">
        <v>104.67</v>
      </c>
      <c r="F2884">
        <v>20131023</v>
      </c>
      <c r="G2884" t="s">
        <v>1020</v>
      </c>
      <c r="H2884" t="s">
        <v>1713</v>
      </c>
      <c r="I2884" t="s">
        <v>21</v>
      </c>
    </row>
    <row r="2885" spans="1:9" x14ac:dyDescent="0.25">
      <c r="A2885">
        <v>20131024</v>
      </c>
      <c r="B2885" t="str">
        <f t="shared" si="207"/>
        <v>112261</v>
      </c>
      <c r="C2885" t="str">
        <f t="shared" si="208"/>
        <v>83878</v>
      </c>
      <c r="D2885" t="s">
        <v>1016</v>
      </c>
      <c r="E2885">
        <v>275.12</v>
      </c>
      <c r="F2885">
        <v>20131023</v>
      </c>
      <c r="G2885" t="s">
        <v>1717</v>
      </c>
      <c r="H2885" t="s">
        <v>1718</v>
      </c>
      <c r="I2885" t="s">
        <v>21</v>
      </c>
    </row>
    <row r="2886" spans="1:9" x14ac:dyDescent="0.25">
      <c r="A2886">
        <v>20131024</v>
      </c>
      <c r="B2886" t="str">
        <f t="shared" si="207"/>
        <v>112261</v>
      </c>
      <c r="C2886" t="str">
        <f t="shared" si="208"/>
        <v>83878</v>
      </c>
      <c r="D2886" t="s">
        <v>1016</v>
      </c>
      <c r="E2886">
        <v>200</v>
      </c>
      <c r="F2886">
        <v>20131023</v>
      </c>
      <c r="G2886" t="s">
        <v>1717</v>
      </c>
      <c r="H2886" t="s">
        <v>1018</v>
      </c>
      <c r="I2886" t="s">
        <v>21</v>
      </c>
    </row>
    <row r="2887" spans="1:9" x14ac:dyDescent="0.25">
      <c r="A2887">
        <v>20131024</v>
      </c>
      <c r="B2887" t="str">
        <f t="shared" si="207"/>
        <v>112261</v>
      </c>
      <c r="C2887" t="str">
        <f t="shared" si="208"/>
        <v>83878</v>
      </c>
      <c r="D2887" t="s">
        <v>1016</v>
      </c>
      <c r="E2887">
        <v>398.2</v>
      </c>
      <c r="F2887">
        <v>20131023</v>
      </c>
      <c r="G2887" t="s">
        <v>1719</v>
      </c>
      <c r="H2887" t="s">
        <v>1018</v>
      </c>
      <c r="I2887" t="s">
        <v>21</v>
      </c>
    </row>
    <row r="2888" spans="1:9" x14ac:dyDescent="0.25">
      <c r="A2888">
        <v>20131024</v>
      </c>
      <c r="B2888" t="str">
        <f t="shared" si="207"/>
        <v>112261</v>
      </c>
      <c r="C2888" t="str">
        <f t="shared" si="208"/>
        <v>83878</v>
      </c>
      <c r="D2888" t="s">
        <v>1016</v>
      </c>
      <c r="E2888">
        <v>80.819999999999993</v>
      </c>
      <c r="F2888">
        <v>20131023</v>
      </c>
      <c r="G2888" t="s">
        <v>834</v>
      </c>
      <c r="H2888" t="s">
        <v>1018</v>
      </c>
      <c r="I2888" t="s">
        <v>21</v>
      </c>
    </row>
    <row r="2889" spans="1:9" x14ac:dyDescent="0.25">
      <c r="A2889">
        <v>20131024</v>
      </c>
      <c r="B2889" t="str">
        <f t="shared" si="207"/>
        <v>112261</v>
      </c>
      <c r="C2889" t="str">
        <f t="shared" si="208"/>
        <v>83878</v>
      </c>
      <c r="D2889" t="s">
        <v>1016</v>
      </c>
      <c r="E2889">
        <v>90.78</v>
      </c>
      <c r="F2889">
        <v>20131023</v>
      </c>
      <c r="G2889" t="s">
        <v>808</v>
      </c>
      <c r="H2889" t="s">
        <v>1018</v>
      </c>
      <c r="I2889" t="s">
        <v>21</v>
      </c>
    </row>
    <row r="2890" spans="1:9" x14ac:dyDescent="0.25">
      <c r="A2890">
        <v>20131024</v>
      </c>
      <c r="B2890" t="str">
        <f t="shared" si="207"/>
        <v>112261</v>
      </c>
      <c r="C2890" t="str">
        <f t="shared" si="208"/>
        <v>83878</v>
      </c>
      <c r="D2890" t="s">
        <v>1016</v>
      </c>
      <c r="E2890">
        <v>484.08</v>
      </c>
      <c r="F2890">
        <v>20131023</v>
      </c>
      <c r="G2890" t="s">
        <v>584</v>
      </c>
      <c r="H2890" t="s">
        <v>1018</v>
      </c>
      <c r="I2890" t="s">
        <v>21</v>
      </c>
    </row>
    <row r="2891" spans="1:9" x14ac:dyDescent="0.25">
      <c r="A2891">
        <v>20131024</v>
      </c>
      <c r="B2891" t="str">
        <f t="shared" si="207"/>
        <v>112261</v>
      </c>
      <c r="C2891" t="str">
        <f t="shared" si="208"/>
        <v>83878</v>
      </c>
      <c r="D2891" t="s">
        <v>1016</v>
      </c>
      <c r="E2891">
        <v>250.22</v>
      </c>
      <c r="F2891">
        <v>20131023</v>
      </c>
      <c r="G2891" t="s">
        <v>1188</v>
      </c>
      <c r="H2891" t="s">
        <v>1018</v>
      </c>
      <c r="I2891" t="s">
        <v>21</v>
      </c>
    </row>
    <row r="2892" spans="1:9" x14ac:dyDescent="0.25">
      <c r="A2892">
        <v>20131024</v>
      </c>
      <c r="B2892" t="str">
        <f t="shared" si="207"/>
        <v>112261</v>
      </c>
      <c r="C2892" t="str">
        <f t="shared" si="208"/>
        <v>83878</v>
      </c>
      <c r="D2892" t="s">
        <v>1016</v>
      </c>
      <c r="E2892">
        <v>251.06</v>
      </c>
      <c r="F2892">
        <v>20131023</v>
      </c>
      <c r="G2892" t="s">
        <v>1329</v>
      </c>
      <c r="H2892" t="s">
        <v>1018</v>
      </c>
      <c r="I2892" t="s">
        <v>21</v>
      </c>
    </row>
    <row r="2893" spans="1:9" x14ac:dyDescent="0.25">
      <c r="A2893">
        <v>20131024</v>
      </c>
      <c r="B2893" t="str">
        <f t="shared" si="207"/>
        <v>112261</v>
      </c>
      <c r="C2893" t="str">
        <f t="shared" si="208"/>
        <v>83878</v>
      </c>
      <c r="D2893" t="s">
        <v>1016</v>
      </c>
      <c r="E2893">
        <v>134.04</v>
      </c>
      <c r="F2893">
        <v>20131023</v>
      </c>
      <c r="G2893" t="s">
        <v>496</v>
      </c>
      <c r="H2893" t="s">
        <v>1018</v>
      </c>
      <c r="I2893" t="s">
        <v>21</v>
      </c>
    </row>
    <row r="2894" spans="1:9" x14ac:dyDescent="0.25">
      <c r="A2894">
        <v>20131024</v>
      </c>
      <c r="B2894" t="str">
        <f t="shared" si="207"/>
        <v>112261</v>
      </c>
      <c r="C2894" t="str">
        <f t="shared" si="208"/>
        <v>83878</v>
      </c>
      <c r="D2894" t="s">
        <v>1016</v>
      </c>
      <c r="E2894">
        <v>620.32000000000005</v>
      </c>
      <c r="F2894">
        <v>20131023</v>
      </c>
      <c r="G2894" t="s">
        <v>557</v>
      </c>
      <c r="H2894" t="s">
        <v>1018</v>
      </c>
      <c r="I2894" t="s">
        <v>21</v>
      </c>
    </row>
    <row r="2895" spans="1:9" x14ac:dyDescent="0.25">
      <c r="A2895">
        <v>20131024</v>
      </c>
      <c r="B2895" t="str">
        <f t="shared" si="207"/>
        <v>112261</v>
      </c>
      <c r="C2895" t="str">
        <f t="shared" si="208"/>
        <v>83878</v>
      </c>
      <c r="D2895" t="s">
        <v>1016</v>
      </c>
      <c r="E2895">
        <v>214.08</v>
      </c>
      <c r="F2895">
        <v>20131023</v>
      </c>
      <c r="G2895" t="s">
        <v>1150</v>
      </c>
      <c r="H2895" t="s">
        <v>1018</v>
      </c>
      <c r="I2895" t="s">
        <v>21</v>
      </c>
    </row>
    <row r="2896" spans="1:9" x14ac:dyDescent="0.25">
      <c r="A2896">
        <v>20131024</v>
      </c>
      <c r="B2896" t="str">
        <f t="shared" si="207"/>
        <v>112261</v>
      </c>
      <c r="C2896" t="str">
        <f t="shared" si="208"/>
        <v>83878</v>
      </c>
      <c r="D2896" t="s">
        <v>1016</v>
      </c>
      <c r="E2896">
        <v>75.5</v>
      </c>
      <c r="F2896">
        <v>20131023</v>
      </c>
      <c r="G2896" t="s">
        <v>585</v>
      </c>
      <c r="H2896" t="s">
        <v>1018</v>
      </c>
      <c r="I2896" t="s">
        <v>21</v>
      </c>
    </row>
    <row r="2897" spans="1:9" x14ac:dyDescent="0.25">
      <c r="A2897">
        <v>20131024</v>
      </c>
      <c r="B2897" t="str">
        <f t="shared" si="207"/>
        <v>112261</v>
      </c>
      <c r="C2897" t="str">
        <f t="shared" si="208"/>
        <v>83878</v>
      </c>
      <c r="D2897" t="s">
        <v>1016</v>
      </c>
      <c r="E2897">
        <v>496.14</v>
      </c>
      <c r="F2897">
        <v>20131023</v>
      </c>
      <c r="G2897" t="s">
        <v>837</v>
      </c>
      <c r="H2897" t="s">
        <v>1018</v>
      </c>
      <c r="I2897" t="s">
        <v>21</v>
      </c>
    </row>
    <row r="2898" spans="1:9" x14ac:dyDescent="0.25">
      <c r="A2898">
        <v>20131024</v>
      </c>
      <c r="B2898" t="str">
        <f t="shared" si="207"/>
        <v>112261</v>
      </c>
      <c r="C2898" t="str">
        <f t="shared" si="208"/>
        <v>83878</v>
      </c>
      <c r="D2898" t="s">
        <v>1016</v>
      </c>
      <c r="E2898">
        <v>12</v>
      </c>
      <c r="F2898">
        <v>20131023</v>
      </c>
      <c r="G2898" t="s">
        <v>1026</v>
      </c>
      <c r="H2898" t="s">
        <v>1018</v>
      </c>
      <c r="I2898" t="s">
        <v>21</v>
      </c>
    </row>
    <row r="2899" spans="1:9" x14ac:dyDescent="0.25">
      <c r="A2899">
        <v>20131024</v>
      </c>
      <c r="B2899" t="str">
        <f t="shared" si="207"/>
        <v>112261</v>
      </c>
      <c r="C2899" t="str">
        <f t="shared" si="208"/>
        <v>83878</v>
      </c>
      <c r="D2899" t="s">
        <v>1016</v>
      </c>
      <c r="E2899" s="1">
        <v>2979.64</v>
      </c>
      <c r="F2899">
        <v>20131023</v>
      </c>
      <c r="G2899" t="s">
        <v>926</v>
      </c>
      <c r="H2899" t="s">
        <v>1018</v>
      </c>
      <c r="I2899" t="s">
        <v>21</v>
      </c>
    </row>
    <row r="2900" spans="1:9" x14ac:dyDescent="0.25">
      <c r="A2900">
        <v>20131024</v>
      </c>
      <c r="B2900" t="str">
        <f t="shared" si="207"/>
        <v>112261</v>
      </c>
      <c r="C2900" t="str">
        <f t="shared" si="208"/>
        <v>83878</v>
      </c>
      <c r="D2900" t="s">
        <v>1016</v>
      </c>
      <c r="E2900" s="1">
        <v>1747.73</v>
      </c>
      <c r="F2900">
        <v>20131023</v>
      </c>
      <c r="G2900" t="s">
        <v>367</v>
      </c>
      <c r="H2900" t="s">
        <v>1018</v>
      </c>
      <c r="I2900" t="s">
        <v>21</v>
      </c>
    </row>
    <row r="2901" spans="1:9" x14ac:dyDescent="0.25">
      <c r="A2901">
        <v>20131024</v>
      </c>
      <c r="B2901" t="str">
        <f t="shared" si="207"/>
        <v>112261</v>
      </c>
      <c r="C2901" t="str">
        <f t="shared" si="208"/>
        <v>83878</v>
      </c>
      <c r="D2901" t="s">
        <v>1016</v>
      </c>
      <c r="E2901" s="1">
        <v>1539.32</v>
      </c>
      <c r="F2901">
        <v>20131023</v>
      </c>
      <c r="G2901" t="s">
        <v>704</v>
      </c>
      <c r="H2901" t="s">
        <v>1018</v>
      </c>
      <c r="I2901" t="s">
        <v>21</v>
      </c>
    </row>
    <row r="2902" spans="1:9" x14ac:dyDescent="0.25">
      <c r="A2902">
        <v>20131024</v>
      </c>
      <c r="B2902" t="str">
        <f t="shared" si="207"/>
        <v>112261</v>
      </c>
      <c r="C2902" t="str">
        <f t="shared" si="208"/>
        <v>83878</v>
      </c>
      <c r="D2902" t="s">
        <v>1016</v>
      </c>
      <c r="E2902">
        <v>230.99</v>
      </c>
      <c r="F2902">
        <v>20131023</v>
      </c>
      <c r="G2902" t="s">
        <v>1219</v>
      </c>
      <c r="H2902" t="s">
        <v>1018</v>
      </c>
      <c r="I2902" t="s">
        <v>21</v>
      </c>
    </row>
    <row r="2903" spans="1:9" x14ac:dyDescent="0.25">
      <c r="A2903">
        <v>20131024</v>
      </c>
      <c r="B2903" t="str">
        <f t="shared" ref="B2903:B2931" si="209">"112261"</f>
        <v>112261</v>
      </c>
      <c r="C2903" t="str">
        <f t="shared" ref="C2903:C2931" si="210">"83878"</f>
        <v>83878</v>
      </c>
      <c r="D2903" t="s">
        <v>1016</v>
      </c>
      <c r="E2903" s="1">
        <v>1034.75</v>
      </c>
      <c r="F2903">
        <v>20131023</v>
      </c>
      <c r="G2903" t="s">
        <v>413</v>
      </c>
      <c r="H2903" t="s">
        <v>1018</v>
      </c>
      <c r="I2903" t="s">
        <v>21</v>
      </c>
    </row>
    <row r="2904" spans="1:9" x14ac:dyDescent="0.25">
      <c r="A2904">
        <v>20131024</v>
      </c>
      <c r="B2904" t="str">
        <f t="shared" si="209"/>
        <v>112261</v>
      </c>
      <c r="C2904" t="str">
        <f t="shared" si="210"/>
        <v>83878</v>
      </c>
      <c r="D2904" t="s">
        <v>1016</v>
      </c>
      <c r="E2904">
        <v>87.68</v>
      </c>
      <c r="F2904">
        <v>20131023</v>
      </c>
      <c r="G2904" t="s">
        <v>482</v>
      </c>
      <c r="H2904" t="s">
        <v>1018</v>
      </c>
      <c r="I2904" t="s">
        <v>21</v>
      </c>
    </row>
    <row r="2905" spans="1:9" x14ac:dyDescent="0.25">
      <c r="A2905">
        <v>20131024</v>
      </c>
      <c r="B2905" t="str">
        <f t="shared" si="209"/>
        <v>112261</v>
      </c>
      <c r="C2905" t="str">
        <f t="shared" si="210"/>
        <v>83878</v>
      </c>
      <c r="D2905" t="s">
        <v>1016</v>
      </c>
      <c r="E2905">
        <v>453.9</v>
      </c>
      <c r="F2905">
        <v>20131023</v>
      </c>
      <c r="G2905" t="s">
        <v>415</v>
      </c>
      <c r="H2905" t="s">
        <v>1018</v>
      </c>
      <c r="I2905" t="s">
        <v>21</v>
      </c>
    </row>
    <row r="2906" spans="1:9" x14ac:dyDescent="0.25">
      <c r="A2906">
        <v>20131024</v>
      </c>
      <c r="B2906" t="str">
        <f t="shared" si="209"/>
        <v>112261</v>
      </c>
      <c r="C2906" t="str">
        <f t="shared" si="210"/>
        <v>83878</v>
      </c>
      <c r="D2906" t="s">
        <v>1016</v>
      </c>
      <c r="E2906">
        <v>588.85</v>
      </c>
      <c r="F2906">
        <v>20131023</v>
      </c>
      <c r="G2906" t="s">
        <v>417</v>
      </c>
      <c r="H2906" t="s">
        <v>1018</v>
      </c>
      <c r="I2906" t="s">
        <v>21</v>
      </c>
    </row>
    <row r="2907" spans="1:9" x14ac:dyDescent="0.25">
      <c r="A2907">
        <v>20131024</v>
      </c>
      <c r="B2907" t="str">
        <f t="shared" si="209"/>
        <v>112261</v>
      </c>
      <c r="C2907" t="str">
        <f t="shared" si="210"/>
        <v>83878</v>
      </c>
      <c r="D2907" t="s">
        <v>1016</v>
      </c>
      <c r="E2907" s="1">
        <v>1046.68</v>
      </c>
      <c r="F2907">
        <v>20131023</v>
      </c>
      <c r="G2907" t="s">
        <v>734</v>
      </c>
      <c r="H2907" t="s">
        <v>1018</v>
      </c>
      <c r="I2907" t="s">
        <v>21</v>
      </c>
    </row>
    <row r="2908" spans="1:9" x14ac:dyDescent="0.25">
      <c r="A2908">
        <v>20131024</v>
      </c>
      <c r="B2908" t="str">
        <f t="shared" si="209"/>
        <v>112261</v>
      </c>
      <c r="C2908" t="str">
        <f t="shared" si="210"/>
        <v>83878</v>
      </c>
      <c r="D2908" t="s">
        <v>1016</v>
      </c>
      <c r="E2908">
        <v>28.55</v>
      </c>
      <c r="F2908">
        <v>20131023</v>
      </c>
      <c r="G2908" t="s">
        <v>840</v>
      </c>
      <c r="H2908" t="s">
        <v>1018</v>
      </c>
      <c r="I2908" t="s">
        <v>21</v>
      </c>
    </row>
    <row r="2909" spans="1:9" x14ac:dyDescent="0.25">
      <c r="A2909">
        <v>20131024</v>
      </c>
      <c r="B2909" t="str">
        <f t="shared" si="209"/>
        <v>112261</v>
      </c>
      <c r="C2909" t="str">
        <f t="shared" si="210"/>
        <v>83878</v>
      </c>
      <c r="D2909" t="s">
        <v>1016</v>
      </c>
      <c r="E2909">
        <v>983.43</v>
      </c>
      <c r="F2909">
        <v>20131023</v>
      </c>
      <c r="G2909" t="s">
        <v>840</v>
      </c>
      <c r="H2909" t="s">
        <v>1018</v>
      </c>
      <c r="I2909" t="s">
        <v>21</v>
      </c>
    </row>
    <row r="2910" spans="1:9" x14ac:dyDescent="0.25">
      <c r="A2910">
        <v>20131024</v>
      </c>
      <c r="B2910" t="str">
        <f t="shared" si="209"/>
        <v>112261</v>
      </c>
      <c r="C2910" t="str">
        <f t="shared" si="210"/>
        <v>83878</v>
      </c>
      <c r="D2910" t="s">
        <v>1016</v>
      </c>
      <c r="E2910" s="1">
        <v>1005.36</v>
      </c>
      <c r="F2910">
        <v>20131023</v>
      </c>
      <c r="G2910" t="s">
        <v>1720</v>
      </c>
      <c r="H2910" t="s">
        <v>1018</v>
      </c>
      <c r="I2910" t="s">
        <v>21</v>
      </c>
    </row>
    <row r="2911" spans="1:9" x14ac:dyDescent="0.25">
      <c r="A2911">
        <v>20131024</v>
      </c>
      <c r="B2911" t="str">
        <f t="shared" si="209"/>
        <v>112261</v>
      </c>
      <c r="C2911" t="str">
        <f t="shared" si="210"/>
        <v>83878</v>
      </c>
      <c r="D2911" t="s">
        <v>1016</v>
      </c>
      <c r="E2911" s="1">
        <v>1155</v>
      </c>
      <c r="F2911">
        <v>20131023</v>
      </c>
      <c r="G2911" t="s">
        <v>1721</v>
      </c>
      <c r="H2911" t="s">
        <v>1018</v>
      </c>
      <c r="I2911" t="s">
        <v>21</v>
      </c>
    </row>
    <row r="2912" spans="1:9" x14ac:dyDescent="0.25">
      <c r="A2912">
        <v>20131024</v>
      </c>
      <c r="B2912" t="str">
        <f t="shared" si="209"/>
        <v>112261</v>
      </c>
      <c r="C2912" t="str">
        <f t="shared" si="210"/>
        <v>83878</v>
      </c>
      <c r="D2912" t="s">
        <v>1016</v>
      </c>
      <c r="E2912">
        <v>120</v>
      </c>
      <c r="F2912">
        <v>20131023</v>
      </c>
      <c r="G2912" t="s">
        <v>1722</v>
      </c>
      <c r="H2912" t="s">
        <v>1018</v>
      </c>
      <c r="I2912" t="s">
        <v>66</v>
      </c>
    </row>
    <row r="2913" spans="1:9" x14ac:dyDescent="0.25">
      <c r="A2913">
        <v>20131024</v>
      </c>
      <c r="B2913" t="str">
        <f t="shared" si="209"/>
        <v>112261</v>
      </c>
      <c r="C2913" t="str">
        <f t="shared" si="210"/>
        <v>83878</v>
      </c>
      <c r="D2913" t="s">
        <v>1016</v>
      </c>
      <c r="E2913">
        <v>120</v>
      </c>
      <c r="F2913">
        <v>20131023</v>
      </c>
      <c r="G2913" t="s">
        <v>1722</v>
      </c>
      <c r="H2913" t="s">
        <v>1018</v>
      </c>
      <c r="I2913" t="s">
        <v>66</v>
      </c>
    </row>
    <row r="2914" spans="1:9" x14ac:dyDescent="0.25">
      <c r="A2914">
        <v>20131024</v>
      </c>
      <c r="B2914" t="str">
        <f t="shared" si="209"/>
        <v>112261</v>
      </c>
      <c r="C2914" t="str">
        <f t="shared" si="210"/>
        <v>83878</v>
      </c>
      <c r="D2914" t="s">
        <v>1016</v>
      </c>
      <c r="E2914">
        <v>120</v>
      </c>
      <c r="F2914">
        <v>20131023</v>
      </c>
      <c r="G2914" t="s">
        <v>1112</v>
      </c>
      <c r="H2914" t="s">
        <v>1018</v>
      </c>
      <c r="I2914" t="s">
        <v>66</v>
      </c>
    </row>
    <row r="2915" spans="1:9" x14ac:dyDescent="0.25">
      <c r="A2915">
        <v>20131024</v>
      </c>
      <c r="B2915" t="str">
        <f t="shared" si="209"/>
        <v>112261</v>
      </c>
      <c r="C2915" t="str">
        <f t="shared" si="210"/>
        <v>83878</v>
      </c>
      <c r="D2915" t="s">
        <v>1016</v>
      </c>
      <c r="E2915">
        <v>120</v>
      </c>
      <c r="F2915">
        <v>20131023</v>
      </c>
      <c r="G2915" t="s">
        <v>1250</v>
      </c>
      <c r="H2915" t="s">
        <v>1018</v>
      </c>
      <c r="I2915" t="s">
        <v>66</v>
      </c>
    </row>
    <row r="2916" spans="1:9" x14ac:dyDescent="0.25">
      <c r="A2916">
        <v>20131024</v>
      </c>
      <c r="B2916" t="str">
        <f t="shared" si="209"/>
        <v>112261</v>
      </c>
      <c r="C2916" t="str">
        <f t="shared" si="210"/>
        <v>83878</v>
      </c>
      <c r="D2916" t="s">
        <v>1016</v>
      </c>
      <c r="E2916">
        <v>120</v>
      </c>
      <c r="F2916">
        <v>20131023</v>
      </c>
      <c r="G2916" t="s">
        <v>438</v>
      </c>
      <c r="H2916" t="s">
        <v>1018</v>
      </c>
      <c r="I2916" t="s">
        <v>66</v>
      </c>
    </row>
    <row r="2917" spans="1:9" x14ac:dyDescent="0.25">
      <c r="A2917">
        <v>20131024</v>
      </c>
      <c r="B2917" t="str">
        <f t="shared" si="209"/>
        <v>112261</v>
      </c>
      <c r="C2917" t="str">
        <f t="shared" si="210"/>
        <v>83878</v>
      </c>
      <c r="D2917" t="s">
        <v>1016</v>
      </c>
      <c r="E2917">
        <v>120</v>
      </c>
      <c r="F2917">
        <v>20131023</v>
      </c>
      <c r="G2917" t="s">
        <v>440</v>
      </c>
      <c r="H2917" t="s">
        <v>1018</v>
      </c>
      <c r="I2917" t="s">
        <v>66</v>
      </c>
    </row>
    <row r="2918" spans="1:9" x14ac:dyDescent="0.25">
      <c r="A2918">
        <v>20131024</v>
      </c>
      <c r="B2918" t="str">
        <f t="shared" si="209"/>
        <v>112261</v>
      </c>
      <c r="C2918" t="str">
        <f t="shared" si="210"/>
        <v>83878</v>
      </c>
      <c r="D2918" t="s">
        <v>1016</v>
      </c>
      <c r="E2918">
        <v>120</v>
      </c>
      <c r="F2918">
        <v>20131023</v>
      </c>
      <c r="G2918" t="s">
        <v>441</v>
      </c>
      <c r="H2918" t="s">
        <v>1018</v>
      </c>
      <c r="I2918" t="s">
        <v>66</v>
      </c>
    </row>
    <row r="2919" spans="1:9" x14ac:dyDescent="0.25">
      <c r="A2919">
        <v>20131024</v>
      </c>
      <c r="B2919" t="str">
        <f t="shared" si="209"/>
        <v>112261</v>
      </c>
      <c r="C2919" t="str">
        <f t="shared" si="210"/>
        <v>83878</v>
      </c>
      <c r="D2919" t="s">
        <v>1016</v>
      </c>
      <c r="E2919">
        <v>120</v>
      </c>
      <c r="F2919">
        <v>20131023</v>
      </c>
      <c r="G2919" t="s">
        <v>1723</v>
      </c>
      <c r="H2919" t="s">
        <v>1018</v>
      </c>
      <c r="I2919" t="s">
        <v>66</v>
      </c>
    </row>
    <row r="2920" spans="1:9" x14ac:dyDescent="0.25">
      <c r="A2920">
        <v>20131024</v>
      </c>
      <c r="B2920" t="str">
        <f t="shared" si="209"/>
        <v>112261</v>
      </c>
      <c r="C2920" t="str">
        <f t="shared" si="210"/>
        <v>83878</v>
      </c>
      <c r="D2920" t="s">
        <v>1016</v>
      </c>
      <c r="E2920">
        <v>660</v>
      </c>
      <c r="F2920">
        <v>20131023</v>
      </c>
      <c r="G2920" t="s">
        <v>1120</v>
      </c>
      <c r="H2920" t="s">
        <v>1018</v>
      </c>
      <c r="I2920" t="s">
        <v>66</v>
      </c>
    </row>
    <row r="2921" spans="1:9" x14ac:dyDescent="0.25">
      <c r="A2921">
        <v>20131024</v>
      </c>
      <c r="B2921" t="str">
        <f t="shared" si="209"/>
        <v>112261</v>
      </c>
      <c r="C2921" t="str">
        <f t="shared" si="210"/>
        <v>83878</v>
      </c>
      <c r="D2921" t="s">
        <v>1016</v>
      </c>
      <c r="E2921" s="1">
        <v>1335.54</v>
      </c>
      <c r="F2921">
        <v>20131023</v>
      </c>
      <c r="G2921" t="s">
        <v>810</v>
      </c>
      <c r="H2921" t="s">
        <v>1018</v>
      </c>
      <c r="I2921" t="s">
        <v>66</v>
      </c>
    </row>
    <row r="2922" spans="1:9" x14ac:dyDescent="0.25">
      <c r="A2922">
        <v>20131024</v>
      </c>
      <c r="B2922" t="str">
        <f t="shared" si="209"/>
        <v>112261</v>
      </c>
      <c r="C2922" t="str">
        <f t="shared" si="210"/>
        <v>83878</v>
      </c>
      <c r="D2922" t="s">
        <v>1016</v>
      </c>
      <c r="E2922">
        <v>405</v>
      </c>
      <c r="F2922">
        <v>20131023</v>
      </c>
      <c r="G2922" t="s">
        <v>1724</v>
      </c>
      <c r="H2922" t="s">
        <v>1018</v>
      </c>
      <c r="I2922" t="s">
        <v>66</v>
      </c>
    </row>
    <row r="2923" spans="1:9" x14ac:dyDescent="0.25">
      <c r="A2923">
        <v>20131024</v>
      </c>
      <c r="B2923" t="str">
        <f t="shared" si="209"/>
        <v>112261</v>
      </c>
      <c r="C2923" t="str">
        <f t="shared" si="210"/>
        <v>83878</v>
      </c>
      <c r="D2923" t="s">
        <v>1016</v>
      </c>
      <c r="E2923">
        <v>174.02</v>
      </c>
      <c r="F2923">
        <v>20131023</v>
      </c>
      <c r="G2923" t="s">
        <v>410</v>
      </c>
      <c r="H2923" t="s">
        <v>1018</v>
      </c>
      <c r="I2923" t="s">
        <v>12</v>
      </c>
    </row>
    <row r="2924" spans="1:9" x14ac:dyDescent="0.25">
      <c r="A2924">
        <v>20131024</v>
      </c>
      <c r="B2924" t="str">
        <f t="shared" si="209"/>
        <v>112261</v>
      </c>
      <c r="C2924" t="str">
        <f t="shared" si="210"/>
        <v>83878</v>
      </c>
      <c r="D2924" t="s">
        <v>1016</v>
      </c>
      <c r="E2924">
        <v>469.44</v>
      </c>
      <c r="F2924">
        <v>20131023</v>
      </c>
      <c r="G2924" t="s">
        <v>1145</v>
      </c>
      <c r="H2924" t="s">
        <v>1018</v>
      </c>
      <c r="I2924" t="s">
        <v>73</v>
      </c>
    </row>
    <row r="2925" spans="1:9" x14ac:dyDescent="0.25">
      <c r="A2925">
        <v>20131024</v>
      </c>
      <c r="B2925" t="str">
        <f t="shared" si="209"/>
        <v>112261</v>
      </c>
      <c r="C2925" t="str">
        <f t="shared" si="210"/>
        <v>83878</v>
      </c>
      <c r="D2925" t="s">
        <v>1016</v>
      </c>
      <c r="E2925">
        <v>137.94999999999999</v>
      </c>
      <c r="F2925">
        <v>20131023</v>
      </c>
      <c r="G2925" t="s">
        <v>845</v>
      </c>
      <c r="H2925" t="s">
        <v>1018</v>
      </c>
      <c r="I2925" t="s">
        <v>73</v>
      </c>
    </row>
    <row r="2926" spans="1:9" x14ac:dyDescent="0.25">
      <c r="A2926">
        <v>20131024</v>
      </c>
      <c r="B2926" t="str">
        <f t="shared" si="209"/>
        <v>112261</v>
      </c>
      <c r="C2926" t="str">
        <f t="shared" si="210"/>
        <v>83878</v>
      </c>
      <c r="D2926" t="s">
        <v>1016</v>
      </c>
      <c r="E2926">
        <v>388.77</v>
      </c>
      <c r="F2926">
        <v>20131023</v>
      </c>
      <c r="G2926" t="s">
        <v>145</v>
      </c>
      <c r="H2926" t="s">
        <v>1018</v>
      </c>
      <c r="I2926" t="s">
        <v>38</v>
      </c>
    </row>
    <row r="2927" spans="1:9" x14ac:dyDescent="0.25">
      <c r="A2927">
        <v>20131024</v>
      </c>
      <c r="B2927" t="str">
        <f t="shared" si="209"/>
        <v>112261</v>
      </c>
      <c r="C2927" t="str">
        <f t="shared" si="210"/>
        <v>83878</v>
      </c>
      <c r="D2927" t="s">
        <v>1016</v>
      </c>
      <c r="E2927">
        <v>313.95999999999998</v>
      </c>
      <c r="F2927">
        <v>20131023</v>
      </c>
      <c r="G2927" t="s">
        <v>289</v>
      </c>
      <c r="H2927" t="s">
        <v>1018</v>
      </c>
      <c r="I2927" t="s">
        <v>38</v>
      </c>
    </row>
    <row r="2928" spans="1:9" x14ac:dyDescent="0.25">
      <c r="A2928">
        <v>20131024</v>
      </c>
      <c r="B2928" t="str">
        <f t="shared" si="209"/>
        <v>112261</v>
      </c>
      <c r="C2928" t="str">
        <f t="shared" si="210"/>
        <v>83878</v>
      </c>
      <c r="D2928" t="s">
        <v>1016</v>
      </c>
      <c r="E2928">
        <v>247.7</v>
      </c>
      <c r="F2928">
        <v>20131023</v>
      </c>
      <c r="G2928" t="s">
        <v>39</v>
      </c>
      <c r="H2928" t="s">
        <v>1018</v>
      </c>
      <c r="I2928" t="s">
        <v>38</v>
      </c>
    </row>
    <row r="2929" spans="1:9" x14ac:dyDescent="0.25">
      <c r="A2929">
        <v>20131024</v>
      </c>
      <c r="B2929" t="str">
        <f t="shared" si="209"/>
        <v>112261</v>
      </c>
      <c r="C2929" t="str">
        <f t="shared" si="210"/>
        <v>83878</v>
      </c>
      <c r="D2929" t="s">
        <v>1016</v>
      </c>
      <c r="E2929">
        <v>-44.52</v>
      </c>
      <c r="F2929">
        <v>20131024</v>
      </c>
      <c r="G2929" t="s">
        <v>1028</v>
      </c>
      <c r="H2929" t="s">
        <v>1018</v>
      </c>
      <c r="I2929" t="s">
        <v>38</v>
      </c>
    </row>
    <row r="2930" spans="1:9" x14ac:dyDescent="0.25">
      <c r="A2930">
        <v>20131024</v>
      </c>
      <c r="B2930" t="str">
        <f t="shared" si="209"/>
        <v>112261</v>
      </c>
      <c r="C2930" t="str">
        <f t="shared" si="210"/>
        <v>83878</v>
      </c>
      <c r="D2930" t="s">
        <v>1016</v>
      </c>
      <c r="E2930" s="1">
        <v>3104</v>
      </c>
      <c r="F2930">
        <v>20131023</v>
      </c>
      <c r="G2930" t="s">
        <v>1725</v>
      </c>
      <c r="H2930" t="s">
        <v>1018</v>
      </c>
      <c r="I2930" t="s">
        <v>1726</v>
      </c>
    </row>
    <row r="2931" spans="1:9" x14ac:dyDescent="0.25">
      <c r="A2931">
        <v>20131024</v>
      </c>
      <c r="B2931" t="str">
        <f t="shared" si="209"/>
        <v>112261</v>
      </c>
      <c r="C2931" t="str">
        <f t="shared" si="210"/>
        <v>83878</v>
      </c>
      <c r="D2931" t="s">
        <v>1016</v>
      </c>
      <c r="E2931">
        <v>256.17</v>
      </c>
      <c r="F2931">
        <v>20131023</v>
      </c>
      <c r="G2931" t="s">
        <v>209</v>
      </c>
      <c r="H2931" t="s">
        <v>1018</v>
      </c>
      <c r="I2931" t="s">
        <v>25</v>
      </c>
    </row>
    <row r="2932" spans="1:9" x14ac:dyDescent="0.25">
      <c r="A2932">
        <v>20131024</v>
      </c>
      <c r="B2932" t="str">
        <f>"112262"</f>
        <v>112262</v>
      </c>
      <c r="C2932" t="str">
        <f>"00512"</f>
        <v>00512</v>
      </c>
      <c r="D2932" t="s">
        <v>1727</v>
      </c>
      <c r="E2932">
        <v>86.87</v>
      </c>
      <c r="F2932">
        <v>20131021</v>
      </c>
      <c r="G2932" t="s">
        <v>879</v>
      </c>
      <c r="H2932" t="s">
        <v>1728</v>
      </c>
      <c r="I2932" t="s">
        <v>21</v>
      </c>
    </row>
    <row r="2933" spans="1:9" x14ac:dyDescent="0.25">
      <c r="A2933">
        <v>20131024</v>
      </c>
      <c r="B2933" t="str">
        <f>"112263"</f>
        <v>112263</v>
      </c>
      <c r="C2933" t="str">
        <f>"84398"</f>
        <v>84398</v>
      </c>
      <c r="D2933" t="s">
        <v>349</v>
      </c>
      <c r="E2933">
        <v>48</v>
      </c>
      <c r="F2933">
        <v>20131023</v>
      </c>
      <c r="G2933" t="s">
        <v>1729</v>
      </c>
      <c r="H2933" t="s">
        <v>1730</v>
      </c>
      <c r="I2933" t="s">
        <v>61</v>
      </c>
    </row>
    <row r="2934" spans="1:9" x14ac:dyDescent="0.25">
      <c r="A2934">
        <v>20131024</v>
      </c>
      <c r="B2934" t="str">
        <f>"112263"</f>
        <v>112263</v>
      </c>
      <c r="C2934" t="str">
        <f>"84398"</f>
        <v>84398</v>
      </c>
      <c r="D2934" t="s">
        <v>349</v>
      </c>
      <c r="E2934">
        <v>483.3</v>
      </c>
      <c r="F2934">
        <v>20131023</v>
      </c>
      <c r="G2934" t="s">
        <v>1731</v>
      </c>
      <c r="H2934" t="s">
        <v>1732</v>
      </c>
      <c r="I2934" t="s">
        <v>38</v>
      </c>
    </row>
    <row r="2935" spans="1:9" x14ac:dyDescent="0.25">
      <c r="A2935">
        <v>20131024</v>
      </c>
      <c r="B2935" t="str">
        <f>"112264"</f>
        <v>112264</v>
      </c>
      <c r="C2935" t="str">
        <f>"18025"</f>
        <v>18025</v>
      </c>
      <c r="D2935" t="s">
        <v>514</v>
      </c>
      <c r="E2935">
        <v>475</v>
      </c>
      <c r="F2935">
        <v>20131021</v>
      </c>
      <c r="G2935" t="s">
        <v>356</v>
      </c>
      <c r="H2935" t="s">
        <v>357</v>
      </c>
      <c r="I2935" t="s">
        <v>61</v>
      </c>
    </row>
    <row r="2936" spans="1:9" x14ac:dyDescent="0.25">
      <c r="A2936">
        <v>20131024</v>
      </c>
      <c r="B2936" t="str">
        <f>"112265"</f>
        <v>112265</v>
      </c>
      <c r="C2936" t="str">
        <f>"19800"</f>
        <v>19800</v>
      </c>
      <c r="D2936" t="s">
        <v>1034</v>
      </c>
      <c r="E2936">
        <v>131.15</v>
      </c>
      <c r="F2936">
        <v>20131023</v>
      </c>
      <c r="G2936" t="s">
        <v>289</v>
      </c>
      <c r="H2936" t="s">
        <v>1733</v>
      </c>
      <c r="I2936" t="s">
        <v>38</v>
      </c>
    </row>
    <row r="2937" spans="1:9" x14ac:dyDescent="0.25">
      <c r="A2937">
        <v>20131024</v>
      </c>
      <c r="B2937" t="str">
        <f>"112266"</f>
        <v>112266</v>
      </c>
      <c r="C2937" t="str">
        <f>"87084"</f>
        <v>87084</v>
      </c>
      <c r="D2937" t="s">
        <v>1036</v>
      </c>
      <c r="E2937">
        <v>61.83</v>
      </c>
      <c r="F2937">
        <v>20131021</v>
      </c>
      <c r="G2937" t="s">
        <v>1734</v>
      </c>
      <c r="H2937" t="s">
        <v>365</v>
      </c>
      <c r="I2937" t="s">
        <v>21</v>
      </c>
    </row>
    <row r="2938" spans="1:9" x14ac:dyDescent="0.25">
      <c r="A2938">
        <v>20131024</v>
      </c>
      <c r="B2938" t="str">
        <f>"112266"</f>
        <v>112266</v>
      </c>
      <c r="C2938" t="str">
        <f>"87084"</f>
        <v>87084</v>
      </c>
      <c r="D2938" t="s">
        <v>1036</v>
      </c>
      <c r="E2938">
        <v>69.39</v>
      </c>
      <c r="F2938">
        <v>20131021</v>
      </c>
      <c r="G2938" t="s">
        <v>810</v>
      </c>
      <c r="H2938" t="s">
        <v>365</v>
      </c>
      <c r="I2938" t="s">
        <v>66</v>
      </c>
    </row>
    <row r="2939" spans="1:9" x14ac:dyDescent="0.25">
      <c r="A2939">
        <v>20131024</v>
      </c>
      <c r="B2939" t="str">
        <f>"112267"</f>
        <v>112267</v>
      </c>
      <c r="C2939" t="str">
        <f>"21600"</f>
        <v>21600</v>
      </c>
      <c r="D2939" t="s">
        <v>1735</v>
      </c>
      <c r="E2939">
        <v>15.48</v>
      </c>
      <c r="F2939">
        <v>20131021</v>
      </c>
      <c r="G2939" t="s">
        <v>1488</v>
      </c>
      <c r="H2939" t="s">
        <v>499</v>
      </c>
      <c r="I2939" t="s">
        <v>25</v>
      </c>
    </row>
    <row r="2940" spans="1:9" x14ac:dyDescent="0.25">
      <c r="A2940">
        <v>20131024</v>
      </c>
      <c r="B2940" t="str">
        <f>"112267"</f>
        <v>112267</v>
      </c>
      <c r="C2940" t="str">
        <f>"21600"</f>
        <v>21600</v>
      </c>
      <c r="D2940" t="s">
        <v>1735</v>
      </c>
      <c r="E2940">
        <v>9.99</v>
      </c>
      <c r="F2940">
        <v>20131021</v>
      </c>
      <c r="G2940" t="s">
        <v>1488</v>
      </c>
      <c r="H2940" t="s">
        <v>499</v>
      </c>
      <c r="I2940" t="s">
        <v>25</v>
      </c>
    </row>
    <row r="2941" spans="1:9" x14ac:dyDescent="0.25">
      <c r="A2941">
        <v>20131024</v>
      </c>
      <c r="B2941" t="str">
        <f>"112267"</f>
        <v>112267</v>
      </c>
      <c r="C2941" t="str">
        <f>"21600"</f>
        <v>21600</v>
      </c>
      <c r="D2941" t="s">
        <v>1735</v>
      </c>
      <c r="E2941">
        <v>32.64</v>
      </c>
      <c r="F2941">
        <v>20131021</v>
      </c>
      <c r="G2941" t="s">
        <v>1488</v>
      </c>
      <c r="H2941" t="s">
        <v>499</v>
      </c>
      <c r="I2941" t="s">
        <v>25</v>
      </c>
    </row>
    <row r="2942" spans="1:9" x14ac:dyDescent="0.25">
      <c r="A2942">
        <v>20131024</v>
      </c>
      <c r="B2942" t="str">
        <f>"112267"</f>
        <v>112267</v>
      </c>
      <c r="C2942" t="str">
        <f>"21600"</f>
        <v>21600</v>
      </c>
      <c r="D2942" t="s">
        <v>1735</v>
      </c>
      <c r="E2942">
        <v>203</v>
      </c>
      <c r="F2942">
        <v>20131021</v>
      </c>
      <c r="G2942" t="s">
        <v>1488</v>
      </c>
      <c r="H2942" t="s">
        <v>499</v>
      </c>
      <c r="I2942" t="s">
        <v>25</v>
      </c>
    </row>
    <row r="2943" spans="1:9" x14ac:dyDescent="0.25">
      <c r="A2943">
        <v>20131024</v>
      </c>
      <c r="B2943" t="str">
        <f>"112267"</f>
        <v>112267</v>
      </c>
      <c r="C2943" t="str">
        <f>"21600"</f>
        <v>21600</v>
      </c>
      <c r="D2943" t="s">
        <v>1735</v>
      </c>
      <c r="E2943">
        <v>78.66</v>
      </c>
      <c r="F2943">
        <v>20131021</v>
      </c>
      <c r="G2943" t="s">
        <v>1488</v>
      </c>
      <c r="H2943" t="s">
        <v>499</v>
      </c>
      <c r="I2943" t="s">
        <v>25</v>
      </c>
    </row>
    <row r="2944" spans="1:9" x14ac:dyDescent="0.25">
      <c r="A2944">
        <v>20131024</v>
      </c>
      <c r="B2944" t="str">
        <f>"112268"</f>
        <v>112268</v>
      </c>
      <c r="C2944" t="str">
        <f>"86974"</f>
        <v>86974</v>
      </c>
      <c r="D2944" t="s">
        <v>1736</v>
      </c>
      <c r="E2944" s="1">
        <v>3502.73</v>
      </c>
      <c r="F2944">
        <v>20131023</v>
      </c>
      <c r="G2944" t="s">
        <v>1182</v>
      </c>
      <c r="H2944" t="s">
        <v>488</v>
      </c>
      <c r="I2944" t="s">
        <v>21</v>
      </c>
    </row>
    <row r="2945" spans="1:9" x14ac:dyDescent="0.25">
      <c r="A2945">
        <v>20131024</v>
      </c>
      <c r="B2945" t="str">
        <f>"112268"</f>
        <v>112268</v>
      </c>
      <c r="C2945" t="str">
        <f>"86974"</f>
        <v>86974</v>
      </c>
      <c r="D2945" t="s">
        <v>1736</v>
      </c>
      <c r="E2945" s="1">
        <v>1266.74</v>
      </c>
      <c r="F2945">
        <v>20131023</v>
      </c>
      <c r="G2945" t="s">
        <v>1182</v>
      </c>
      <c r="H2945" t="s">
        <v>488</v>
      </c>
      <c r="I2945" t="s">
        <v>21</v>
      </c>
    </row>
    <row r="2946" spans="1:9" x14ac:dyDescent="0.25">
      <c r="A2946">
        <v>20131024</v>
      </c>
      <c r="B2946" t="str">
        <f>"112269"</f>
        <v>112269</v>
      </c>
      <c r="C2946" t="str">
        <f>"25680"</f>
        <v>25680</v>
      </c>
      <c r="D2946" t="s">
        <v>818</v>
      </c>
      <c r="E2946">
        <v>351</v>
      </c>
      <c r="F2946">
        <v>20131021</v>
      </c>
      <c r="G2946" t="s">
        <v>819</v>
      </c>
      <c r="H2946" t="s">
        <v>820</v>
      </c>
      <c r="I2946" t="s">
        <v>63</v>
      </c>
    </row>
    <row r="2947" spans="1:9" x14ac:dyDescent="0.25">
      <c r="A2947">
        <v>20131024</v>
      </c>
      <c r="B2947" t="str">
        <f>"112270"</f>
        <v>112270</v>
      </c>
      <c r="C2947" t="str">
        <f>"26425"</f>
        <v>26425</v>
      </c>
      <c r="D2947" t="s">
        <v>822</v>
      </c>
      <c r="E2947" s="1">
        <v>3871.05</v>
      </c>
      <c r="F2947">
        <v>20131022</v>
      </c>
      <c r="G2947" t="s">
        <v>1408</v>
      </c>
      <c r="H2947" t="s">
        <v>1737</v>
      </c>
      <c r="I2947" t="s">
        <v>12</v>
      </c>
    </row>
    <row r="2948" spans="1:9" x14ac:dyDescent="0.25">
      <c r="A2948">
        <v>20131024</v>
      </c>
      <c r="B2948" t="str">
        <f>"112271"</f>
        <v>112271</v>
      </c>
      <c r="C2948" t="str">
        <f>"26990"</f>
        <v>26990</v>
      </c>
      <c r="D2948" t="s">
        <v>548</v>
      </c>
      <c r="E2948">
        <v>40</v>
      </c>
      <c r="F2948">
        <v>20131023</v>
      </c>
      <c r="G2948" t="s">
        <v>1738</v>
      </c>
      <c r="H2948" t="s">
        <v>1410</v>
      </c>
      <c r="I2948" t="s">
        <v>21</v>
      </c>
    </row>
    <row r="2949" spans="1:9" x14ac:dyDescent="0.25">
      <c r="A2949">
        <v>20131024</v>
      </c>
      <c r="B2949" t="str">
        <f>"112272"</f>
        <v>112272</v>
      </c>
      <c r="C2949" t="str">
        <f>"00087"</f>
        <v>00087</v>
      </c>
      <c r="D2949" t="s">
        <v>1739</v>
      </c>
      <c r="E2949">
        <v>100</v>
      </c>
      <c r="F2949">
        <v>20131021</v>
      </c>
      <c r="G2949" t="s">
        <v>347</v>
      </c>
      <c r="H2949" t="s">
        <v>1740</v>
      </c>
      <c r="I2949" t="s">
        <v>61</v>
      </c>
    </row>
    <row r="2950" spans="1:9" x14ac:dyDescent="0.25">
      <c r="A2950">
        <v>20131024</v>
      </c>
      <c r="B2950" t="str">
        <f>"112273"</f>
        <v>112273</v>
      </c>
      <c r="C2950" t="str">
        <f>"84866"</f>
        <v>84866</v>
      </c>
      <c r="D2950" t="s">
        <v>1060</v>
      </c>
      <c r="E2950">
        <v>207.32</v>
      </c>
      <c r="F2950">
        <v>20131023</v>
      </c>
      <c r="G2950" t="s">
        <v>171</v>
      </c>
      <c r="H2950" t="s">
        <v>1741</v>
      </c>
      <c r="I2950" t="s">
        <v>38</v>
      </c>
    </row>
    <row r="2951" spans="1:9" x14ac:dyDescent="0.25">
      <c r="A2951">
        <v>20131024</v>
      </c>
      <c r="B2951" t="str">
        <f>"112274"</f>
        <v>112274</v>
      </c>
      <c r="C2951" t="str">
        <f>"86945"</f>
        <v>86945</v>
      </c>
      <c r="D2951" t="s">
        <v>1589</v>
      </c>
      <c r="E2951">
        <v>155</v>
      </c>
      <c r="F2951">
        <v>20131021</v>
      </c>
      <c r="G2951" t="s">
        <v>845</v>
      </c>
      <c r="H2951" t="s">
        <v>354</v>
      </c>
      <c r="I2951" t="s">
        <v>73</v>
      </c>
    </row>
    <row r="2952" spans="1:9" x14ac:dyDescent="0.25">
      <c r="A2952">
        <v>20131024</v>
      </c>
      <c r="B2952" t="str">
        <f>"112275"</f>
        <v>112275</v>
      </c>
      <c r="C2952" t="str">
        <f>"29225"</f>
        <v>29225</v>
      </c>
      <c r="D2952" t="s">
        <v>1742</v>
      </c>
      <c r="E2952">
        <v>150</v>
      </c>
      <c r="F2952">
        <v>20131021</v>
      </c>
      <c r="G2952" t="s">
        <v>347</v>
      </c>
      <c r="H2952" t="s">
        <v>1740</v>
      </c>
      <c r="I2952" t="s">
        <v>61</v>
      </c>
    </row>
    <row r="2953" spans="1:9" x14ac:dyDescent="0.25">
      <c r="A2953">
        <v>20131024</v>
      </c>
      <c r="B2953" t="str">
        <f>"112276"</f>
        <v>112276</v>
      </c>
      <c r="C2953" t="str">
        <f>"30000"</f>
        <v>30000</v>
      </c>
      <c r="D2953" t="s">
        <v>556</v>
      </c>
      <c r="E2953">
        <v>36</v>
      </c>
      <c r="F2953">
        <v>20131021</v>
      </c>
      <c r="G2953" t="s">
        <v>1743</v>
      </c>
      <c r="H2953" t="s">
        <v>1744</v>
      </c>
      <c r="I2953" t="s">
        <v>21</v>
      </c>
    </row>
    <row r="2954" spans="1:9" x14ac:dyDescent="0.25">
      <c r="A2954">
        <v>20131024</v>
      </c>
      <c r="B2954" t="str">
        <f>"112276"</f>
        <v>112276</v>
      </c>
      <c r="C2954" t="str">
        <f>"30000"</f>
        <v>30000</v>
      </c>
      <c r="D2954" t="s">
        <v>556</v>
      </c>
      <c r="E2954">
        <v>449.99</v>
      </c>
      <c r="F2954">
        <v>20131023</v>
      </c>
      <c r="G2954" t="s">
        <v>627</v>
      </c>
      <c r="H2954" t="s">
        <v>1745</v>
      </c>
      <c r="I2954" t="s">
        <v>21</v>
      </c>
    </row>
    <row r="2955" spans="1:9" x14ac:dyDescent="0.25">
      <c r="A2955">
        <v>20131024</v>
      </c>
      <c r="B2955" t="str">
        <f>"112276"</f>
        <v>112276</v>
      </c>
      <c r="C2955" t="str">
        <f>"30000"</f>
        <v>30000</v>
      </c>
      <c r="D2955" t="s">
        <v>556</v>
      </c>
      <c r="E2955">
        <v>152.66999999999999</v>
      </c>
      <c r="F2955">
        <v>20131023</v>
      </c>
      <c r="G2955" t="s">
        <v>1247</v>
      </c>
      <c r="H2955" t="s">
        <v>1746</v>
      </c>
      <c r="I2955" t="s">
        <v>66</v>
      </c>
    </row>
    <row r="2956" spans="1:9" x14ac:dyDescent="0.25">
      <c r="A2956">
        <v>20131024</v>
      </c>
      <c r="B2956" t="str">
        <f>"112276"</f>
        <v>112276</v>
      </c>
      <c r="C2956" t="str">
        <f>"30000"</f>
        <v>30000</v>
      </c>
      <c r="D2956" t="s">
        <v>556</v>
      </c>
      <c r="E2956">
        <v>123.91</v>
      </c>
      <c r="F2956">
        <v>20131023</v>
      </c>
      <c r="G2956" t="s">
        <v>845</v>
      </c>
      <c r="H2956" t="s">
        <v>1747</v>
      </c>
      <c r="I2956" t="s">
        <v>73</v>
      </c>
    </row>
    <row r="2957" spans="1:9" x14ac:dyDescent="0.25">
      <c r="A2957">
        <v>20131024</v>
      </c>
      <c r="B2957" t="str">
        <f>"112277"</f>
        <v>112277</v>
      </c>
      <c r="C2957" t="str">
        <f>"87570"</f>
        <v>87570</v>
      </c>
      <c r="D2957" t="s">
        <v>1748</v>
      </c>
      <c r="E2957" s="1">
        <v>1681.85</v>
      </c>
      <c r="F2957">
        <v>20131023</v>
      </c>
      <c r="G2957" t="s">
        <v>982</v>
      </c>
      <c r="H2957" t="s">
        <v>921</v>
      </c>
      <c r="I2957" t="s">
        <v>21</v>
      </c>
    </row>
    <row r="2958" spans="1:9" x14ac:dyDescent="0.25">
      <c r="A2958">
        <v>20131024</v>
      </c>
      <c r="B2958" t="str">
        <f>"112278"</f>
        <v>112278</v>
      </c>
      <c r="C2958" t="str">
        <f>"31920"</f>
        <v>31920</v>
      </c>
      <c r="D2958" t="s">
        <v>1749</v>
      </c>
      <c r="E2958" s="1">
        <v>1200</v>
      </c>
      <c r="F2958">
        <v>20131023</v>
      </c>
      <c r="G2958" t="s">
        <v>526</v>
      </c>
      <c r="H2958" t="s">
        <v>1750</v>
      </c>
      <c r="I2958" t="s">
        <v>21</v>
      </c>
    </row>
    <row r="2959" spans="1:9" x14ac:dyDescent="0.25">
      <c r="A2959">
        <v>20131024</v>
      </c>
      <c r="B2959" t="str">
        <f>"112279"</f>
        <v>112279</v>
      </c>
      <c r="C2959" t="str">
        <f>"84980"</f>
        <v>84980</v>
      </c>
      <c r="D2959" t="s">
        <v>591</v>
      </c>
      <c r="E2959">
        <v>11</v>
      </c>
      <c r="F2959">
        <v>20131023</v>
      </c>
      <c r="G2959" t="s">
        <v>1079</v>
      </c>
      <c r="H2959" t="s">
        <v>1751</v>
      </c>
      <c r="I2959" t="s">
        <v>21</v>
      </c>
    </row>
    <row r="2960" spans="1:9" x14ac:dyDescent="0.25">
      <c r="A2960">
        <v>20131024</v>
      </c>
      <c r="B2960" t="str">
        <f>"112279"</f>
        <v>112279</v>
      </c>
      <c r="C2960" t="str">
        <f>"84980"</f>
        <v>84980</v>
      </c>
      <c r="D2960" t="s">
        <v>591</v>
      </c>
      <c r="E2960">
        <v>27.41</v>
      </c>
      <c r="F2960">
        <v>20131017</v>
      </c>
      <c r="G2960" t="s">
        <v>1752</v>
      </c>
      <c r="H2960" t="s">
        <v>1753</v>
      </c>
      <c r="I2960" t="s">
        <v>21</v>
      </c>
    </row>
    <row r="2961" spans="1:9" x14ac:dyDescent="0.25">
      <c r="A2961">
        <v>20131024</v>
      </c>
      <c r="B2961" t="str">
        <f>"112280"</f>
        <v>112280</v>
      </c>
      <c r="C2961" t="str">
        <f>"87495"</f>
        <v>87495</v>
      </c>
      <c r="D2961" t="s">
        <v>859</v>
      </c>
      <c r="E2961">
        <v>52.53</v>
      </c>
      <c r="F2961">
        <v>20131023</v>
      </c>
      <c r="G2961" t="s">
        <v>191</v>
      </c>
      <c r="H2961" t="s">
        <v>354</v>
      </c>
      <c r="I2961" t="s">
        <v>25</v>
      </c>
    </row>
    <row r="2962" spans="1:9" x14ac:dyDescent="0.25">
      <c r="A2962">
        <v>20131024</v>
      </c>
      <c r="B2962" t="str">
        <f>"112281"</f>
        <v>112281</v>
      </c>
      <c r="C2962" t="str">
        <f>"33590"</f>
        <v>33590</v>
      </c>
      <c r="D2962" t="s">
        <v>1754</v>
      </c>
      <c r="E2962">
        <v>316.22000000000003</v>
      </c>
      <c r="F2962">
        <v>20131021</v>
      </c>
      <c r="G2962" t="s">
        <v>1755</v>
      </c>
      <c r="H2962" t="s">
        <v>921</v>
      </c>
      <c r="I2962" t="s">
        <v>75</v>
      </c>
    </row>
    <row r="2963" spans="1:9" x14ac:dyDescent="0.25">
      <c r="A2963">
        <v>20131024</v>
      </c>
      <c r="B2963" t="str">
        <f>"112282"</f>
        <v>112282</v>
      </c>
      <c r="C2963" t="str">
        <f>"83880"</f>
        <v>83880</v>
      </c>
      <c r="D2963" t="s">
        <v>865</v>
      </c>
      <c r="E2963">
        <v>226.76</v>
      </c>
      <c r="F2963">
        <v>20131021</v>
      </c>
      <c r="G2963" t="s">
        <v>41</v>
      </c>
      <c r="H2963" t="s">
        <v>354</v>
      </c>
      <c r="I2963" t="s">
        <v>38</v>
      </c>
    </row>
    <row r="2964" spans="1:9" x14ac:dyDescent="0.25">
      <c r="A2964">
        <v>20131024</v>
      </c>
      <c r="B2964" t="str">
        <f>"112282"</f>
        <v>112282</v>
      </c>
      <c r="C2964" t="str">
        <f>"83880"</f>
        <v>83880</v>
      </c>
      <c r="D2964" t="s">
        <v>865</v>
      </c>
      <c r="E2964" s="1">
        <v>1400</v>
      </c>
      <c r="F2964">
        <v>20131021</v>
      </c>
      <c r="G2964" t="s">
        <v>866</v>
      </c>
      <c r="H2964" t="s">
        <v>354</v>
      </c>
      <c r="I2964" t="s">
        <v>25</v>
      </c>
    </row>
    <row r="2965" spans="1:9" x14ac:dyDescent="0.25">
      <c r="A2965">
        <v>20131024</v>
      </c>
      <c r="B2965" t="str">
        <f>"112283"</f>
        <v>112283</v>
      </c>
      <c r="C2965" t="str">
        <f>"43880"</f>
        <v>43880</v>
      </c>
      <c r="D2965" t="s">
        <v>1756</v>
      </c>
      <c r="E2965">
        <v>450</v>
      </c>
      <c r="F2965">
        <v>20131022</v>
      </c>
      <c r="G2965" t="s">
        <v>202</v>
      </c>
      <c r="H2965" t="s">
        <v>1757</v>
      </c>
      <c r="I2965" t="s">
        <v>12</v>
      </c>
    </row>
    <row r="2966" spans="1:9" x14ac:dyDescent="0.25">
      <c r="A2966">
        <v>20131024</v>
      </c>
      <c r="B2966" t="str">
        <f>"112284"</f>
        <v>112284</v>
      </c>
      <c r="C2966" t="str">
        <f>"36028"</f>
        <v>36028</v>
      </c>
      <c r="D2966" t="s">
        <v>1758</v>
      </c>
      <c r="E2966" s="1">
        <v>1513.68</v>
      </c>
      <c r="F2966">
        <v>20131023</v>
      </c>
      <c r="G2966" t="s">
        <v>1759</v>
      </c>
      <c r="H2966" t="s">
        <v>921</v>
      </c>
      <c r="I2966" t="s">
        <v>61</v>
      </c>
    </row>
    <row r="2967" spans="1:9" x14ac:dyDescent="0.25">
      <c r="A2967">
        <v>20131024</v>
      </c>
      <c r="B2967" t="str">
        <f>"112285"</f>
        <v>112285</v>
      </c>
      <c r="C2967" t="str">
        <f>"83064"</f>
        <v>83064</v>
      </c>
      <c r="D2967" t="s">
        <v>1760</v>
      </c>
      <c r="E2967">
        <v>40</v>
      </c>
      <c r="F2967">
        <v>20131021</v>
      </c>
      <c r="G2967" t="s">
        <v>1755</v>
      </c>
      <c r="H2967" t="s">
        <v>357</v>
      </c>
      <c r="I2967" t="s">
        <v>75</v>
      </c>
    </row>
    <row r="2968" spans="1:9" x14ac:dyDescent="0.25">
      <c r="A2968">
        <v>20131024</v>
      </c>
      <c r="B2968" t="str">
        <f>"112286"</f>
        <v>112286</v>
      </c>
      <c r="C2968" t="str">
        <f>"83362"</f>
        <v>83362</v>
      </c>
      <c r="D2968" t="s">
        <v>1443</v>
      </c>
      <c r="E2968">
        <v>94.85</v>
      </c>
      <c r="F2968">
        <v>20131023</v>
      </c>
      <c r="G2968" t="s">
        <v>577</v>
      </c>
      <c r="H2968" t="s">
        <v>1761</v>
      </c>
      <c r="I2968" t="s">
        <v>21</v>
      </c>
    </row>
    <row r="2969" spans="1:9" x14ac:dyDescent="0.25">
      <c r="A2969">
        <v>20131024</v>
      </c>
      <c r="B2969" t="str">
        <f>"112287"</f>
        <v>112287</v>
      </c>
      <c r="C2969" t="str">
        <f>"85823"</f>
        <v>85823</v>
      </c>
      <c r="D2969" t="s">
        <v>1446</v>
      </c>
      <c r="E2969" s="1">
        <v>2210</v>
      </c>
      <c r="F2969">
        <v>20131021</v>
      </c>
      <c r="G2969" t="s">
        <v>415</v>
      </c>
      <c r="H2969" t="s">
        <v>1762</v>
      </c>
      <c r="I2969" t="s">
        <v>21</v>
      </c>
    </row>
    <row r="2970" spans="1:9" x14ac:dyDescent="0.25">
      <c r="A2970">
        <v>20131024</v>
      </c>
      <c r="B2970" t="str">
        <f>"112288"</f>
        <v>112288</v>
      </c>
      <c r="C2970" t="str">
        <f>"87562"</f>
        <v>87562</v>
      </c>
      <c r="D2970" t="s">
        <v>1763</v>
      </c>
      <c r="E2970" s="1">
        <v>1014.5</v>
      </c>
      <c r="F2970">
        <v>20131018</v>
      </c>
      <c r="G2970" t="s">
        <v>579</v>
      </c>
      <c r="H2970" t="s">
        <v>1764</v>
      </c>
      <c r="I2970" t="s">
        <v>21</v>
      </c>
    </row>
    <row r="2971" spans="1:9" x14ac:dyDescent="0.25">
      <c r="A2971">
        <v>20131024</v>
      </c>
      <c r="B2971" t="str">
        <f>"112289"</f>
        <v>112289</v>
      </c>
      <c r="C2971" t="str">
        <f>"87565"</f>
        <v>87565</v>
      </c>
      <c r="D2971" t="s">
        <v>1765</v>
      </c>
      <c r="E2971">
        <v>121.37</v>
      </c>
      <c r="F2971">
        <v>20131021</v>
      </c>
      <c r="G2971" t="s">
        <v>603</v>
      </c>
      <c r="H2971" t="s">
        <v>1766</v>
      </c>
      <c r="I2971" t="s">
        <v>25</v>
      </c>
    </row>
    <row r="2972" spans="1:9" x14ac:dyDescent="0.25">
      <c r="A2972">
        <v>20131024</v>
      </c>
      <c r="B2972" t="str">
        <f>"112290"</f>
        <v>112290</v>
      </c>
      <c r="C2972" t="str">
        <f>"84161"</f>
        <v>84161</v>
      </c>
      <c r="D2972" t="s">
        <v>1767</v>
      </c>
      <c r="E2972">
        <v>67.400000000000006</v>
      </c>
      <c r="F2972">
        <v>20131021</v>
      </c>
      <c r="G2972" t="s">
        <v>808</v>
      </c>
      <c r="H2972" t="s">
        <v>365</v>
      </c>
      <c r="I2972" t="s">
        <v>21</v>
      </c>
    </row>
    <row r="2973" spans="1:9" x14ac:dyDescent="0.25">
      <c r="A2973">
        <v>20131024</v>
      </c>
      <c r="B2973" t="str">
        <f>"112291"</f>
        <v>112291</v>
      </c>
      <c r="C2973" t="str">
        <f>"87567"</f>
        <v>87567</v>
      </c>
      <c r="D2973" t="s">
        <v>1768</v>
      </c>
      <c r="E2973">
        <v>713.68</v>
      </c>
      <c r="F2973">
        <v>20131021</v>
      </c>
      <c r="G2973" t="s">
        <v>340</v>
      </c>
      <c r="H2973" t="s">
        <v>656</v>
      </c>
      <c r="I2973" t="s">
        <v>21</v>
      </c>
    </row>
    <row r="2974" spans="1:9" x14ac:dyDescent="0.25">
      <c r="A2974">
        <v>20131024</v>
      </c>
      <c r="B2974" t="str">
        <f t="shared" ref="B2974:B2981" si="211">"112292"</f>
        <v>112292</v>
      </c>
      <c r="C2974" t="str">
        <f t="shared" ref="C2974:C2981" si="212">"82722"</f>
        <v>82722</v>
      </c>
      <c r="D2974" t="s">
        <v>1769</v>
      </c>
      <c r="E2974">
        <v>49.9</v>
      </c>
      <c r="F2974">
        <v>20131017</v>
      </c>
      <c r="G2974" t="s">
        <v>1770</v>
      </c>
      <c r="H2974" t="s">
        <v>1771</v>
      </c>
      <c r="I2974" t="s">
        <v>21</v>
      </c>
    </row>
    <row r="2975" spans="1:9" x14ac:dyDescent="0.25">
      <c r="A2975">
        <v>20131024</v>
      </c>
      <c r="B2975" t="str">
        <f t="shared" si="211"/>
        <v>112292</v>
      </c>
      <c r="C2975" t="str">
        <f t="shared" si="212"/>
        <v>82722</v>
      </c>
      <c r="D2975" t="s">
        <v>1769</v>
      </c>
      <c r="E2975">
        <v>95.89</v>
      </c>
      <c r="F2975">
        <v>20131017</v>
      </c>
      <c r="G2975" t="s">
        <v>1772</v>
      </c>
      <c r="H2975" t="s">
        <v>1771</v>
      </c>
      <c r="I2975" t="s">
        <v>21</v>
      </c>
    </row>
    <row r="2976" spans="1:9" x14ac:dyDescent="0.25">
      <c r="A2976">
        <v>20131024</v>
      </c>
      <c r="B2976" t="str">
        <f t="shared" si="211"/>
        <v>112292</v>
      </c>
      <c r="C2976" t="str">
        <f t="shared" si="212"/>
        <v>82722</v>
      </c>
      <c r="D2976" t="s">
        <v>1769</v>
      </c>
      <c r="E2976">
        <v>536.49</v>
      </c>
      <c r="F2976">
        <v>20131017</v>
      </c>
      <c r="G2976" t="s">
        <v>1773</v>
      </c>
      <c r="H2976" t="s">
        <v>1771</v>
      </c>
      <c r="I2976" t="s">
        <v>21</v>
      </c>
    </row>
    <row r="2977" spans="1:9" x14ac:dyDescent="0.25">
      <c r="A2977">
        <v>20131024</v>
      </c>
      <c r="B2977" t="str">
        <f t="shared" si="211"/>
        <v>112292</v>
      </c>
      <c r="C2977" t="str">
        <f t="shared" si="212"/>
        <v>82722</v>
      </c>
      <c r="D2977" t="s">
        <v>1769</v>
      </c>
      <c r="E2977">
        <v>172.11</v>
      </c>
      <c r="F2977">
        <v>20131017</v>
      </c>
      <c r="G2977" t="s">
        <v>1774</v>
      </c>
      <c r="H2977" t="s">
        <v>1771</v>
      </c>
      <c r="I2977" t="s">
        <v>21</v>
      </c>
    </row>
    <row r="2978" spans="1:9" x14ac:dyDescent="0.25">
      <c r="A2978">
        <v>20131024</v>
      </c>
      <c r="B2978" t="str">
        <f t="shared" si="211"/>
        <v>112292</v>
      </c>
      <c r="C2978" t="str">
        <f t="shared" si="212"/>
        <v>82722</v>
      </c>
      <c r="D2978" t="s">
        <v>1769</v>
      </c>
      <c r="E2978">
        <v>55.35</v>
      </c>
      <c r="F2978">
        <v>20131017</v>
      </c>
      <c r="G2978" t="s">
        <v>1618</v>
      </c>
      <c r="H2978" t="s">
        <v>1771</v>
      </c>
      <c r="I2978" t="s">
        <v>21</v>
      </c>
    </row>
    <row r="2979" spans="1:9" x14ac:dyDescent="0.25">
      <c r="A2979">
        <v>20131024</v>
      </c>
      <c r="B2979" t="str">
        <f t="shared" si="211"/>
        <v>112292</v>
      </c>
      <c r="C2979" t="str">
        <f t="shared" si="212"/>
        <v>82722</v>
      </c>
      <c r="D2979" t="s">
        <v>1769</v>
      </c>
      <c r="E2979">
        <v>216.9</v>
      </c>
      <c r="F2979">
        <v>20131017</v>
      </c>
      <c r="G2979" t="s">
        <v>1775</v>
      </c>
      <c r="H2979" t="s">
        <v>1771</v>
      </c>
      <c r="I2979" t="s">
        <v>21</v>
      </c>
    </row>
    <row r="2980" spans="1:9" x14ac:dyDescent="0.25">
      <c r="A2980">
        <v>20131024</v>
      </c>
      <c r="B2980" t="str">
        <f t="shared" si="211"/>
        <v>112292</v>
      </c>
      <c r="C2980" t="str">
        <f t="shared" si="212"/>
        <v>82722</v>
      </c>
      <c r="D2980" t="s">
        <v>1769</v>
      </c>
      <c r="E2980">
        <v>55.35</v>
      </c>
      <c r="F2980">
        <v>20131017</v>
      </c>
      <c r="G2980" t="s">
        <v>1619</v>
      </c>
      <c r="H2980" t="s">
        <v>1771</v>
      </c>
      <c r="I2980" t="s">
        <v>21</v>
      </c>
    </row>
    <row r="2981" spans="1:9" x14ac:dyDescent="0.25">
      <c r="A2981">
        <v>20131024</v>
      </c>
      <c r="B2981" t="str">
        <f t="shared" si="211"/>
        <v>112292</v>
      </c>
      <c r="C2981" t="str">
        <f t="shared" si="212"/>
        <v>82722</v>
      </c>
      <c r="D2981" t="s">
        <v>1769</v>
      </c>
      <c r="E2981">
        <v>97.85</v>
      </c>
      <c r="F2981">
        <v>20131017</v>
      </c>
      <c r="G2981" t="s">
        <v>1776</v>
      </c>
      <c r="H2981" t="s">
        <v>1771</v>
      </c>
      <c r="I2981" t="s">
        <v>21</v>
      </c>
    </row>
    <row r="2982" spans="1:9" x14ac:dyDescent="0.25">
      <c r="A2982">
        <v>20131024</v>
      </c>
      <c r="B2982" t="str">
        <f>"112293"</f>
        <v>112293</v>
      </c>
      <c r="C2982" t="str">
        <f>"87571"</f>
        <v>87571</v>
      </c>
      <c r="D2982" t="s">
        <v>1777</v>
      </c>
      <c r="E2982">
        <v>275</v>
      </c>
      <c r="F2982">
        <v>20131023</v>
      </c>
      <c r="G2982" t="s">
        <v>347</v>
      </c>
      <c r="H2982" t="s">
        <v>1740</v>
      </c>
      <c r="I2982" t="s">
        <v>61</v>
      </c>
    </row>
    <row r="2983" spans="1:9" x14ac:dyDescent="0.25">
      <c r="A2983">
        <v>20131024</v>
      </c>
      <c r="B2983" t="str">
        <f>"112294"</f>
        <v>112294</v>
      </c>
      <c r="C2983" t="str">
        <f>"82716"</f>
        <v>82716</v>
      </c>
      <c r="D2983" t="s">
        <v>1778</v>
      </c>
      <c r="E2983">
        <v>20.95</v>
      </c>
      <c r="F2983">
        <v>20131023</v>
      </c>
      <c r="G2983" t="s">
        <v>577</v>
      </c>
      <c r="H2983" t="s">
        <v>354</v>
      </c>
      <c r="I2983" t="s">
        <v>21</v>
      </c>
    </row>
    <row r="2984" spans="1:9" x14ac:dyDescent="0.25">
      <c r="A2984">
        <v>20131024</v>
      </c>
      <c r="B2984" t="str">
        <f>"112295"</f>
        <v>112295</v>
      </c>
      <c r="C2984" t="str">
        <f>"81788"</f>
        <v>81788</v>
      </c>
      <c r="D2984" t="s">
        <v>1104</v>
      </c>
      <c r="E2984" s="1">
        <v>14124.02</v>
      </c>
      <c r="F2984">
        <v>20131021</v>
      </c>
      <c r="G2984" t="s">
        <v>581</v>
      </c>
      <c r="H2984" t="s">
        <v>1779</v>
      </c>
      <c r="I2984" t="s">
        <v>21</v>
      </c>
    </row>
    <row r="2985" spans="1:9" x14ac:dyDescent="0.25">
      <c r="A2985">
        <v>20131024</v>
      </c>
      <c r="B2985" t="str">
        <f t="shared" ref="B2985:B2991" si="213">"112296"</f>
        <v>112296</v>
      </c>
      <c r="C2985" t="str">
        <f t="shared" ref="C2985:C2991" si="214">"48820"</f>
        <v>48820</v>
      </c>
      <c r="D2985" t="s">
        <v>1106</v>
      </c>
      <c r="E2985">
        <v>486.71</v>
      </c>
      <c r="F2985">
        <v>20131023</v>
      </c>
      <c r="G2985" t="s">
        <v>1020</v>
      </c>
      <c r="H2985" t="s">
        <v>354</v>
      </c>
      <c r="I2985" t="s">
        <v>21</v>
      </c>
    </row>
    <row r="2986" spans="1:9" x14ac:dyDescent="0.25">
      <c r="A2986">
        <v>20131024</v>
      </c>
      <c r="B2986" t="str">
        <f t="shared" si="213"/>
        <v>112296</v>
      </c>
      <c r="C2986" t="str">
        <f t="shared" si="214"/>
        <v>48820</v>
      </c>
      <c r="D2986" t="s">
        <v>1106</v>
      </c>
      <c r="E2986">
        <v>27.92</v>
      </c>
      <c r="F2986">
        <v>20131023</v>
      </c>
      <c r="G2986" t="s">
        <v>1020</v>
      </c>
      <c r="H2986" t="s">
        <v>354</v>
      </c>
      <c r="I2986" t="s">
        <v>21</v>
      </c>
    </row>
    <row r="2987" spans="1:9" x14ac:dyDescent="0.25">
      <c r="A2987">
        <v>20131024</v>
      </c>
      <c r="B2987" t="str">
        <f t="shared" si="213"/>
        <v>112296</v>
      </c>
      <c r="C2987" t="str">
        <f t="shared" si="214"/>
        <v>48820</v>
      </c>
      <c r="D2987" t="s">
        <v>1106</v>
      </c>
      <c r="E2987">
        <v>127.11</v>
      </c>
      <c r="F2987">
        <v>20131023</v>
      </c>
      <c r="G2987" t="s">
        <v>209</v>
      </c>
      <c r="H2987" t="s">
        <v>354</v>
      </c>
      <c r="I2987" t="s">
        <v>25</v>
      </c>
    </row>
    <row r="2988" spans="1:9" x14ac:dyDescent="0.25">
      <c r="A2988">
        <v>20131024</v>
      </c>
      <c r="B2988" t="str">
        <f t="shared" si="213"/>
        <v>112296</v>
      </c>
      <c r="C2988" t="str">
        <f t="shared" si="214"/>
        <v>48820</v>
      </c>
      <c r="D2988" t="s">
        <v>1106</v>
      </c>
      <c r="E2988">
        <v>196.3</v>
      </c>
      <c r="F2988">
        <v>20131023</v>
      </c>
      <c r="G2988" t="s">
        <v>209</v>
      </c>
      <c r="H2988" t="s">
        <v>354</v>
      </c>
      <c r="I2988" t="s">
        <v>25</v>
      </c>
    </row>
    <row r="2989" spans="1:9" x14ac:dyDescent="0.25">
      <c r="A2989">
        <v>20131024</v>
      </c>
      <c r="B2989" t="str">
        <f t="shared" si="213"/>
        <v>112296</v>
      </c>
      <c r="C2989" t="str">
        <f t="shared" si="214"/>
        <v>48820</v>
      </c>
      <c r="D2989" t="s">
        <v>1106</v>
      </c>
      <c r="E2989">
        <v>376.21</v>
      </c>
      <c r="F2989">
        <v>20131023</v>
      </c>
      <c r="G2989" t="s">
        <v>209</v>
      </c>
      <c r="H2989" t="s">
        <v>354</v>
      </c>
      <c r="I2989" t="s">
        <v>25</v>
      </c>
    </row>
    <row r="2990" spans="1:9" x14ac:dyDescent="0.25">
      <c r="A2990">
        <v>20131024</v>
      </c>
      <c r="B2990" t="str">
        <f t="shared" si="213"/>
        <v>112296</v>
      </c>
      <c r="C2990" t="str">
        <f t="shared" si="214"/>
        <v>48820</v>
      </c>
      <c r="D2990" t="s">
        <v>1106</v>
      </c>
      <c r="E2990">
        <v>40</v>
      </c>
      <c r="F2990">
        <v>20131023</v>
      </c>
      <c r="G2990" t="s">
        <v>209</v>
      </c>
      <c r="H2990" t="s">
        <v>354</v>
      </c>
      <c r="I2990" t="s">
        <v>25</v>
      </c>
    </row>
    <row r="2991" spans="1:9" x14ac:dyDescent="0.25">
      <c r="A2991">
        <v>20131024</v>
      </c>
      <c r="B2991" t="str">
        <f t="shared" si="213"/>
        <v>112296</v>
      </c>
      <c r="C2991" t="str">
        <f t="shared" si="214"/>
        <v>48820</v>
      </c>
      <c r="D2991" t="s">
        <v>1106</v>
      </c>
      <c r="E2991">
        <v>9.06</v>
      </c>
      <c r="F2991">
        <v>20131023</v>
      </c>
      <c r="G2991" t="s">
        <v>209</v>
      </c>
      <c r="H2991" t="s">
        <v>354</v>
      </c>
      <c r="I2991" t="s">
        <v>25</v>
      </c>
    </row>
    <row r="2992" spans="1:9" x14ac:dyDescent="0.25">
      <c r="A2992">
        <v>20131024</v>
      </c>
      <c r="B2992" t="str">
        <f>"112297"</f>
        <v>112297</v>
      </c>
      <c r="C2992" t="str">
        <f>"87373"</f>
        <v>87373</v>
      </c>
      <c r="D2992" t="s">
        <v>1780</v>
      </c>
      <c r="E2992">
        <v>365</v>
      </c>
      <c r="F2992">
        <v>20131021</v>
      </c>
      <c r="G2992" t="s">
        <v>704</v>
      </c>
      <c r="H2992" t="s">
        <v>354</v>
      </c>
      <c r="I2992" t="s">
        <v>21</v>
      </c>
    </row>
    <row r="2993" spans="1:9" x14ac:dyDescent="0.25">
      <c r="A2993">
        <v>20131024</v>
      </c>
      <c r="B2993" t="str">
        <f>"112298"</f>
        <v>112298</v>
      </c>
      <c r="C2993" t="str">
        <f>"87569"</f>
        <v>87569</v>
      </c>
      <c r="D2993" t="s">
        <v>1781</v>
      </c>
      <c r="E2993">
        <v>40</v>
      </c>
      <c r="F2993">
        <v>20131023</v>
      </c>
      <c r="G2993" t="s">
        <v>367</v>
      </c>
      <c r="H2993" t="s">
        <v>1782</v>
      </c>
      <c r="I2993" t="s">
        <v>21</v>
      </c>
    </row>
    <row r="2994" spans="1:9" x14ac:dyDescent="0.25">
      <c r="A2994">
        <v>20131024</v>
      </c>
      <c r="B2994" t="str">
        <f>"112299"</f>
        <v>112299</v>
      </c>
      <c r="C2994" t="str">
        <f>"00375"</f>
        <v>00375</v>
      </c>
      <c r="D2994" t="s">
        <v>1783</v>
      </c>
      <c r="E2994">
        <v>390</v>
      </c>
      <c r="F2994">
        <v>20131023</v>
      </c>
      <c r="G2994" t="s">
        <v>1784</v>
      </c>
      <c r="H2994" t="s">
        <v>954</v>
      </c>
      <c r="I2994" t="s">
        <v>21</v>
      </c>
    </row>
    <row r="2995" spans="1:9" x14ac:dyDescent="0.25">
      <c r="A2995">
        <v>20131024</v>
      </c>
      <c r="B2995" t="str">
        <f>"112300"</f>
        <v>112300</v>
      </c>
      <c r="C2995" t="str">
        <f>"87564"</f>
        <v>87564</v>
      </c>
      <c r="D2995" t="s">
        <v>1785</v>
      </c>
      <c r="E2995">
        <v>250</v>
      </c>
      <c r="F2995">
        <v>20131022</v>
      </c>
      <c r="G2995" t="s">
        <v>347</v>
      </c>
      <c r="H2995" t="s">
        <v>1740</v>
      </c>
      <c r="I2995" t="s">
        <v>61</v>
      </c>
    </row>
    <row r="2996" spans="1:9" x14ac:dyDescent="0.25">
      <c r="A2996">
        <v>20131024</v>
      </c>
      <c r="B2996" t="str">
        <f>"112301"</f>
        <v>112301</v>
      </c>
      <c r="C2996" t="str">
        <f>"83954"</f>
        <v>83954</v>
      </c>
      <c r="D2996" t="s">
        <v>1786</v>
      </c>
      <c r="E2996" s="1">
        <v>1917.29</v>
      </c>
      <c r="F2996">
        <v>20131018</v>
      </c>
      <c r="G2996" t="s">
        <v>902</v>
      </c>
      <c r="H2996" t="s">
        <v>1787</v>
      </c>
      <c r="I2996" t="s">
        <v>21</v>
      </c>
    </row>
    <row r="2997" spans="1:9" x14ac:dyDescent="0.25">
      <c r="A2997">
        <v>20131024</v>
      </c>
      <c r="B2997" t="str">
        <f>"112302"</f>
        <v>112302</v>
      </c>
      <c r="C2997" t="str">
        <f>"55625"</f>
        <v>55625</v>
      </c>
      <c r="D2997" t="s">
        <v>1639</v>
      </c>
      <c r="E2997">
        <v>175.39</v>
      </c>
      <c r="F2997">
        <v>20131023</v>
      </c>
      <c r="G2997" t="s">
        <v>1640</v>
      </c>
      <c r="H2997" t="s">
        <v>1788</v>
      </c>
      <c r="I2997" t="s">
        <v>21</v>
      </c>
    </row>
    <row r="2998" spans="1:9" x14ac:dyDescent="0.25">
      <c r="A2998">
        <v>20131024</v>
      </c>
      <c r="B2998" t="str">
        <f>"112303"</f>
        <v>112303</v>
      </c>
      <c r="C2998" t="str">
        <f>"57046"</f>
        <v>57046</v>
      </c>
      <c r="D2998" t="s">
        <v>1789</v>
      </c>
      <c r="E2998">
        <v>155</v>
      </c>
      <c r="F2998">
        <v>20131022</v>
      </c>
      <c r="G2998" t="s">
        <v>137</v>
      </c>
      <c r="H2998" t="s">
        <v>1790</v>
      </c>
      <c r="I2998" t="s">
        <v>21</v>
      </c>
    </row>
    <row r="2999" spans="1:9" x14ac:dyDescent="0.25">
      <c r="A2999">
        <v>20131024</v>
      </c>
      <c r="B2999" t="str">
        <f>"112304"</f>
        <v>112304</v>
      </c>
      <c r="C2999" t="str">
        <f>"58390"</f>
        <v>58390</v>
      </c>
      <c r="D2999" t="s">
        <v>1791</v>
      </c>
      <c r="E2999">
        <v>568.25</v>
      </c>
      <c r="F2999">
        <v>20131018</v>
      </c>
      <c r="G2999" t="s">
        <v>214</v>
      </c>
      <c r="H2999" t="s">
        <v>1792</v>
      </c>
      <c r="I2999" t="s">
        <v>38</v>
      </c>
    </row>
    <row r="3000" spans="1:9" x14ac:dyDescent="0.25">
      <c r="A3000">
        <v>20131024</v>
      </c>
      <c r="B3000" t="str">
        <f>"112305"</f>
        <v>112305</v>
      </c>
      <c r="C3000" t="str">
        <f>"59500"</f>
        <v>59500</v>
      </c>
      <c r="D3000" t="s">
        <v>670</v>
      </c>
      <c r="E3000">
        <v>135.5</v>
      </c>
      <c r="F3000">
        <v>20131022</v>
      </c>
      <c r="G3000" t="s">
        <v>137</v>
      </c>
      <c r="H3000" t="s">
        <v>414</v>
      </c>
      <c r="I3000" t="s">
        <v>21</v>
      </c>
    </row>
    <row r="3001" spans="1:9" x14ac:dyDescent="0.25">
      <c r="A3001">
        <v>20131024</v>
      </c>
      <c r="B3001" t="str">
        <f>"112306"</f>
        <v>112306</v>
      </c>
      <c r="C3001" t="str">
        <f>"87568"</f>
        <v>87568</v>
      </c>
      <c r="D3001" t="s">
        <v>1793</v>
      </c>
      <c r="E3001">
        <v>25.24</v>
      </c>
      <c r="F3001">
        <v>20131022</v>
      </c>
      <c r="G3001" t="s">
        <v>36</v>
      </c>
      <c r="H3001" t="s">
        <v>354</v>
      </c>
      <c r="I3001" t="s">
        <v>38</v>
      </c>
    </row>
    <row r="3002" spans="1:9" x14ac:dyDescent="0.25">
      <c r="A3002">
        <v>20131024</v>
      </c>
      <c r="B3002" t="str">
        <f>"112307"</f>
        <v>112307</v>
      </c>
      <c r="C3002" t="str">
        <f>"83007"</f>
        <v>83007</v>
      </c>
      <c r="D3002" t="s">
        <v>1794</v>
      </c>
      <c r="E3002">
        <v>866.75</v>
      </c>
      <c r="F3002">
        <v>20131018</v>
      </c>
      <c r="G3002" t="s">
        <v>1795</v>
      </c>
      <c r="H3002" t="s">
        <v>1796</v>
      </c>
      <c r="I3002" t="s">
        <v>38</v>
      </c>
    </row>
    <row r="3003" spans="1:9" x14ac:dyDescent="0.25">
      <c r="A3003">
        <v>20131024</v>
      </c>
      <c r="B3003" t="str">
        <f>"112308"</f>
        <v>112308</v>
      </c>
      <c r="C3003" t="str">
        <f>"62451"</f>
        <v>62451</v>
      </c>
      <c r="D3003" t="s">
        <v>1797</v>
      </c>
      <c r="E3003" s="1">
        <v>3190.16</v>
      </c>
      <c r="F3003">
        <v>20131022</v>
      </c>
      <c r="G3003" t="s">
        <v>119</v>
      </c>
      <c r="H3003" t="s">
        <v>1798</v>
      </c>
      <c r="I3003" t="s">
        <v>38</v>
      </c>
    </row>
    <row r="3004" spans="1:9" x14ac:dyDescent="0.25">
      <c r="A3004">
        <v>20131024</v>
      </c>
      <c r="B3004" t="str">
        <f>"112309"</f>
        <v>112309</v>
      </c>
      <c r="C3004" t="str">
        <f>"62900"</f>
        <v>62900</v>
      </c>
      <c r="D3004" t="s">
        <v>1293</v>
      </c>
      <c r="E3004">
        <v>88.87</v>
      </c>
      <c r="F3004">
        <v>20131021</v>
      </c>
      <c r="G3004" t="s">
        <v>935</v>
      </c>
      <c r="H3004" t="s">
        <v>1799</v>
      </c>
      <c r="I3004" t="s">
        <v>21</v>
      </c>
    </row>
    <row r="3005" spans="1:9" x14ac:dyDescent="0.25">
      <c r="A3005">
        <v>20131024</v>
      </c>
      <c r="B3005" t="str">
        <f>"112310"</f>
        <v>112310</v>
      </c>
      <c r="C3005" t="str">
        <f>"86475"</f>
        <v>86475</v>
      </c>
      <c r="D3005" t="s">
        <v>1800</v>
      </c>
      <c r="E3005">
        <v>825.41</v>
      </c>
      <c r="F3005">
        <v>20131023</v>
      </c>
      <c r="G3005" t="s">
        <v>337</v>
      </c>
      <c r="H3005" t="s">
        <v>1801</v>
      </c>
      <c r="I3005" t="s">
        <v>21</v>
      </c>
    </row>
    <row r="3006" spans="1:9" x14ac:dyDescent="0.25">
      <c r="A3006">
        <v>20131024</v>
      </c>
      <c r="B3006" t="str">
        <f>"112311"</f>
        <v>112311</v>
      </c>
      <c r="C3006" t="str">
        <f>"81162"</f>
        <v>81162</v>
      </c>
      <c r="D3006" t="s">
        <v>1802</v>
      </c>
      <c r="E3006">
        <v>461.07</v>
      </c>
      <c r="F3006">
        <v>20131022</v>
      </c>
      <c r="G3006" t="s">
        <v>1145</v>
      </c>
      <c r="H3006" t="s">
        <v>921</v>
      </c>
      <c r="I3006" t="s">
        <v>73</v>
      </c>
    </row>
    <row r="3007" spans="1:9" x14ac:dyDescent="0.25">
      <c r="A3007">
        <v>20131024</v>
      </c>
      <c r="B3007" t="str">
        <f>"112312"</f>
        <v>112312</v>
      </c>
      <c r="C3007" t="str">
        <f>"81481"</f>
        <v>81481</v>
      </c>
      <c r="D3007" t="s">
        <v>1803</v>
      </c>
      <c r="E3007">
        <v>416.5</v>
      </c>
      <c r="F3007">
        <v>20131023</v>
      </c>
      <c r="G3007" t="s">
        <v>1804</v>
      </c>
      <c r="H3007" t="s">
        <v>1805</v>
      </c>
      <c r="I3007" t="s">
        <v>38</v>
      </c>
    </row>
    <row r="3008" spans="1:9" x14ac:dyDescent="0.25">
      <c r="A3008">
        <v>20131024</v>
      </c>
      <c r="B3008" t="str">
        <f>"112313"</f>
        <v>112313</v>
      </c>
      <c r="C3008" t="str">
        <f>"68960"</f>
        <v>68960</v>
      </c>
      <c r="D3008" t="s">
        <v>689</v>
      </c>
      <c r="E3008">
        <v>133.25</v>
      </c>
      <c r="F3008">
        <v>20131022</v>
      </c>
      <c r="G3008" t="s">
        <v>356</v>
      </c>
      <c r="H3008" t="s">
        <v>357</v>
      </c>
      <c r="I3008" t="s">
        <v>61</v>
      </c>
    </row>
    <row r="3009" spans="1:9" x14ac:dyDescent="0.25">
      <c r="A3009">
        <v>20131024</v>
      </c>
      <c r="B3009" t="str">
        <f>"112313"</f>
        <v>112313</v>
      </c>
      <c r="C3009" t="str">
        <f>"68960"</f>
        <v>68960</v>
      </c>
      <c r="D3009" t="s">
        <v>689</v>
      </c>
      <c r="E3009">
        <v>130</v>
      </c>
      <c r="F3009">
        <v>20131023</v>
      </c>
      <c r="G3009" t="s">
        <v>1030</v>
      </c>
      <c r="H3009" t="s">
        <v>357</v>
      </c>
      <c r="I3009" t="s">
        <v>63</v>
      </c>
    </row>
    <row r="3010" spans="1:9" x14ac:dyDescent="0.25">
      <c r="A3010">
        <v>20131024</v>
      </c>
      <c r="B3010" t="str">
        <f t="shared" ref="B3010:B3015" si="215">"112314"</f>
        <v>112314</v>
      </c>
      <c r="C3010" t="str">
        <f t="shared" ref="C3010:C3015" si="216">"86376"</f>
        <v>86376</v>
      </c>
      <c r="D3010" t="s">
        <v>1661</v>
      </c>
      <c r="E3010" s="1">
        <v>22324</v>
      </c>
      <c r="F3010">
        <v>20131018</v>
      </c>
      <c r="G3010" t="s">
        <v>1806</v>
      </c>
      <c r="H3010" t="s">
        <v>1807</v>
      </c>
      <c r="I3010" t="s">
        <v>21</v>
      </c>
    </row>
    <row r="3011" spans="1:9" x14ac:dyDescent="0.25">
      <c r="A3011">
        <v>20131024</v>
      </c>
      <c r="B3011" t="str">
        <f t="shared" si="215"/>
        <v>112314</v>
      </c>
      <c r="C3011" t="str">
        <f t="shared" si="216"/>
        <v>86376</v>
      </c>
      <c r="D3011" t="s">
        <v>1661</v>
      </c>
      <c r="E3011" s="1">
        <v>22290</v>
      </c>
      <c r="F3011">
        <v>20131018</v>
      </c>
      <c r="G3011" t="s">
        <v>1808</v>
      </c>
      <c r="H3011" t="s">
        <v>1809</v>
      </c>
      <c r="I3011" t="s">
        <v>306</v>
      </c>
    </row>
    <row r="3012" spans="1:9" x14ac:dyDescent="0.25">
      <c r="A3012">
        <v>20131024</v>
      </c>
      <c r="B3012" t="str">
        <f t="shared" si="215"/>
        <v>112314</v>
      </c>
      <c r="C3012" t="str">
        <f t="shared" si="216"/>
        <v>86376</v>
      </c>
      <c r="D3012" t="s">
        <v>1661</v>
      </c>
      <c r="E3012" s="1">
        <v>10000</v>
      </c>
      <c r="F3012">
        <v>20131018</v>
      </c>
      <c r="G3012" t="s">
        <v>1810</v>
      </c>
      <c r="H3012" t="s">
        <v>1809</v>
      </c>
      <c r="I3012" t="s">
        <v>306</v>
      </c>
    </row>
    <row r="3013" spans="1:9" x14ac:dyDescent="0.25">
      <c r="A3013">
        <v>20131024</v>
      </c>
      <c r="B3013" t="str">
        <f t="shared" si="215"/>
        <v>112314</v>
      </c>
      <c r="C3013" t="str">
        <f t="shared" si="216"/>
        <v>86376</v>
      </c>
      <c r="D3013" t="s">
        <v>1661</v>
      </c>
      <c r="E3013" s="1">
        <v>5000</v>
      </c>
      <c r="F3013">
        <v>20131018</v>
      </c>
      <c r="G3013" t="s">
        <v>1811</v>
      </c>
      <c r="H3013" t="s">
        <v>1809</v>
      </c>
      <c r="I3013" t="s">
        <v>306</v>
      </c>
    </row>
    <row r="3014" spans="1:9" x14ac:dyDescent="0.25">
      <c r="A3014">
        <v>20131024</v>
      </c>
      <c r="B3014" t="str">
        <f t="shared" si="215"/>
        <v>112314</v>
      </c>
      <c r="C3014" t="str">
        <f t="shared" si="216"/>
        <v>86376</v>
      </c>
      <c r="D3014" t="s">
        <v>1661</v>
      </c>
      <c r="E3014" s="1">
        <v>10000</v>
      </c>
      <c r="F3014">
        <v>20131018</v>
      </c>
      <c r="G3014" t="s">
        <v>1812</v>
      </c>
      <c r="H3014" t="s">
        <v>1809</v>
      </c>
      <c r="I3014" t="s">
        <v>306</v>
      </c>
    </row>
    <row r="3015" spans="1:9" x14ac:dyDescent="0.25">
      <c r="A3015">
        <v>20131024</v>
      </c>
      <c r="B3015" t="str">
        <f t="shared" si="215"/>
        <v>112314</v>
      </c>
      <c r="C3015" t="str">
        <f t="shared" si="216"/>
        <v>86376</v>
      </c>
      <c r="D3015" t="s">
        <v>1661</v>
      </c>
      <c r="E3015" s="1">
        <v>31000</v>
      </c>
      <c r="F3015">
        <v>20131018</v>
      </c>
      <c r="G3015" t="s">
        <v>1813</v>
      </c>
      <c r="H3015" t="s">
        <v>1809</v>
      </c>
      <c r="I3015" t="s">
        <v>306</v>
      </c>
    </row>
    <row r="3016" spans="1:9" x14ac:dyDescent="0.25">
      <c r="A3016">
        <v>20131024</v>
      </c>
      <c r="B3016" t="str">
        <f>"112315"</f>
        <v>112315</v>
      </c>
      <c r="C3016" t="str">
        <f>"85353"</f>
        <v>85353</v>
      </c>
      <c r="D3016" t="s">
        <v>1814</v>
      </c>
      <c r="E3016">
        <v>856</v>
      </c>
      <c r="F3016">
        <v>20131022</v>
      </c>
      <c r="G3016" t="s">
        <v>119</v>
      </c>
      <c r="H3016" t="s">
        <v>811</v>
      </c>
      <c r="I3016" t="s">
        <v>38</v>
      </c>
    </row>
    <row r="3017" spans="1:9" x14ac:dyDescent="0.25">
      <c r="A3017">
        <v>20131024</v>
      </c>
      <c r="B3017" t="str">
        <f>"112316"</f>
        <v>112316</v>
      </c>
      <c r="C3017" t="str">
        <f>"81119"</f>
        <v>81119</v>
      </c>
      <c r="D3017" t="s">
        <v>1815</v>
      </c>
      <c r="E3017">
        <v>41.97</v>
      </c>
      <c r="F3017">
        <v>20131023</v>
      </c>
      <c r="G3017" t="s">
        <v>1064</v>
      </c>
      <c r="H3017" t="s">
        <v>354</v>
      </c>
      <c r="I3017" t="s">
        <v>21</v>
      </c>
    </row>
    <row r="3018" spans="1:9" x14ac:dyDescent="0.25">
      <c r="A3018">
        <v>20131024</v>
      </c>
      <c r="B3018" t="str">
        <f>"112316"</f>
        <v>112316</v>
      </c>
      <c r="C3018" t="str">
        <f>"81119"</f>
        <v>81119</v>
      </c>
      <c r="D3018" t="s">
        <v>1815</v>
      </c>
      <c r="E3018">
        <v>48.15</v>
      </c>
      <c r="F3018">
        <v>20131023</v>
      </c>
      <c r="G3018" t="s">
        <v>982</v>
      </c>
      <c r="H3018" t="s">
        <v>563</v>
      </c>
      <c r="I3018" t="s">
        <v>21</v>
      </c>
    </row>
    <row r="3019" spans="1:9" x14ac:dyDescent="0.25">
      <c r="A3019">
        <v>20131024</v>
      </c>
      <c r="B3019" t="str">
        <f>"112317"</f>
        <v>112317</v>
      </c>
      <c r="C3019" t="str">
        <f>"69331"</f>
        <v>69331</v>
      </c>
      <c r="D3019" t="s">
        <v>383</v>
      </c>
      <c r="E3019">
        <v>825</v>
      </c>
      <c r="F3019">
        <v>20131023</v>
      </c>
      <c r="G3019" t="s">
        <v>367</v>
      </c>
      <c r="H3019" t="s">
        <v>1816</v>
      </c>
      <c r="I3019" t="s">
        <v>21</v>
      </c>
    </row>
    <row r="3020" spans="1:9" x14ac:dyDescent="0.25">
      <c r="A3020">
        <v>20131024</v>
      </c>
      <c r="B3020" t="str">
        <f>"112318"</f>
        <v>112318</v>
      </c>
      <c r="C3020" t="str">
        <f>"87459"</f>
        <v>87459</v>
      </c>
      <c r="D3020" t="s">
        <v>1817</v>
      </c>
      <c r="E3020" s="1">
        <v>3162.5</v>
      </c>
      <c r="F3020">
        <v>20131021</v>
      </c>
      <c r="G3020" t="s">
        <v>184</v>
      </c>
      <c r="H3020" t="s">
        <v>1818</v>
      </c>
      <c r="I3020" t="s">
        <v>25</v>
      </c>
    </row>
    <row r="3021" spans="1:9" x14ac:dyDescent="0.25">
      <c r="A3021">
        <v>20131024</v>
      </c>
      <c r="B3021" t="str">
        <f>"112319"</f>
        <v>112319</v>
      </c>
      <c r="C3021" t="str">
        <f>"70760"</f>
        <v>70760</v>
      </c>
      <c r="D3021" t="s">
        <v>963</v>
      </c>
      <c r="E3021">
        <v>367</v>
      </c>
      <c r="F3021">
        <v>20131022</v>
      </c>
      <c r="G3021" t="s">
        <v>1178</v>
      </c>
      <c r="H3021" t="s">
        <v>1819</v>
      </c>
      <c r="I3021" t="s">
        <v>21</v>
      </c>
    </row>
    <row r="3022" spans="1:9" x14ac:dyDescent="0.25">
      <c r="A3022">
        <v>20131024</v>
      </c>
      <c r="B3022" t="str">
        <f>"112320"</f>
        <v>112320</v>
      </c>
      <c r="C3022" t="str">
        <f>"00396"</f>
        <v>00396</v>
      </c>
      <c r="D3022" t="s">
        <v>1820</v>
      </c>
      <c r="E3022">
        <v>175</v>
      </c>
      <c r="F3022">
        <v>20131022</v>
      </c>
      <c r="G3022" t="s">
        <v>1145</v>
      </c>
      <c r="H3022" t="s">
        <v>1821</v>
      </c>
      <c r="I3022" t="s">
        <v>73</v>
      </c>
    </row>
    <row r="3023" spans="1:9" x14ac:dyDescent="0.25">
      <c r="A3023">
        <v>20131024</v>
      </c>
      <c r="B3023" t="str">
        <f>"112321"</f>
        <v>112321</v>
      </c>
      <c r="C3023" t="str">
        <f>"73500"</f>
        <v>73500</v>
      </c>
      <c r="D3023" t="s">
        <v>1822</v>
      </c>
      <c r="E3023" s="1">
        <v>4516.83</v>
      </c>
      <c r="F3023">
        <v>20131022</v>
      </c>
      <c r="G3023" t="s">
        <v>1823</v>
      </c>
      <c r="H3023" t="s">
        <v>1824</v>
      </c>
      <c r="I3023" t="s">
        <v>21</v>
      </c>
    </row>
    <row r="3024" spans="1:9" x14ac:dyDescent="0.25">
      <c r="A3024">
        <v>20131024</v>
      </c>
      <c r="B3024" t="str">
        <f>"112321"</f>
        <v>112321</v>
      </c>
      <c r="C3024" t="str">
        <f>"73500"</f>
        <v>73500</v>
      </c>
      <c r="D3024" t="s">
        <v>1822</v>
      </c>
      <c r="E3024">
        <v>45.1</v>
      </c>
      <c r="F3024">
        <v>20131022</v>
      </c>
      <c r="G3024" t="s">
        <v>1825</v>
      </c>
      <c r="H3024" t="s">
        <v>1824</v>
      </c>
      <c r="I3024" t="s">
        <v>12</v>
      </c>
    </row>
    <row r="3025" spans="1:9" x14ac:dyDescent="0.25">
      <c r="A3025">
        <v>20131024</v>
      </c>
      <c r="B3025" t="str">
        <f>"112322"</f>
        <v>112322</v>
      </c>
      <c r="C3025" t="str">
        <f>"87217"</f>
        <v>87217</v>
      </c>
      <c r="D3025" t="s">
        <v>1826</v>
      </c>
      <c r="E3025">
        <v>49.95</v>
      </c>
      <c r="F3025">
        <v>20131023</v>
      </c>
      <c r="G3025" t="s">
        <v>171</v>
      </c>
      <c r="H3025" t="s">
        <v>784</v>
      </c>
      <c r="I3025" t="s">
        <v>38</v>
      </c>
    </row>
    <row r="3026" spans="1:9" x14ac:dyDescent="0.25">
      <c r="A3026">
        <v>20131024</v>
      </c>
      <c r="B3026" t="str">
        <f>"112323"</f>
        <v>112323</v>
      </c>
      <c r="C3026" t="str">
        <f>"75500"</f>
        <v>75500</v>
      </c>
      <c r="D3026" t="s">
        <v>711</v>
      </c>
      <c r="E3026">
        <v>58.25</v>
      </c>
      <c r="F3026">
        <v>20131023</v>
      </c>
      <c r="G3026" t="s">
        <v>171</v>
      </c>
      <c r="H3026" t="s">
        <v>1827</v>
      </c>
      <c r="I3026" t="s">
        <v>38</v>
      </c>
    </row>
    <row r="3027" spans="1:9" x14ac:dyDescent="0.25">
      <c r="A3027">
        <v>20131024</v>
      </c>
      <c r="B3027" t="str">
        <f>"112324"</f>
        <v>112324</v>
      </c>
      <c r="C3027" t="str">
        <f>"69310"</f>
        <v>69310</v>
      </c>
      <c r="D3027" t="s">
        <v>716</v>
      </c>
      <c r="E3027" s="1">
        <v>1972.04</v>
      </c>
      <c r="F3027">
        <v>20131022</v>
      </c>
      <c r="G3027" t="s">
        <v>718</v>
      </c>
      <c r="H3027" t="s">
        <v>488</v>
      </c>
      <c r="I3027" t="s">
        <v>21</v>
      </c>
    </row>
    <row r="3028" spans="1:9" x14ac:dyDescent="0.25">
      <c r="A3028">
        <v>20131024</v>
      </c>
      <c r="B3028" t="str">
        <f>"112325"</f>
        <v>112325</v>
      </c>
      <c r="C3028" t="str">
        <f>"87068"</f>
        <v>87068</v>
      </c>
      <c r="D3028" t="s">
        <v>1828</v>
      </c>
      <c r="E3028">
        <v>200</v>
      </c>
      <c r="F3028">
        <v>20131022</v>
      </c>
      <c r="G3028" t="s">
        <v>347</v>
      </c>
      <c r="H3028" t="s">
        <v>361</v>
      </c>
      <c r="I3028" t="s">
        <v>61</v>
      </c>
    </row>
    <row r="3029" spans="1:9" x14ac:dyDescent="0.25">
      <c r="A3029">
        <v>20131024</v>
      </c>
      <c r="B3029" t="str">
        <f>"112326"</f>
        <v>112326</v>
      </c>
      <c r="C3029" t="str">
        <f>"87572"</f>
        <v>87572</v>
      </c>
      <c r="D3029" t="s">
        <v>1829</v>
      </c>
      <c r="E3029">
        <v>250</v>
      </c>
      <c r="F3029">
        <v>20131023</v>
      </c>
      <c r="G3029" t="s">
        <v>965</v>
      </c>
      <c r="H3029" t="s">
        <v>1830</v>
      </c>
      <c r="I3029" t="s">
        <v>21</v>
      </c>
    </row>
    <row r="3030" spans="1:9" x14ac:dyDescent="0.25">
      <c r="A3030">
        <v>20131024</v>
      </c>
      <c r="B3030" t="str">
        <f>"112327"</f>
        <v>112327</v>
      </c>
      <c r="C3030" t="str">
        <f>"87141"</f>
        <v>87141</v>
      </c>
      <c r="D3030" t="s">
        <v>1332</v>
      </c>
      <c r="E3030">
        <v>213.72</v>
      </c>
      <c r="F3030">
        <v>20131023</v>
      </c>
      <c r="G3030" t="s">
        <v>637</v>
      </c>
      <c r="H3030" t="s">
        <v>1831</v>
      </c>
      <c r="I3030" t="s">
        <v>38</v>
      </c>
    </row>
    <row r="3031" spans="1:9" x14ac:dyDescent="0.25">
      <c r="A3031">
        <v>20131025</v>
      </c>
      <c r="B3031" t="str">
        <f>"112328"</f>
        <v>112328</v>
      </c>
      <c r="C3031" t="str">
        <f>"00500"</f>
        <v>00500</v>
      </c>
      <c r="D3031" t="s">
        <v>486</v>
      </c>
      <c r="E3031" s="1">
        <v>5370.76</v>
      </c>
      <c r="F3031">
        <v>20131024</v>
      </c>
      <c r="G3031" t="s">
        <v>1705</v>
      </c>
      <c r="H3031" t="s">
        <v>488</v>
      </c>
      <c r="I3031" t="s">
        <v>21</v>
      </c>
    </row>
    <row r="3032" spans="1:9" x14ac:dyDescent="0.25">
      <c r="A3032">
        <v>20131031</v>
      </c>
      <c r="B3032" t="str">
        <f>"112329"</f>
        <v>112329</v>
      </c>
      <c r="C3032" t="str">
        <f>"87403"</f>
        <v>87403</v>
      </c>
      <c r="D3032" t="s">
        <v>1832</v>
      </c>
      <c r="E3032" s="1">
        <v>4000</v>
      </c>
      <c r="F3032">
        <v>20131029</v>
      </c>
      <c r="G3032" t="s">
        <v>1833</v>
      </c>
      <c r="H3032" t="s">
        <v>1834</v>
      </c>
      <c r="I3032" t="s">
        <v>66</v>
      </c>
    </row>
    <row r="3033" spans="1:9" x14ac:dyDescent="0.25">
      <c r="A3033">
        <v>20131031</v>
      </c>
      <c r="B3033" t="str">
        <f>"112330"</f>
        <v>112330</v>
      </c>
      <c r="C3033" t="str">
        <f>"83919"</f>
        <v>83919</v>
      </c>
      <c r="D3033" t="s">
        <v>1835</v>
      </c>
      <c r="E3033" s="1">
        <v>1160.47</v>
      </c>
      <c r="F3033">
        <v>20131030</v>
      </c>
      <c r="G3033" t="s">
        <v>935</v>
      </c>
      <c r="H3033" t="s">
        <v>1836</v>
      </c>
      <c r="I3033" t="s">
        <v>21</v>
      </c>
    </row>
    <row r="3034" spans="1:9" x14ac:dyDescent="0.25">
      <c r="A3034">
        <v>20131031</v>
      </c>
      <c r="B3034" t="str">
        <f>"112331"</f>
        <v>112331</v>
      </c>
      <c r="C3034" t="str">
        <f>"01675"</f>
        <v>01675</v>
      </c>
      <c r="D3034" t="s">
        <v>763</v>
      </c>
      <c r="E3034">
        <v>50</v>
      </c>
      <c r="F3034">
        <v>20131024</v>
      </c>
      <c r="G3034" t="s">
        <v>764</v>
      </c>
      <c r="H3034" t="s">
        <v>765</v>
      </c>
      <c r="I3034" t="s">
        <v>61</v>
      </c>
    </row>
    <row r="3035" spans="1:9" x14ac:dyDescent="0.25">
      <c r="A3035">
        <v>20131031</v>
      </c>
      <c r="B3035" t="str">
        <f>"112332"</f>
        <v>112332</v>
      </c>
      <c r="C3035" t="str">
        <f>"86831"</f>
        <v>86831</v>
      </c>
      <c r="D3035" t="s">
        <v>1837</v>
      </c>
      <c r="E3035">
        <v>450</v>
      </c>
      <c r="F3035">
        <v>20131028</v>
      </c>
      <c r="G3035" t="s">
        <v>866</v>
      </c>
      <c r="H3035" t="s">
        <v>1838</v>
      </c>
      <c r="I3035" t="s">
        <v>25</v>
      </c>
    </row>
    <row r="3036" spans="1:9" x14ac:dyDescent="0.25">
      <c r="A3036">
        <v>20131031</v>
      </c>
      <c r="B3036" t="str">
        <f>"112333"</f>
        <v>112333</v>
      </c>
      <c r="C3036" t="str">
        <f>"87451"</f>
        <v>87451</v>
      </c>
      <c r="D3036" t="s">
        <v>1839</v>
      </c>
      <c r="E3036" s="1">
        <v>7734</v>
      </c>
      <c r="F3036">
        <v>20131029</v>
      </c>
      <c r="G3036" t="s">
        <v>1840</v>
      </c>
      <c r="H3036" t="s">
        <v>1841</v>
      </c>
      <c r="I3036" t="s">
        <v>21</v>
      </c>
    </row>
    <row r="3037" spans="1:9" x14ac:dyDescent="0.25">
      <c r="A3037">
        <v>20131031</v>
      </c>
      <c r="B3037" t="str">
        <f>"112333"</f>
        <v>112333</v>
      </c>
      <c r="C3037" t="str">
        <f>"87451"</f>
        <v>87451</v>
      </c>
      <c r="D3037" t="s">
        <v>1839</v>
      </c>
      <c r="E3037" s="1">
        <v>25000</v>
      </c>
      <c r="F3037">
        <v>20131029</v>
      </c>
      <c r="G3037" t="s">
        <v>1842</v>
      </c>
      <c r="H3037" t="s">
        <v>1841</v>
      </c>
      <c r="I3037" t="s">
        <v>66</v>
      </c>
    </row>
    <row r="3038" spans="1:9" x14ac:dyDescent="0.25">
      <c r="A3038">
        <v>20131031</v>
      </c>
      <c r="B3038" t="str">
        <f>"112334"</f>
        <v>112334</v>
      </c>
      <c r="C3038" t="str">
        <f>"00691"</f>
        <v>00691</v>
      </c>
      <c r="D3038" t="s">
        <v>1843</v>
      </c>
      <c r="E3038">
        <v>203.5</v>
      </c>
      <c r="F3038">
        <v>20131028</v>
      </c>
      <c r="G3038" t="s">
        <v>327</v>
      </c>
      <c r="H3038" t="s">
        <v>1844</v>
      </c>
      <c r="I3038" t="s">
        <v>25</v>
      </c>
    </row>
    <row r="3039" spans="1:9" x14ac:dyDescent="0.25">
      <c r="A3039">
        <v>20131031</v>
      </c>
      <c r="B3039" t="str">
        <f>"112335"</f>
        <v>112335</v>
      </c>
      <c r="C3039" t="str">
        <f>"00500"</f>
        <v>00500</v>
      </c>
      <c r="D3039" t="s">
        <v>486</v>
      </c>
      <c r="E3039" s="1">
        <v>16413.28</v>
      </c>
      <c r="F3039">
        <v>20131028</v>
      </c>
      <c r="G3039" t="s">
        <v>1182</v>
      </c>
      <c r="H3039" t="s">
        <v>488</v>
      </c>
      <c r="I3039" t="s">
        <v>21</v>
      </c>
    </row>
    <row r="3040" spans="1:9" x14ac:dyDescent="0.25">
      <c r="A3040">
        <v>20131031</v>
      </c>
      <c r="B3040" t="str">
        <f>"112336"</f>
        <v>112336</v>
      </c>
      <c r="C3040" t="str">
        <f>"00500"</f>
        <v>00500</v>
      </c>
      <c r="D3040" t="s">
        <v>486</v>
      </c>
      <c r="E3040">
        <v>88.52</v>
      </c>
      <c r="F3040">
        <v>20131028</v>
      </c>
      <c r="G3040" t="s">
        <v>1705</v>
      </c>
      <c r="H3040" t="s">
        <v>488</v>
      </c>
      <c r="I3040" t="s">
        <v>21</v>
      </c>
    </row>
    <row r="3041" spans="1:9" x14ac:dyDescent="0.25">
      <c r="A3041">
        <v>20131031</v>
      </c>
      <c r="B3041" t="str">
        <f t="shared" ref="B3041:B3046" si="217">"112337"</f>
        <v>112337</v>
      </c>
      <c r="C3041" t="str">
        <f t="shared" ref="C3041:C3046" si="218">"00255"</f>
        <v>00255</v>
      </c>
      <c r="D3041" t="s">
        <v>489</v>
      </c>
      <c r="E3041">
        <v>813.81</v>
      </c>
      <c r="F3041">
        <v>20131030</v>
      </c>
      <c r="G3041" t="s">
        <v>1351</v>
      </c>
      <c r="H3041" t="s">
        <v>488</v>
      </c>
      <c r="I3041" t="s">
        <v>21</v>
      </c>
    </row>
    <row r="3042" spans="1:9" x14ac:dyDescent="0.25">
      <c r="A3042">
        <v>20131031</v>
      </c>
      <c r="B3042" t="str">
        <f t="shared" si="217"/>
        <v>112337</v>
      </c>
      <c r="C3042" t="str">
        <f t="shared" si="218"/>
        <v>00255</v>
      </c>
      <c r="D3042" t="s">
        <v>489</v>
      </c>
      <c r="E3042">
        <v>332.62</v>
      </c>
      <c r="F3042">
        <v>20131030</v>
      </c>
      <c r="G3042" t="s">
        <v>1183</v>
      </c>
      <c r="H3042" t="s">
        <v>488</v>
      </c>
      <c r="I3042" t="s">
        <v>21</v>
      </c>
    </row>
    <row r="3043" spans="1:9" x14ac:dyDescent="0.25">
      <c r="A3043">
        <v>20131031</v>
      </c>
      <c r="B3043" t="str">
        <f t="shared" si="217"/>
        <v>112337</v>
      </c>
      <c r="C3043" t="str">
        <f t="shared" si="218"/>
        <v>00255</v>
      </c>
      <c r="D3043" t="s">
        <v>489</v>
      </c>
      <c r="E3043">
        <v>47.89</v>
      </c>
      <c r="F3043">
        <v>20131030</v>
      </c>
      <c r="G3043" t="s">
        <v>1183</v>
      </c>
      <c r="H3043" t="s">
        <v>488</v>
      </c>
      <c r="I3043" t="s">
        <v>21</v>
      </c>
    </row>
    <row r="3044" spans="1:9" x14ac:dyDescent="0.25">
      <c r="A3044">
        <v>20131031</v>
      </c>
      <c r="B3044" t="str">
        <f t="shared" si="217"/>
        <v>112337</v>
      </c>
      <c r="C3044" t="str">
        <f t="shared" si="218"/>
        <v>00255</v>
      </c>
      <c r="D3044" t="s">
        <v>489</v>
      </c>
      <c r="E3044">
        <v>235.84</v>
      </c>
      <c r="F3044">
        <v>20131030</v>
      </c>
      <c r="G3044" t="s">
        <v>1184</v>
      </c>
      <c r="H3044" t="s">
        <v>488</v>
      </c>
      <c r="I3044" t="s">
        <v>21</v>
      </c>
    </row>
    <row r="3045" spans="1:9" x14ac:dyDescent="0.25">
      <c r="A3045">
        <v>20131031</v>
      </c>
      <c r="B3045" t="str">
        <f t="shared" si="217"/>
        <v>112337</v>
      </c>
      <c r="C3045" t="str">
        <f t="shared" si="218"/>
        <v>00255</v>
      </c>
      <c r="D3045" t="s">
        <v>489</v>
      </c>
      <c r="E3045">
        <v>734.68</v>
      </c>
      <c r="F3045">
        <v>20131030</v>
      </c>
      <c r="G3045" t="s">
        <v>1185</v>
      </c>
      <c r="H3045" t="s">
        <v>488</v>
      </c>
      <c r="I3045" t="s">
        <v>21</v>
      </c>
    </row>
    <row r="3046" spans="1:9" x14ac:dyDescent="0.25">
      <c r="A3046">
        <v>20131031</v>
      </c>
      <c r="B3046" t="str">
        <f t="shared" si="217"/>
        <v>112337</v>
      </c>
      <c r="C3046" t="str">
        <f t="shared" si="218"/>
        <v>00255</v>
      </c>
      <c r="D3046" t="s">
        <v>489</v>
      </c>
      <c r="E3046">
        <v>92.39</v>
      </c>
      <c r="F3046">
        <v>20131030</v>
      </c>
      <c r="G3046" t="s">
        <v>1352</v>
      </c>
      <c r="H3046" t="s">
        <v>488</v>
      </c>
      <c r="I3046" t="s">
        <v>21</v>
      </c>
    </row>
    <row r="3047" spans="1:9" x14ac:dyDescent="0.25">
      <c r="A3047">
        <v>20131031</v>
      </c>
      <c r="B3047" t="str">
        <f>"112338"</f>
        <v>112338</v>
      </c>
      <c r="C3047" t="str">
        <f>"10335"</f>
        <v>10335</v>
      </c>
      <c r="D3047" t="s">
        <v>772</v>
      </c>
      <c r="E3047">
        <v>120</v>
      </c>
      <c r="F3047">
        <v>20131024</v>
      </c>
      <c r="G3047" t="s">
        <v>764</v>
      </c>
      <c r="H3047" t="s">
        <v>765</v>
      </c>
      <c r="I3047" t="s">
        <v>61</v>
      </c>
    </row>
    <row r="3048" spans="1:9" x14ac:dyDescent="0.25">
      <c r="A3048">
        <v>20131031</v>
      </c>
      <c r="B3048" t="str">
        <f>"112339"</f>
        <v>112339</v>
      </c>
      <c r="C3048" t="str">
        <f>"85915"</f>
        <v>85915</v>
      </c>
      <c r="D3048" t="s">
        <v>773</v>
      </c>
      <c r="E3048">
        <v>72.03</v>
      </c>
      <c r="F3048">
        <v>20131024</v>
      </c>
      <c r="G3048" t="s">
        <v>774</v>
      </c>
      <c r="H3048" t="s">
        <v>765</v>
      </c>
      <c r="I3048" t="s">
        <v>61</v>
      </c>
    </row>
    <row r="3049" spans="1:9" x14ac:dyDescent="0.25">
      <c r="A3049">
        <v>20131031</v>
      </c>
      <c r="B3049" t="str">
        <f>"112340"</f>
        <v>112340</v>
      </c>
      <c r="C3049" t="str">
        <f>"85312"</f>
        <v>85312</v>
      </c>
      <c r="D3049" t="s">
        <v>775</v>
      </c>
      <c r="E3049">
        <v>99.07</v>
      </c>
      <c r="F3049">
        <v>20131024</v>
      </c>
      <c r="G3049" t="s">
        <v>774</v>
      </c>
      <c r="H3049" t="s">
        <v>765</v>
      </c>
      <c r="I3049" t="s">
        <v>61</v>
      </c>
    </row>
    <row r="3050" spans="1:9" x14ac:dyDescent="0.25">
      <c r="A3050">
        <v>20131031</v>
      </c>
      <c r="B3050" t="str">
        <f>"112341"</f>
        <v>112341</v>
      </c>
      <c r="C3050" t="str">
        <f>"87583"</f>
        <v>87583</v>
      </c>
      <c r="D3050" t="s">
        <v>1845</v>
      </c>
      <c r="E3050">
        <v>165.77</v>
      </c>
      <c r="F3050">
        <v>20131030</v>
      </c>
      <c r="G3050" t="s">
        <v>1846</v>
      </c>
      <c r="H3050" t="s">
        <v>765</v>
      </c>
      <c r="I3050" t="s">
        <v>63</v>
      </c>
    </row>
    <row r="3051" spans="1:9" x14ac:dyDescent="0.25">
      <c r="A3051">
        <v>20131031</v>
      </c>
      <c r="B3051" t="str">
        <f>"112342"</f>
        <v>112342</v>
      </c>
      <c r="C3051" t="str">
        <f>"86528"</f>
        <v>86528</v>
      </c>
      <c r="D3051" t="s">
        <v>785</v>
      </c>
      <c r="E3051">
        <v>77.88</v>
      </c>
      <c r="F3051">
        <v>20131024</v>
      </c>
      <c r="G3051" t="s">
        <v>774</v>
      </c>
      <c r="H3051" t="s">
        <v>765</v>
      </c>
      <c r="I3051" t="s">
        <v>61</v>
      </c>
    </row>
    <row r="3052" spans="1:9" x14ac:dyDescent="0.25">
      <c r="A3052">
        <v>20131031</v>
      </c>
      <c r="B3052" t="str">
        <f>"112343"</f>
        <v>112343</v>
      </c>
      <c r="C3052" t="str">
        <f>"87581"</f>
        <v>87581</v>
      </c>
      <c r="D3052" t="s">
        <v>1847</v>
      </c>
      <c r="E3052">
        <v>160</v>
      </c>
      <c r="F3052">
        <v>20131028</v>
      </c>
      <c r="G3052" t="s">
        <v>347</v>
      </c>
      <c r="H3052" t="s">
        <v>361</v>
      </c>
      <c r="I3052" t="s">
        <v>61</v>
      </c>
    </row>
    <row r="3053" spans="1:9" x14ac:dyDescent="0.25">
      <c r="A3053">
        <v>20131031</v>
      </c>
      <c r="B3053" t="str">
        <f>"112344"</f>
        <v>112344</v>
      </c>
      <c r="C3053" t="str">
        <f>"83493"</f>
        <v>83493</v>
      </c>
      <c r="D3053" t="s">
        <v>509</v>
      </c>
      <c r="E3053">
        <v>130</v>
      </c>
      <c r="F3053">
        <v>20131028</v>
      </c>
      <c r="G3053" t="s">
        <v>819</v>
      </c>
      <c r="H3053" t="s">
        <v>357</v>
      </c>
      <c r="I3053" t="s">
        <v>63</v>
      </c>
    </row>
    <row r="3054" spans="1:9" x14ac:dyDescent="0.25">
      <c r="A3054">
        <v>20131031</v>
      </c>
      <c r="B3054" t="str">
        <f>"112345"</f>
        <v>112345</v>
      </c>
      <c r="C3054" t="str">
        <f>"87578"</f>
        <v>87578</v>
      </c>
      <c r="D3054" t="s">
        <v>1848</v>
      </c>
      <c r="E3054">
        <v>63</v>
      </c>
      <c r="F3054">
        <v>20131028</v>
      </c>
      <c r="G3054" t="s">
        <v>805</v>
      </c>
      <c r="H3054" t="s">
        <v>1849</v>
      </c>
      <c r="I3054" t="s">
        <v>38</v>
      </c>
    </row>
    <row r="3055" spans="1:9" x14ac:dyDescent="0.25">
      <c r="A3055">
        <v>20131031</v>
      </c>
      <c r="B3055" t="str">
        <f>"112346"</f>
        <v>112346</v>
      </c>
      <c r="C3055" t="str">
        <f>"15955"</f>
        <v>15955</v>
      </c>
      <c r="D3055" t="s">
        <v>1204</v>
      </c>
      <c r="E3055">
        <v>548.75</v>
      </c>
      <c r="F3055">
        <v>20131030</v>
      </c>
      <c r="G3055" t="s">
        <v>1850</v>
      </c>
      <c r="H3055" t="s">
        <v>1851</v>
      </c>
      <c r="I3055" t="s">
        <v>21</v>
      </c>
    </row>
    <row r="3056" spans="1:9" x14ac:dyDescent="0.25">
      <c r="A3056">
        <v>20131031</v>
      </c>
      <c r="B3056" t="str">
        <f>"112347"</f>
        <v>112347</v>
      </c>
      <c r="C3056" t="str">
        <f>"85203"</f>
        <v>85203</v>
      </c>
      <c r="D3056" t="s">
        <v>1210</v>
      </c>
      <c r="E3056">
        <v>187</v>
      </c>
      <c r="F3056">
        <v>20131028</v>
      </c>
      <c r="G3056" t="s">
        <v>356</v>
      </c>
      <c r="H3056" t="s">
        <v>357</v>
      </c>
      <c r="I3056" t="s">
        <v>61</v>
      </c>
    </row>
    <row r="3057" spans="1:9" x14ac:dyDescent="0.25">
      <c r="A3057">
        <v>20131031</v>
      </c>
      <c r="B3057" t="str">
        <f t="shared" ref="B3057:B3073" si="219">"112348"</f>
        <v>112348</v>
      </c>
      <c r="C3057" t="str">
        <f t="shared" ref="C3057:C3073" si="220">"18200"</f>
        <v>18200</v>
      </c>
      <c r="D3057" t="s">
        <v>516</v>
      </c>
      <c r="E3057" s="1">
        <v>1563.87</v>
      </c>
      <c r="F3057">
        <v>20131024</v>
      </c>
      <c r="G3057" t="s">
        <v>456</v>
      </c>
      <c r="H3057" t="s">
        <v>488</v>
      </c>
      <c r="I3057" t="s">
        <v>21</v>
      </c>
    </row>
    <row r="3058" spans="1:9" x14ac:dyDescent="0.25">
      <c r="A3058">
        <v>20131031</v>
      </c>
      <c r="B3058" t="str">
        <f t="shared" si="219"/>
        <v>112348</v>
      </c>
      <c r="C3058" t="str">
        <f t="shared" si="220"/>
        <v>18200</v>
      </c>
      <c r="D3058" t="s">
        <v>516</v>
      </c>
      <c r="E3058">
        <v>105.12</v>
      </c>
      <c r="F3058">
        <v>20131024</v>
      </c>
      <c r="G3058" t="s">
        <v>456</v>
      </c>
      <c r="H3058" t="s">
        <v>488</v>
      </c>
      <c r="I3058" t="s">
        <v>21</v>
      </c>
    </row>
    <row r="3059" spans="1:9" x14ac:dyDescent="0.25">
      <c r="A3059">
        <v>20131031</v>
      </c>
      <c r="B3059" t="str">
        <f t="shared" si="219"/>
        <v>112348</v>
      </c>
      <c r="C3059" t="str">
        <f t="shared" si="220"/>
        <v>18200</v>
      </c>
      <c r="D3059" t="s">
        <v>516</v>
      </c>
      <c r="E3059">
        <v>359.6</v>
      </c>
      <c r="F3059">
        <v>20131024</v>
      </c>
      <c r="G3059" t="s">
        <v>456</v>
      </c>
      <c r="H3059" t="s">
        <v>488</v>
      </c>
      <c r="I3059" t="s">
        <v>21</v>
      </c>
    </row>
    <row r="3060" spans="1:9" x14ac:dyDescent="0.25">
      <c r="A3060">
        <v>20131031</v>
      </c>
      <c r="B3060" t="str">
        <f t="shared" si="219"/>
        <v>112348</v>
      </c>
      <c r="C3060" t="str">
        <f t="shared" si="220"/>
        <v>18200</v>
      </c>
      <c r="D3060" t="s">
        <v>516</v>
      </c>
      <c r="E3060">
        <v>761.4</v>
      </c>
      <c r="F3060">
        <v>20131024</v>
      </c>
      <c r="G3060" t="s">
        <v>457</v>
      </c>
      <c r="H3060" t="s">
        <v>488</v>
      </c>
      <c r="I3060" t="s">
        <v>21</v>
      </c>
    </row>
    <row r="3061" spans="1:9" x14ac:dyDescent="0.25">
      <c r="A3061">
        <v>20131031</v>
      </c>
      <c r="B3061" t="str">
        <f t="shared" si="219"/>
        <v>112348</v>
      </c>
      <c r="C3061" t="str">
        <f t="shared" si="220"/>
        <v>18200</v>
      </c>
      <c r="D3061" t="s">
        <v>516</v>
      </c>
      <c r="E3061" s="1">
        <v>1809.6</v>
      </c>
      <c r="F3061">
        <v>20131024</v>
      </c>
      <c r="G3061" t="s">
        <v>458</v>
      </c>
      <c r="H3061" t="s">
        <v>488</v>
      </c>
      <c r="I3061" t="s">
        <v>21</v>
      </c>
    </row>
    <row r="3062" spans="1:9" x14ac:dyDescent="0.25">
      <c r="A3062">
        <v>20131031</v>
      </c>
      <c r="B3062" t="str">
        <f t="shared" si="219"/>
        <v>112348</v>
      </c>
      <c r="C3062" t="str">
        <f t="shared" si="220"/>
        <v>18200</v>
      </c>
      <c r="D3062" t="s">
        <v>516</v>
      </c>
      <c r="E3062">
        <v>733.87</v>
      </c>
      <c r="F3062">
        <v>20131024</v>
      </c>
      <c r="G3062" t="s">
        <v>458</v>
      </c>
      <c r="H3062" t="s">
        <v>488</v>
      </c>
      <c r="I3062" t="s">
        <v>21</v>
      </c>
    </row>
    <row r="3063" spans="1:9" x14ac:dyDescent="0.25">
      <c r="A3063">
        <v>20131031</v>
      </c>
      <c r="B3063" t="str">
        <f t="shared" si="219"/>
        <v>112348</v>
      </c>
      <c r="C3063" t="str">
        <f t="shared" si="220"/>
        <v>18200</v>
      </c>
      <c r="D3063" t="s">
        <v>516</v>
      </c>
      <c r="E3063">
        <v>473.37</v>
      </c>
      <c r="F3063">
        <v>20131024</v>
      </c>
      <c r="G3063" t="s">
        <v>460</v>
      </c>
      <c r="H3063" t="s">
        <v>488</v>
      </c>
      <c r="I3063" t="s">
        <v>21</v>
      </c>
    </row>
    <row r="3064" spans="1:9" x14ac:dyDescent="0.25">
      <c r="A3064">
        <v>20131031</v>
      </c>
      <c r="B3064" t="str">
        <f t="shared" si="219"/>
        <v>112348</v>
      </c>
      <c r="C3064" t="str">
        <f t="shared" si="220"/>
        <v>18200</v>
      </c>
      <c r="D3064" t="s">
        <v>516</v>
      </c>
      <c r="E3064">
        <v>28.49</v>
      </c>
      <c r="F3064">
        <v>20131024</v>
      </c>
      <c r="G3064" t="s">
        <v>460</v>
      </c>
      <c r="H3064" t="s">
        <v>488</v>
      </c>
      <c r="I3064" t="s">
        <v>21</v>
      </c>
    </row>
    <row r="3065" spans="1:9" x14ac:dyDescent="0.25">
      <c r="A3065">
        <v>20131031</v>
      </c>
      <c r="B3065" t="str">
        <f t="shared" si="219"/>
        <v>112348</v>
      </c>
      <c r="C3065" t="str">
        <f t="shared" si="220"/>
        <v>18200</v>
      </c>
      <c r="D3065" t="s">
        <v>516</v>
      </c>
      <c r="E3065">
        <v>420.12</v>
      </c>
      <c r="F3065">
        <v>20131024</v>
      </c>
      <c r="G3065" t="s">
        <v>461</v>
      </c>
      <c r="H3065" t="s">
        <v>488</v>
      </c>
      <c r="I3065" t="s">
        <v>21</v>
      </c>
    </row>
    <row r="3066" spans="1:9" x14ac:dyDescent="0.25">
      <c r="A3066">
        <v>20131031</v>
      </c>
      <c r="B3066" t="str">
        <f t="shared" si="219"/>
        <v>112348</v>
      </c>
      <c r="C3066" t="str">
        <f t="shared" si="220"/>
        <v>18200</v>
      </c>
      <c r="D3066" t="s">
        <v>516</v>
      </c>
      <c r="E3066">
        <v>167.75</v>
      </c>
      <c r="F3066">
        <v>20131024</v>
      </c>
      <c r="G3066" t="s">
        <v>461</v>
      </c>
      <c r="H3066" t="s">
        <v>488</v>
      </c>
      <c r="I3066" t="s">
        <v>21</v>
      </c>
    </row>
    <row r="3067" spans="1:9" x14ac:dyDescent="0.25">
      <c r="A3067">
        <v>20131031</v>
      </c>
      <c r="B3067" t="str">
        <f t="shared" si="219"/>
        <v>112348</v>
      </c>
      <c r="C3067" t="str">
        <f t="shared" si="220"/>
        <v>18200</v>
      </c>
      <c r="D3067" t="s">
        <v>516</v>
      </c>
      <c r="E3067">
        <v>104.49</v>
      </c>
      <c r="F3067">
        <v>20131024</v>
      </c>
      <c r="G3067" t="s">
        <v>461</v>
      </c>
      <c r="H3067" t="s">
        <v>488</v>
      </c>
      <c r="I3067" t="s">
        <v>21</v>
      </c>
    </row>
    <row r="3068" spans="1:9" x14ac:dyDescent="0.25">
      <c r="A3068">
        <v>20131031</v>
      </c>
      <c r="B3068" t="str">
        <f t="shared" si="219"/>
        <v>112348</v>
      </c>
      <c r="C3068" t="str">
        <f t="shared" si="220"/>
        <v>18200</v>
      </c>
      <c r="D3068" t="s">
        <v>516</v>
      </c>
      <c r="E3068">
        <v>160.12</v>
      </c>
      <c r="F3068">
        <v>20131024</v>
      </c>
      <c r="G3068" t="s">
        <v>463</v>
      </c>
      <c r="H3068" t="s">
        <v>488</v>
      </c>
      <c r="I3068" t="s">
        <v>21</v>
      </c>
    </row>
    <row r="3069" spans="1:9" x14ac:dyDescent="0.25">
      <c r="A3069">
        <v>20131031</v>
      </c>
      <c r="B3069" t="str">
        <f t="shared" si="219"/>
        <v>112348</v>
      </c>
      <c r="C3069" t="str">
        <f t="shared" si="220"/>
        <v>18200</v>
      </c>
      <c r="D3069" t="s">
        <v>516</v>
      </c>
      <c r="E3069">
        <v>28.49</v>
      </c>
      <c r="F3069">
        <v>20131024</v>
      </c>
      <c r="G3069" t="s">
        <v>463</v>
      </c>
      <c r="H3069" t="s">
        <v>488</v>
      </c>
      <c r="I3069" t="s">
        <v>21</v>
      </c>
    </row>
    <row r="3070" spans="1:9" x14ac:dyDescent="0.25">
      <c r="A3070">
        <v>20131031</v>
      </c>
      <c r="B3070" t="str">
        <f t="shared" si="219"/>
        <v>112348</v>
      </c>
      <c r="C3070" t="str">
        <f t="shared" si="220"/>
        <v>18200</v>
      </c>
      <c r="D3070" t="s">
        <v>516</v>
      </c>
      <c r="E3070">
        <v>86.49</v>
      </c>
      <c r="F3070">
        <v>20131024</v>
      </c>
      <c r="G3070" t="s">
        <v>463</v>
      </c>
      <c r="H3070" t="s">
        <v>488</v>
      </c>
      <c r="I3070" t="s">
        <v>21</v>
      </c>
    </row>
    <row r="3071" spans="1:9" x14ac:dyDescent="0.25">
      <c r="A3071">
        <v>20131031</v>
      </c>
      <c r="B3071" t="str">
        <f t="shared" si="219"/>
        <v>112348</v>
      </c>
      <c r="C3071" t="str">
        <f t="shared" si="220"/>
        <v>18200</v>
      </c>
      <c r="D3071" t="s">
        <v>516</v>
      </c>
      <c r="E3071">
        <v>148.12</v>
      </c>
      <c r="F3071">
        <v>20131024</v>
      </c>
      <c r="G3071" t="s">
        <v>464</v>
      </c>
      <c r="H3071" t="s">
        <v>488</v>
      </c>
      <c r="I3071" t="s">
        <v>21</v>
      </c>
    </row>
    <row r="3072" spans="1:9" x14ac:dyDescent="0.25">
      <c r="A3072">
        <v>20131031</v>
      </c>
      <c r="B3072" t="str">
        <f t="shared" si="219"/>
        <v>112348</v>
      </c>
      <c r="C3072" t="str">
        <f t="shared" si="220"/>
        <v>18200</v>
      </c>
      <c r="D3072" t="s">
        <v>516</v>
      </c>
      <c r="E3072">
        <v>38</v>
      </c>
      <c r="F3072">
        <v>20131024</v>
      </c>
      <c r="G3072" t="s">
        <v>464</v>
      </c>
      <c r="H3072" t="s">
        <v>488</v>
      </c>
      <c r="I3072" t="s">
        <v>21</v>
      </c>
    </row>
    <row r="3073" spans="1:9" x14ac:dyDescent="0.25">
      <c r="A3073">
        <v>20131031</v>
      </c>
      <c r="B3073" t="str">
        <f t="shared" si="219"/>
        <v>112348</v>
      </c>
      <c r="C3073" t="str">
        <f t="shared" si="220"/>
        <v>18200</v>
      </c>
      <c r="D3073" t="s">
        <v>516</v>
      </c>
      <c r="E3073">
        <v>77</v>
      </c>
      <c r="F3073">
        <v>20131024</v>
      </c>
      <c r="G3073" t="s">
        <v>1212</v>
      </c>
      <c r="H3073" t="s">
        <v>488</v>
      </c>
      <c r="I3073" t="s">
        <v>21</v>
      </c>
    </row>
    <row r="3074" spans="1:9" x14ac:dyDescent="0.25">
      <c r="A3074">
        <v>20131031</v>
      </c>
      <c r="B3074" t="str">
        <f>"112349"</f>
        <v>112349</v>
      </c>
      <c r="C3074" t="str">
        <f>"23780"</f>
        <v>23780</v>
      </c>
      <c r="D3074" t="s">
        <v>1852</v>
      </c>
      <c r="E3074">
        <v>213.7</v>
      </c>
      <c r="F3074">
        <v>20131030</v>
      </c>
      <c r="G3074" t="s">
        <v>581</v>
      </c>
      <c r="H3074" t="s">
        <v>1853</v>
      </c>
      <c r="I3074" t="s">
        <v>21</v>
      </c>
    </row>
    <row r="3075" spans="1:9" x14ac:dyDescent="0.25">
      <c r="A3075">
        <v>20131031</v>
      </c>
      <c r="B3075" t="str">
        <f>"112350"</f>
        <v>112350</v>
      </c>
      <c r="C3075" t="str">
        <f>"23827"</f>
        <v>23827</v>
      </c>
      <c r="D3075" t="s">
        <v>528</v>
      </c>
      <c r="E3075">
        <v>87.5</v>
      </c>
      <c r="F3075">
        <v>20131024</v>
      </c>
      <c r="G3075" t="s">
        <v>181</v>
      </c>
      <c r="H3075" t="s">
        <v>513</v>
      </c>
      <c r="I3075" t="s">
        <v>38</v>
      </c>
    </row>
    <row r="3076" spans="1:9" x14ac:dyDescent="0.25">
      <c r="A3076">
        <v>20131031</v>
      </c>
      <c r="B3076" t="str">
        <f>"112350"</f>
        <v>112350</v>
      </c>
      <c r="C3076" t="str">
        <f>"23827"</f>
        <v>23827</v>
      </c>
      <c r="D3076" t="s">
        <v>528</v>
      </c>
      <c r="E3076">
        <v>599.32000000000005</v>
      </c>
      <c r="F3076">
        <v>20131024</v>
      </c>
      <c r="G3076" t="s">
        <v>206</v>
      </c>
      <c r="H3076" t="s">
        <v>513</v>
      </c>
      <c r="I3076" t="s">
        <v>25</v>
      </c>
    </row>
    <row r="3077" spans="1:9" x14ac:dyDescent="0.25">
      <c r="A3077">
        <v>20131031</v>
      </c>
      <c r="B3077" t="str">
        <f>"112350"</f>
        <v>112350</v>
      </c>
      <c r="C3077" t="str">
        <f>"23827"</f>
        <v>23827</v>
      </c>
      <c r="D3077" t="s">
        <v>528</v>
      </c>
      <c r="E3077">
        <v>222.8</v>
      </c>
      <c r="F3077">
        <v>20131028</v>
      </c>
      <c r="G3077" t="s">
        <v>1854</v>
      </c>
      <c r="H3077" t="s">
        <v>513</v>
      </c>
      <c r="I3077" t="s">
        <v>25</v>
      </c>
    </row>
    <row r="3078" spans="1:9" x14ac:dyDescent="0.25">
      <c r="A3078">
        <v>20131031</v>
      </c>
      <c r="B3078" t="str">
        <f>"112351"</f>
        <v>112351</v>
      </c>
      <c r="C3078" t="str">
        <f>"82413"</f>
        <v>82413</v>
      </c>
      <c r="D3078" t="s">
        <v>1855</v>
      </c>
      <c r="E3078">
        <v>946</v>
      </c>
      <c r="F3078">
        <v>20131029</v>
      </c>
      <c r="G3078" t="s">
        <v>36</v>
      </c>
      <c r="H3078" t="s">
        <v>679</v>
      </c>
      <c r="I3078" t="s">
        <v>38</v>
      </c>
    </row>
    <row r="3079" spans="1:9" x14ac:dyDescent="0.25">
      <c r="A3079">
        <v>20131031</v>
      </c>
      <c r="B3079" t="str">
        <f>"112352"</f>
        <v>112352</v>
      </c>
      <c r="C3079" t="str">
        <f>"23979"</f>
        <v>23979</v>
      </c>
      <c r="D3079" t="s">
        <v>1856</v>
      </c>
      <c r="E3079">
        <v>175</v>
      </c>
      <c r="F3079">
        <v>20131028</v>
      </c>
      <c r="G3079" t="s">
        <v>36</v>
      </c>
      <c r="H3079" t="s">
        <v>679</v>
      </c>
      <c r="I3079" t="s">
        <v>38</v>
      </c>
    </row>
    <row r="3080" spans="1:9" x14ac:dyDescent="0.25">
      <c r="A3080">
        <v>20131031</v>
      </c>
      <c r="B3080" t="str">
        <f>"112353"</f>
        <v>112353</v>
      </c>
      <c r="C3080" t="str">
        <f>"87589"</f>
        <v>87589</v>
      </c>
      <c r="D3080" t="s">
        <v>1857</v>
      </c>
      <c r="E3080" s="1">
        <v>1500</v>
      </c>
      <c r="F3080">
        <v>20131030</v>
      </c>
      <c r="G3080" t="s">
        <v>191</v>
      </c>
      <c r="H3080" t="s">
        <v>1858</v>
      </c>
      <c r="I3080" t="s">
        <v>25</v>
      </c>
    </row>
    <row r="3081" spans="1:9" x14ac:dyDescent="0.25">
      <c r="A3081">
        <v>20131031</v>
      </c>
      <c r="B3081" t="str">
        <f>"112354"</f>
        <v>112354</v>
      </c>
      <c r="C3081" t="str">
        <f>"87589"</f>
        <v>87589</v>
      </c>
      <c r="D3081" t="s">
        <v>1857</v>
      </c>
      <c r="E3081" s="1">
        <v>1500</v>
      </c>
      <c r="F3081">
        <v>20131030</v>
      </c>
      <c r="G3081" t="s">
        <v>191</v>
      </c>
      <c r="H3081" t="s">
        <v>1858</v>
      </c>
      <c r="I3081" t="s">
        <v>25</v>
      </c>
    </row>
    <row r="3082" spans="1:9" x14ac:dyDescent="0.25">
      <c r="A3082">
        <v>20131031</v>
      </c>
      <c r="B3082" t="str">
        <f>"112355"</f>
        <v>112355</v>
      </c>
      <c r="C3082" t="str">
        <f>"84625"</f>
        <v>84625</v>
      </c>
      <c r="D3082" t="s">
        <v>1580</v>
      </c>
      <c r="E3082">
        <v>145.05000000000001</v>
      </c>
      <c r="F3082">
        <v>20131031</v>
      </c>
      <c r="G3082" t="s">
        <v>331</v>
      </c>
      <c r="H3082" t="s">
        <v>1859</v>
      </c>
      <c r="I3082" t="s">
        <v>12</v>
      </c>
    </row>
    <row r="3083" spans="1:9" x14ac:dyDescent="0.25">
      <c r="A3083">
        <v>20131031</v>
      </c>
      <c r="B3083" t="str">
        <f t="shared" ref="B3083:B3092" si="221">"112356"</f>
        <v>112356</v>
      </c>
      <c r="C3083" t="str">
        <f t="shared" ref="C3083:C3092" si="222">"24530"</f>
        <v>24530</v>
      </c>
      <c r="D3083" t="s">
        <v>412</v>
      </c>
      <c r="E3083" s="1">
        <v>2385.61</v>
      </c>
      <c r="F3083">
        <v>20131030</v>
      </c>
      <c r="G3083" t="s">
        <v>415</v>
      </c>
      <c r="H3083" t="s">
        <v>414</v>
      </c>
      <c r="I3083" t="s">
        <v>21</v>
      </c>
    </row>
    <row r="3084" spans="1:9" x14ac:dyDescent="0.25">
      <c r="A3084">
        <v>20131031</v>
      </c>
      <c r="B3084" t="str">
        <f t="shared" si="221"/>
        <v>112356</v>
      </c>
      <c r="C3084" t="str">
        <f t="shared" si="222"/>
        <v>24530</v>
      </c>
      <c r="D3084" t="s">
        <v>412</v>
      </c>
      <c r="E3084" s="1">
        <v>2795.99</v>
      </c>
      <c r="F3084">
        <v>20131030</v>
      </c>
      <c r="G3084" t="s">
        <v>627</v>
      </c>
      <c r="H3084" t="s">
        <v>414</v>
      </c>
      <c r="I3084" t="s">
        <v>21</v>
      </c>
    </row>
    <row r="3085" spans="1:9" x14ac:dyDescent="0.25">
      <c r="A3085">
        <v>20131031</v>
      </c>
      <c r="B3085" t="str">
        <f t="shared" si="221"/>
        <v>112356</v>
      </c>
      <c r="C3085" t="str">
        <f t="shared" si="222"/>
        <v>24530</v>
      </c>
      <c r="D3085" t="s">
        <v>412</v>
      </c>
      <c r="E3085">
        <v>17.899999999999999</v>
      </c>
      <c r="F3085">
        <v>20131030</v>
      </c>
      <c r="G3085" t="s">
        <v>1222</v>
      </c>
      <c r="H3085" t="s">
        <v>414</v>
      </c>
      <c r="I3085" t="s">
        <v>21</v>
      </c>
    </row>
    <row r="3086" spans="1:9" x14ac:dyDescent="0.25">
      <c r="A3086">
        <v>20131031</v>
      </c>
      <c r="B3086" t="str">
        <f t="shared" si="221"/>
        <v>112356</v>
      </c>
      <c r="C3086" t="str">
        <f t="shared" si="222"/>
        <v>24530</v>
      </c>
      <c r="D3086" t="s">
        <v>412</v>
      </c>
      <c r="E3086">
        <v>37.5</v>
      </c>
      <c r="F3086">
        <v>20131030</v>
      </c>
      <c r="G3086" t="s">
        <v>628</v>
      </c>
      <c r="H3086" t="s">
        <v>414</v>
      </c>
      <c r="I3086" t="s">
        <v>21</v>
      </c>
    </row>
    <row r="3087" spans="1:9" x14ac:dyDescent="0.25">
      <c r="A3087">
        <v>20131031</v>
      </c>
      <c r="B3087" t="str">
        <f t="shared" si="221"/>
        <v>112356</v>
      </c>
      <c r="C3087" t="str">
        <f t="shared" si="222"/>
        <v>24530</v>
      </c>
      <c r="D3087" t="s">
        <v>412</v>
      </c>
      <c r="E3087">
        <v>154.19999999999999</v>
      </c>
      <c r="F3087">
        <v>20131030</v>
      </c>
      <c r="G3087" t="s">
        <v>630</v>
      </c>
      <c r="H3087" t="s">
        <v>414</v>
      </c>
      <c r="I3087" t="s">
        <v>21</v>
      </c>
    </row>
    <row r="3088" spans="1:9" x14ac:dyDescent="0.25">
      <c r="A3088">
        <v>20131031</v>
      </c>
      <c r="B3088" t="str">
        <f t="shared" si="221"/>
        <v>112356</v>
      </c>
      <c r="C3088" t="str">
        <f t="shared" si="222"/>
        <v>24530</v>
      </c>
      <c r="D3088" t="s">
        <v>412</v>
      </c>
      <c r="E3088">
        <v>313.35000000000002</v>
      </c>
      <c r="F3088">
        <v>20131030</v>
      </c>
      <c r="G3088" t="s">
        <v>530</v>
      </c>
      <c r="H3088" t="s">
        <v>414</v>
      </c>
      <c r="I3088" t="s">
        <v>21</v>
      </c>
    </row>
    <row r="3089" spans="1:9" x14ac:dyDescent="0.25">
      <c r="A3089">
        <v>20131031</v>
      </c>
      <c r="B3089" t="str">
        <f t="shared" si="221"/>
        <v>112356</v>
      </c>
      <c r="C3089" t="str">
        <f t="shared" si="222"/>
        <v>24530</v>
      </c>
      <c r="D3089" t="s">
        <v>412</v>
      </c>
      <c r="E3089">
        <v>464.51</v>
      </c>
      <c r="F3089">
        <v>20131030</v>
      </c>
      <c r="G3089" t="s">
        <v>392</v>
      </c>
      <c r="H3089" t="s">
        <v>414</v>
      </c>
      <c r="I3089" t="s">
        <v>21</v>
      </c>
    </row>
    <row r="3090" spans="1:9" x14ac:dyDescent="0.25">
      <c r="A3090">
        <v>20131031</v>
      </c>
      <c r="B3090" t="str">
        <f t="shared" si="221"/>
        <v>112356</v>
      </c>
      <c r="C3090" t="str">
        <f t="shared" si="222"/>
        <v>24530</v>
      </c>
      <c r="D3090" t="s">
        <v>412</v>
      </c>
      <c r="E3090">
        <v>-116.54</v>
      </c>
      <c r="F3090">
        <v>20131031</v>
      </c>
      <c r="G3090" t="s">
        <v>392</v>
      </c>
      <c r="H3090" t="s">
        <v>416</v>
      </c>
      <c r="I3090" t="s">
        <v>21</v>
      </c>
    </row>
    <row r="3091" spans="1:9" x14ac:dyDescent="0.25">
      <c r="A3091">
        <v>20131031</v>
      </c>
      <c r="B3091" t="str">
        <f t="shared" si="221"/>
        <v>112356</v>
      </c>
      <c r="C3091" t="str">
        <f t="shared" si="222"/>
        <v>24530</v>
      </c>
      <c r="D3091" t="s">
        <v>412</v>
      </c>
      <c r="E3091">
        <v>6.57</v>
      </c>
      <c r="F3091">
        <v>20131030</v>
      </c>
      <c r="G3091" t="s">
        <v>1224</v>
      </c>
      <c r="H3091" t="s">
        <v>414</v>
      </c>
      <c r="I3091" t="s">
        <v>21</v>
      </c>
    </row>
    <row r="3092" spans="1:9" x14ac:dyDescent="0.25">
      <c r="A3092">
        <v>20131031</v>
      </c>
      <c r="B3092" t="str">
        <f t="shared" si="221"/>
        <v>112356</v>
      </c>
      <c r="C3092" t="str">
        <f t="shared" si="222"/>
        <v>24530</v>
      </c>
      <c r="D3092" t="s">
        <v>412</v>
      </c>
      <c r="E3092">
        <v>441.5</v>
      </c>
      <c r="F3092">
        <v>20131030</v>
      </c>
      <c r="G3092" t="s">
        <v>417</v>
      </c>
      <c r="H3092" t="s">
        <v>414</v>
      </c>
      <c r="I3092" t="s">
        <v>21</v>
      </c>
    </row>
    <row r="3093" spans="1:9" x14ac:dyDescent="0.25">
      <c r="A3093">
        <v>20131031</v>
      </c>
      <c r="B3093" t="str">
        <f>"112357"</f>
        <v>112357</v>
      </c>
      <c r="C3093" t="str">
        <f>"82048"</f>
        <v>82048</v>
      </c>
      <c r="D3093" t="s">
        <v>1860</v>
      </c>
      <c r="E3093">
        <v>416</v>
      </c>
      <c r="F3093">
        <v>20131028</v>
      </c>
      <c r="G3093" t="s">
        <v>1854</v>
      </c>
      <c r="H3093" t="s">
        <v>553</v>
      </c>
      <c r="I3093" t="s">
        <v>25</v>
      </c>
    </row>
    <row r="3094" spans="1:9" x14ac:dyDescent="0.25">
      <c r="A3094">
        <v>20131031</v>
      </c>
      <c r="B3094" t="str">
        <f>"112358"</f>
        <v>112358</v>
      </c>
      <c r="C3094" t="str">
        <f>"81027"</f>
        <v>81027</v>
      </c>
      <c r="D3094" t="s">
        <v>816</v>
      </c>
      <c r="E3094">
        <v>15.26</v>
      </c>
      <c r="F3094">
        <v>20131029</v>
      </c>
      <c r="G3094" t="s">
        <v>808</v>
      </c>
      <c r="H3094" t="s">
        <v>921</v>
      </c>
      <c r="I3094" t="s">
        <v>21</v>
      </c>
    </row>
    <row r="3095" spans="1:9" x14ac:dyDescent="0.25">
      <c r="A3095">
        <v>20131031</v>
      </c>
      <c r="B3095" t="str">
        <f>"112358"</f>
        <v>112358</v>
      </c>
      <c r="C3095" t="str">
        <f>"81027"</f>
        <v>81027</v>
      </c>
      <c r="D3095" t="s">
        <v>816</v>
      </c>
      <c r="E3095">
        <v>235.44</v>
      </c>
      <c r="F3095">
        <v>20131029</v>
      </c>
      <c r="G3095" t="s">
        <v>1371</v>
      </c>
      <c r="H3095" t="s">
        <v>921</v>
      </c>
      <c r="I3095" t="s">
        <v>66</v>
      </c>
    </row>
    <row r="3096" spans="1:9" x14ac:dyDescent="0.25">
      <c r="A3096">
        <v>20131031</v>
      </c>
      <c r="B3096" t="str">
        <f>"112359"</f>
        <v>112359</v>
      </c>
      <c r="C3096" t="str">
        <f>"87576"</f>
        <v>87576</v>
      </c>
      <c r="D3096" t="s">
        <v>1861</v>
      </c>
      <c r="E3096">
        <v>22.97</v>
      </c>
      <c r="F3096">
        <v>20131024</v>
      </c>
      <c r="G3096" t="s">
        <v>392</v>
      </c>
      <c r="H3096" t="s">
        <v>354</v>
      </c>
      <c r="I3096" t="s">
        <v>21</v>
      </c>
    </row>
    <row r="3097" spans="1:9" x14ac:dyDescent="0.25">
      <c r="A3097">
        <v>20131031</v>
      </c>
      <c r="B3097" t="str">
        <f>"112360"</f>
        <v>112360</v>
      </c>
      <c r="C3097" t="str">
        <f>"86094"</f>
        <v>86094</v>
      </c>
      <c r="D3097" t="s">
        <v>821</v>
      </c>
      <c r="E3097">
        <v>94.07</v>
      </c>
      <c r="F3097">
        <v>20131024</v>
      </c>
      <c r="G3097" t="s">
        <v>774</v>
      </c>
      <c r="H3097" t="s">
        <v>765</v>
      </c>
      <c r="I3097" t="s">
        <v>61</v>
      </c>
    </row>
    <row r="3098" spans="1:9" x14ac:dyDescent="0.25">
      <c r="A3098">
        <v>20131031</v>
      </c>
      <c r="B3098" t="str">
        <f>"112361"</f>
        <v>112361</v>
      </c>
      <c r="C3098" t="str">
        <f>"26990"</f>
        <v>26990</v>
      </c>
      <c r="D3098" t="s">
        <v>548</v>
      </c>
      <c r="E3098">
        <v>15</v>
      </c>
      <c r="F3098">
        <v>20131024</v>
      </c>
      <c r="G3098" t="s">
        <v>426</v>
      </c>
      <c r="H3098" t="s">
        <v>1862</v>
      </c>
      <c r="I3098" t="s">
        <v>21</v>
      </c>
    </row>
    <row r="3099" spans="1:9" x14ac:dyDescent="0.25">
      <c r="A3099">
        <v>20131031</v>
      </c>
      <c r="B3099" t="str">
        <f>"112361"</f>
        <v>112361</v>
      </c>
      <c r="C3099" t="str">
        <f>"26990"</f>
        <v>26990</v>
      </c>
      <c r="D3099" t="s">
        <v>548</v>
      </c>
      <c r="E3099">
        <v>40</v>
      </c>
      <c r="F3099">
        <v>20131025</v>
      </c>
      <c r="G3099" t="s">
        <v>364</v>
      </c>
      <c r="H3099" t="s">
        <v>1054</v>
      </c>
      <c r="I3099" t="s">
        <v>21</v>
      </c>
    </row>
    <row r="3100" spans="1:9" x14ac:dyDescent="0.25">
      <c r="A3100">
        <v>20131031</v>
      </c>
      <c r="B3100" t="str">
        <f>"112362"</f>
        <v>112362</v>
      </c>
      <c r="C3100" t="str">
        <f>"87512"</f>
        <v>87512</v>
      </c>
      <c r="D3100" t="s">
        <v>1863</v>
      </c>
      <c r="E3100">
        <v>393</v>
      </c>
      <c r="F3100">
        <v>20131029</v>
      </c>
      <c r="G3100" t="s">
        <v>965</v>
      </c>
      <c r="H3100" t="s">
        <v>1864</v>
      </c>
      <c r="I3100" t="s">
        <v>21</v>
      </c>
    </row>
    <row r="3101" spans="1:9" x14ac:dyDescent="0.25">
      <c r="A3101">
        <v>20131031</v>
      </c>
      <c r="B3101" t="str">
        <f>"112363"</f>
        <v>112363</v>
      </c>
      <c r="C3101" t="str">
        <f>"87542"</f>
        <v>87542</v>
      </c>
      <c r="D3101" t="s">
        <v>1413</v>
      </c>
      <c r="E3101">
        <v>102.04</v>
      </c>
      <c r="F3101">
        <v>20131024</v>
      </c>
      <c r="G3101" t="s">
        <v>774</v>
      </c>
      <c r="H3101" t="s">
        <v>765</v>
      </c>
      <c r="I3101" t="s">
        <v>61</v>
      </c>
    </row>
    <row r="3102" spans="1:9" x14ac:dyDescent="0.25">
      <c r="A3102">
        <v>20131031</v>
      </c>
      <c r="B3102" t="str">
        <f>"112364"</f>
        <v>112364</v>
      </c>
      <c r="C3102" t="str">
        <f>"30000"</f>
        <v>30000</v>
      </c>
      <c r="D3102" t="s">
        <v>556</v>
      </c>
      <c r="E3102">
        <v>394.79</v>
      </c>
      <c r="F3102">
        <v>20131029</v>
      </c>
      <c r="G3102" t="s">
        <v>581</v>
      </c>
      <c r="H3102" t="s">
        <v>1865</v>
      </c>
      <c r="I3102" t="s">
        <v>21</v>
      </c>
    </row>
    <row r="3103" spans="1:9" x14ac:dyDescent="0.25">
      <c r="A3103">
        <v>20131031</v>
      </c>
      <c r="B3103" t="str">
        <f>"112364"</f>
        <v>112364</v>
      </c>
      <c r="C3103" t="str">
        <f>"30000"</f>
        <v>30000</v>
      </c>
      <c r="D3103" t="s">
        <v>556</v>
      </c>
      <c r="E3103">
        <v>86.97</v>
      </c>
      <c r="F3103">
        <v>20131029</v>
      </c>
      <c r="G3103" t="s">
        <v>1079</v>
      </c>
      <c r="H3103" t="s">
        <v>1866</v>
      </c>
      <c r="I3103" t="s">
        <v>21</v>
      </c>
    </row>
    <row r="3104" spans="1:9" x14ac:dyDescent="0.25">
      <c r="A3104">
        <v>20131031</v>
      </c>
      <c r="B3104" t="str">
        <f>"112364"</f>
        <v>112364</v>
      </c>
      <c r="C3104" t="str">
        <f>"30000"</f>
        <v>30000</v>
      </c>
      <c r="D3104" t="s">
        <v>556</v>
      </c>
      <c r="E3104" s="1">
        <v>1190</v>
      </c>
      <c r="F3104">
        <v>20131029</v>
      </c>
      <c r="G3104" t="s">
        <v>840</v>
      </c>
      <c r="H3104" t="s">
        <v>1867</v>
      </c>
      <c r="I3104" t="s">
        <v>21</v>
      </c>
    </row>
    <row r="3105" spans="1:9" x14ac:dyDescent="0.25">
      <c r="A3105">
        <v>20131031</v>
      </c>
      <c r="B3105" t="str">
        <f>"112365"</f>
        <v>112365</v>
      </c>
      <c r="C3105" t="str">
        <f>"87584"</f>
        <v>87584</v>
      </c>
      <c r="D3105" t="s">
        <v>1868</v>
      </c>
      <c r="E3105">
        <v>365.42</v>
      </c>
      <c r="F3105">
        <v>20131030</v>
      </c>
      <c r="G3105" t="s">
        <v>1846</v>
      </c>
      <c r="H3105" t="s">
        <v>765</v>
      </c>
      <c r="I3105" t="s">
        <v>63</v>
      </c>
    </row>
    <row r="3106" spans="1:9" x14ac:dyDescent="0.25">
      <c r="A3106">
        <v>20131031</v>
      </c>
      <c r="B3106" t="str">
        <f>"112366"</f>
        <v>112366</v>
      </c>
      <c r="C3106" t="str">
        <f>"30480"</f>
        <v>30480</v>
      </c>
      <c r="D3106" t="s">
        <v>570</v>
      </c>
      <c r="E3106" s="1">
        <v>5442</v>
      </c>
      <c r="F3106">
        <v>20131030</v>
      </c>
      <c r="G3106" t="s">
        <v>571</v>
      </c>
      <c r="H3106" t="s">
        <v>572</v>
      </c>
      <c r="I3106" t="s">
        <v>21</v>
      </c>
    </row>
    <row r="3107" spans="1:9" x14ac:dyDescent="0.25">
      <c r="A3107">
        <v>20131031</v>
      </c>
      <c r="B3107" t="str">
        <f>"112366"</f>
        <v>112366</v>
      </c>
      <c r="C3107" t="str">
        <f>"30480"</f>
        <v>30480</v>
      </c>
      <c r="D3107" t="s">
        <v>570</v>
      </c>
      <c r="E3107" s="1">
        <v>-5442</v>
      </c>
      <c r="F3107">
        <v>20140116</v>
      </c>
      <c r="G3107" t="s">
        <v>571</v>
      </c>
      <c r="H3107" t="s">
        <v>1869</v>
      </c>
      <c r="I3107" t="s">
        <v>21</v>
      </c>
    </row>
    <row r="3108" spans="1:9" x14ac:dyDescent="0.25">
      <c r="A3108">
        <v>20131031</v>
      </c>
      <c r="B3108" t="str">
        <f>"112367"</f>
        <v>112367</v>
      </c>
      <c r="C3108" t="str">
        <f>"86479"</f>
        <v>86479</v>
      </c>
      <c r="D3108" t="s">
        <v>849</v>
      </c>
      <c r="E3108">
        <v>105.43</v>
      </c>
      <c r="F3108">
        <v>20131024</v>
      </c>
      <c r="G3108" t="s">
        <v>774</v>
      </c>
      <c r="H3108" t="s">
        <v>765</v>
      </c>
      <c r="I3108" t="s">
        <v>61</v>
      </c>
    </row>
    <row r="3109" spans="1:9" x14ac:dyDescent="0.25">
      <c r="A3109">
        <v>20131031</v>
      </c>
      <c r="B3109" t="str">
        <f>"112367"</f>
        <v>112367</v>
      </c>
      <c r="C3109" t="str">
        <f>"86479"</f>
        <v>86479</v>
      </c>
      <c r="D3109" t="s">
        <v>849</v>
      </c>
      <c r="E3109">
        <v>105.43</v>
      </c>
      <c r="F3109">
        <v>20131024</v>
      </c>
      <c r="G3109" t="s">
        <v>774</v>
      </c>
      <c r="H3109" t="s">
        <v>765</v>
      </c>
      <c r="I3109" t="s">
        <v>61</v>
      </c>
    </row>
    <row r="3110" spans="1:9" x14ac:dyDescent="0.25">
      <c r="A3110">
        <v>20131031</v>
      </c>
      <c r="B3110" t="str">
        <f>"112368"</f>
        <v>112368</v>
      </c>
      <c r="C3110" t="str">
        <f>"86490"</f>
        <v>86490</v>
      </c>
      <c r="D3110" t="s">
        <v>851</v>
      </c>
      <c r="E3110">
        <v>116.44</v>
      </c>
      <c r="F3110">
        <v>20131024</v>
      </c>
      <c r="G3110" t="s">
        <v>774</v>
      </c>
      <c r="H3110" t="s">
        <v>765</v>
      </c>
      <c r="I3110" t="s">
        <v>61</v>
      </c>
    </row>
    <row r="3111" spans="1:9" x14ac:dyDescent="0.25">
      <c r="A3111">
        <v>20131031</v>
      </c>
      <c r="B3111" t="str">
        <f t="shared" ref="B3111:B3125" si="223">"112369"</f>
        <v>112369</v>
      </c>
      <c r="C3111" t="str">
        <f t="shared" ref="C3111:C3125" si="224">"31570"</f>
        <v>31570</v>
      </c>
      <c r="D3111" t="s">
        <v>1244</v>
      </c>
      <c r="E3111" s="1">
        <v>1875.83</v>
      </c>
      <c r="F3111">
        <v>20131029</v>
      </c>
      <c r="G3111" t="s">
        <v>448</v>
      </c>
      <c r="H3111" t="s">
        <v>1870</v>
      </c>
      <c r="I3111" t="s">
        <v>21</v>
      </c>
    </row>
    <row r="3112" spans="1:9" x14ac:dyDescent="0.25">
      <c r="A3112">
        <v>20131031</v>
      </c>
      <c r="B3112" t="str">
        <f t="shared" si="223"/>
        <v>112369</v>
      </c>
      <c r="C3112" t="str">
        <f t="shared" si="224"/>
        <v>31570</v>
      </c>
      <c r="D3112" t="s">
        <v>1244</v>
      </c>
      <c r="E3112">
        <v>60.77</v>
      </c>
      <c r="F3112">
        <v>20131030</v>
      </c>
      <c r="G3112" t="s">
        <v>498</v>
      </c>
      <c r="H3112" t="s">
        <v>499</v>
      </c>
      <c r="I3112" t="s">
        <v>21</v>
      </c>
    </row>
    <row r="3113" spans="1:9" x14ac:dyDescent="0.25">
      <c r="A3113">
        <v>20131031</v>
      </c>
      <c r="B3113" t="str">
        <f t="shared" si="223"/>
        <v>112369</v>
      </c>
      <c r="C3113" t="str">
        <f t="shared" si="224"/>
        <v>31570</v>
      </c>
      <c r="D3113" t="s">
        <v>1244</v>
      </c>
      <c r="E3113" s="1">
        <v>1454.18</v>
      </c>
      <c r="F3113">
        <v>20131030</v>
      </c>
      <c r="G3113" t="s">
        <v>413</v>
      </c>
      <c r="H3113" t="s">
        <v>414</v>
      </c>
      <c r="I3113" t="s">
        <v>21</v>
      </c>
    </row>
    <row r="3114" spans="1:9" x14ac:dyDescent="0.25">
      <c r="A3114">
        <v>20131031</v>
      </c>
      <c r="B3114" t="str">
        <f t="shared" si="223"/>
        <v>112369</v>
      </c>
      <c r="C3114" t="str">
        <f t="shared" si="224"/>
        <v>31570</v>
      </c>
      <c r="D3114" t="s">
        <v>1244</v>
      </c>
      <c r="E3114">
        <v>563.72</v>
      </c>
      <c r="F3114">
        <v>20131030</v>
      </c>
      <c r="G3114" t="s">
        <v>415</v>
      </c>
      <c r="H3114" t="s">
        <v>414</v>
      </c>
      <c r="I3114" t="s">
        <v>21</v>
      </c>
    </row>
    <row r="3115" spans="1:9" x14ac:dyDescent="0.25">
      <c r="A3115">
        <v>20131031</v>
      </c>
      <c r="B3115" t="str">
        <f t="shared" si="223"/>
        <v>112369</v>
      </c>
      <c r="C3115" t="str">
        <f t="shared" si="224"/>
        <v>31570</v>
      </c>
      <c r="D3115" t="s">
        <v>1244</v>
      </c>
      <c r="E3115" s="1">
        <v>1839</v>
      </c>
      <c r="F3115">
        <v>20131030</v>
      </c>
      <c r="G3115" t="s">
        <v>627</v>
      </c>
      <c r="H3115" t="s">
        <v>414</v>
      </c>
      <c r="I3115" t="s">
        <v>21</v>
      </c>
    </row>
    <row r="3116" spans="1:9" x14ac:dyDescent="0.25">
      <c r="A3116">
        <v>20131031</v>
      </c>
      <c r="B3116" t="str">
        <f t="shared" si="223"/>
        <v>112369</v>
      </c>
      <c r="C3116" t="str">
        <f t="shared" si="224"/>
        <v>31570</v>
      </c>
      <c r="D3116" t="s">
        <v>1244</v>
      </c>
      <c r="E3116">
        <v>401.21</v>
      </c>
      <c r="F3116">
        <v>20131030</v>
      </c>
      <c r="G3116" t="s">
        <v>1222</v>
      </c>
      <c r="H3116" t="s">
        <v>414</v>
      </c>
      <c r="I3116" t="s">
        <v>21</v>
      </c>
    </row>
    <row r="3117" spans="1:9" x14ac:dyDescent="0.25">
      <c r="A3117">
        <v>20131031</v>
      </c>
      <c r="B3117" t="str">
        <f t="shared" si="223"/>
        <v>112369</v>
      </c>
      <c r="C3117" t="str">
        <f t="shared" si="224"/>
        <v>31570</v>
      </c>
      <c r="D3117" t="s">
        <v>1244</v>
      </c>
      <c r="E3117">
        <v>259.97000000000003</v>
      </c>
      <c r="F3117">
        <v>20131030</v>
      </c>
      <c r="G3117" t="s">
        <v>628</v>
      </c>
      <c r="H3117" t="s">
        <v>414</v>
      </c>
      <c r="I3117" t="s">
        <v>21</v>
      </c>
    </row>
    <row r="3118" spans="1:9" x14ac:dyDescent="0.25">
      <c r="A3118">
        <v>20131031</v>
      </c>
      <c r="B3118" t="str">
        <f t="shared" si="223"/>
        <v>112369</v>
      </c>
      <c r="C3118" t="str">
        <f t="shared" si="224"/>
        <v>31570</v>
      </c>
      <c r="D3118" t="s">
        <v>1244</v>
      </c>
      <c r="E3118">
        <v>41.42</v>
      </c>
      <c r="F3118">
        <v>20131030</v>
      </c>
      <c r="G3118" t="s">
        <v>629</v>
      </c>
      <c r="H3118" t="s">
        <v>414</v>
      </c>
      <c r="I3118" t="s">
        <v>21</v>
      </c>
    </row>
    <row r="3119" spans="1:9" x14ac:dyDescent="0.25">
      <c r="A3119">
        <v>20131031</v>
      </c>
      <c r="B3119" t="str">
        <f t="shared" si="223"/>
        <v>112369</v>
      </c>
      <c r="C3119" t="str">
        <f t="shared" si="224"/>
        <v>31570</v>
      </c>
      <c r="D3119" t="s">
        <v>1244</v>
      </c>
      <c r="E3119">
        <v>19.89</v>
      </c>
      <c r="F3119">
        <v>20131030</v>
      </c>
      <c r="G3119" t="s">
        <v>630</v>
      </c>
      <c r="H3119" t="s">
        <v>414</v>
      </c>
      <c r="I3119" t="s">
        <v>21</v>
      </c>
    </row>
    <row r="3120" spans="1:9" x14ac:dyDescent="0.25">
      <c r="A3120">
        <v>20131031</v>
      </c>
      <c r="B3120" t="str">
        <f t="shared" si="223"/>
        <v>112369</v>
      </c>
      <c r="C3120" t="str">
        <f t="shared" si="224"/>
        <v>31570</v>
      </c>
      <c r="D3120" t="s">
        <v>1244</v>
      </c>
      <c r="E3120">
        <v>64.709999999999994</v>
      </c>
      <c r="F3120">
        <v>20131030</v>
      </c>
      <c r="G3120" t="s">
        <v>530</v>
      </c>
      <c r="H3120" t="s">
        <v>414</v>
      </c>
      <c r="I3120" t="s">
        <v>21</v>
      </c>
    </row>
    <row r="3121" spans="1:9" x14ac:dyDescent="0.25">
      <c r="A3121">
        <v>20131031</v>
      </c>
      <c r="B3121" t="str">
        <f t="shared" si="223"/>
        <v>112369</v>
      </c>
      <c r="C3121" t="str">
        <f t="shared" si="224"/>
        <v>31570</v>
      </c>
      <c r="D3121" t="s">
        <v>1244</v>
      </c>
      <c r="E3121">
        <v>163.72999999999999</v>
      </c>
      <c r="F3121">
        <v>20131030</v>
      </c>
      <c r="G3121" t="s">
        <v>631</v>
      </c>
      <c r="H3121" t="s">
        <v>414</v>
      </c>
      <c r="I3121" t="s">
        <v>21</v>
      </c>
    </row>
    <row r="3122" spans="1:9" x14ac:dyDescent="0.25">
      <c r="A3122">
        <v>20131031</v>
      </c>
      <c r="B3122" t="str">
        <f t="shared" si="223"/>
        <v>112369</v>
      </c>
      <c r="C3122" t="str">
        <f t="shared" si="224"/>
        <v>31570</v>
      </c>
      <c r="D3122" t="s">
        <v>1244</v>
      </c>
      <c r="E3122">
        <v>237.97</v>
      </c>
      <c r="F3122">
        <v>20131030</v>
      </c>
      <c r="G3122" t="s">
        <v>392</v>
      </c>
      <c r="H3122" t="s">
        <v>414</v>
      </c>
      <c r="I3122" t="s">
        <v>21</v>
      </c>
    </row>
    <row r="3123" spans="1:9" x14ac:dyDescent="0.25">
      <c r="A3123">
        <v>20131031</v>
      </c>
      <c r="B3123" t="str">
        <f t="shared" si="223"/>
        <v>112369</v>
      </c>
      <c r="C3123" t="str">
        <f t="shared" si="224"/>
        <v>31570</v>
      </c>
      <c r="D3123" t="s">
        <v>1244</v>
      </c>
      <c r="E3123">
        <v>477.28</v>
      </c>
      <c r="F3123">
        <v>20131030</v>
      </c>
      <c r="G3123" t="s">
        <v>1224</v>
      </c>
      <c r="H3123" t="s">
        <v>414</v>
      </c>
      <c r="I3123" t="s">
        <v>21</v>
      </c>
    </row>
    <row r="3124" spans="1:9" x14ac:dyDescent="0.25">
      <c r="A3124">
        <v>20131031</v>
      </c>
      <c r="B3124" t="str">
        <f t="shared" si="223"/>
        <v>112369</v>
      </c>
      <c r="C3124" t="str">
        <f t="shared" si="224"/>
        <v>31570</v>
      </c>
      <c r="D3124" t="s">
        <v>1244</v>
      </c>
      <c r="E3124">
        <v>32.35</v>
      </c>
      <c r="F3124">
        <v>20131030</v>
      </c>
      <c r="G3124" t="s">
        <v>531</v>
      </c>
      <c r="H3124" t="s">
        <v>414</v>
      </c>
      <c r="I3124" t="s">
        <v>21</v>
      </c>
    </row>
    <row r="3125" spans="1:9" x14ac:dyDescent="0.25">
      <c r="A3125">
        <v>20131031</v>
      </c>
      <c r="B3125" t="str">
        <f t="shared" si="223"/>
        <v>112369</v>
      </c>
      <c r="C3125" t="str">
        <f t="shared" si="224"/>
        <v>31570</v>
      </c>
      <c r="D3125" t="s">
        <v>1244</v>
      </c>
      <c r="E3125">
        <v>185.42</v>
      </c>
      <c r="F3125">
        <v>20131030</v>
      </c>
      <c r="G3125" t="s">
        <v>417</v>
      </c>
      <c r="H3125" t="s">
        <v>414</v>
      </c>
      <c r="I3125" t="s">
        <v>21</v>
      </c>
    </row>
    <row r="3126" spans="1:9" x14ac:dyDescent="0.25">
      <c r="A3126">
        <v>20131031</v>
      </c>
      <c r="B3126" t="str">
        <f>"112370"</f>
        <v>112370</v>
      </c>
      <c r="C3126" t="str">
        <f>"85841"</f>
        <v>85841</v>
      </c>
      <c r="D3126" t="s">
        <v>1871</v>
      </c>
      <c r="E3126">
        <v>90</v>
      </c>
      <c r="F3126">
        <v>20131024</v>
      </c>
      <c r="G3126" t="s">
        <v>764</v>
      </c>
      <c r="H3126" t="s">
        <v>765</v>
      </c>
      <c r="I3126" t="s">
        <v>61</v>
      </c>
    </row>
    <row r="3127" spans="1:9" x14ac:dyDescent="0.25">
      <c r="A3127">
        <v>20131031</v>
      </c>
      <c r="B3127" t="str">
        <f>"112371"</f>
        <v>112371</v>
      </c>
      <c r="C3127" t="str">
        <f>"33193"</f>
        <v>33193</v>
      </c>
      <c r="D3127" t="s">
        <v>1872</v>
      </c>
      <c r="E3127">
        <v>74.56</v>
      </c>
      <c r="F3127">
        <v>20131029</v>
      </c>
      <c r="G3127" t="s">
        <v>1250</v>
      </c>
      <c r="H3127" t="s">
        <v>365</v>
      </c>
      <c r="I3127" t="s">
        <v>66</v>
      </c>
    </row>
    <row r="3128" spans="1:9" x14ac:dyDescent="0.25">
      <c r="A3128">
        <v>20131031</v>
      </c>
      <c r="B3128" t="str">
        <f>"112372"</f>
        <v>112372</v>
      </c>
      <c r="C3128" t="str">
        <f>"86978"</f>
        <v>86978</v>
      </c>
      <c r="D3128" t="s">
        <v>1092</v>
      </c>
      <c r="E3128">
        <v>70</v>
      </c>
      <c r="F3128">
        <v>20131024</v>
      </c>
      <c r="G3128" t="s">
        <v>1093</v>
      </c>
      <c r="H3128" t="s">
        <v>765</v>
      </c>
      <c r="I3128" t="s">
        <v>61</v>
      </c>
    </row>
    <row r="3129" spans="1:9" x14ac:dyDescent="0.25">
      <c r="A3129">
        <v>20131031</v>
      </c>
      <c r="B3129" t="str">
        <f>"112373"</f>
        <v>112373</v>
      </c>
      <c r="C3129" t="str">
        <f>"34230"</f>
        <v>34230</v>
      </c>
      <c r="D3129" t="s">
        <v>1094</v>
      </c>
      <c r="E3129">
        <v>91.24</v>
      </c>
      <c r="F3129">
        <v>20131025</v>
      </c>
      <c r="G3129" t="s">
        <v>579</v>
      </c>
      <c r="H3129" t="s">
        <v>1873</v>
      </c>
      <c r="I3129" t="s">
        <v>21</v>
      </c>
    </row>
    <row r="3130" spans="1:9" x14ac:dyDescent="0.25">
      <c r="A3130">
        <v>20131031</v>
      </c>
      <c r="B3130" t="str">
        <f>"112374"</f>
        <v>112374</v>
      </c>
      <c r="C3130" t="str">
        <f>"83880"</f>
        <v>83880</v>
      </c>
      <c r="D3130" t="s">
        <v>865</v>
      </c>
      <c r="E3130">
        <v>35.29</v>
      </c>
      <c r="F3130">
        <v>20131028</v>
      </c>
      <c r="G3130" t="s">
        <v>1147</v>
      </c>
      <c r="H3130" t="s">
        <v>354</v>
      </c>
      <c r="I3130" t="s">
        <v>21</v>
      </c>
    </row>
    <row r="3131" spans="1:9" x14ac:dyDescent="0.25">
      <c r="A3131">
        <v>20131031</v>
      </c>
      <c r="B3131" t="str">
        <f>"112374"</f>
        <v>112374</v>
      </c>
      <c r="C3131" t="str">
        <f>"83880"</f>
        <v>83880</v>
      </c>
      <c r="D3131" t="s">
        <v>865</v>
      </c>
      <c r="E3131">
        <v>750</v>
      </c>
      <c r="F3131">
        <v>20131028</v>
      </c>
      <c r="G3131" t="s">
        <v>1874</v>
      </c>
      <c r="H3131" t="s">
        <v>354</v>
      </c>
      <c r="I3131" t="s">
        <v>21</v>
      </c>
    </row>
    <row r="3132" spans="1:9" x14ac:dyDescent="0.25">
      <c r="A3132">
        <v>20131031</v>
      </c>
      <c r="B3132" t="str">
        <f>"112374"</f>
        <v>112374</v>
      </c>
      <c r="C3132" t="str">
        <f>"83880"</f>
        <v>83880</v>
      </c>
      <c r="D3132" t="s">
        <v>865</v>
      </c>
      <c r="E3132" s="1">
        <v>1429.43</v>
      </c>
      <c r="F3132">
        <v>20131028</v>
      </c>
      <c r="G3132" t="s">
        <v>41</v>
      </c>
      <c r="H3132" t="s">
        <v>354</v>
      </c>
      <c r="I3132" t="s">
        <v>38</v>
      </c>
    </row>
    <row r="3133" spans="1:9" x14ac:dyDescent="0.25">
      <c r="A3133">
        <v>20131031</v>
      </c>
      <c r="B3133" t="str">
        <f>"112375"</f>
        <v>112375</v>
      </c>
      <c r="C3133" t="str">
        <f>"34625"</f>
        <v>34625</v>
      </c>
      <c r="D3133" t="s">
        <v>867</v>
      </c>
      <c r="E3133">
        <v>84.75</v>
      </c>
      <c r="F3133">
        <v>20131024</v>
      </c>
      <c r="G3133" t="s">
        <v>774</v>
      </c>
      <c r="H3133" t="s">
        <v>765</v>
      </c>
      <c r="I3133" t="s">
        <v>61</v>
      </c>
    </row>
    <row r="3134" spans="1:9" x14ac:dyDescent="0.25">
      <c r="A3134">
        <v>20131031</v>
      </c>
      <c r="B3134" t="str">
        <f>"112376"</f>
        <v>112376</v>
      </c>
      <c r="C3134" t="str">
        <f>"85824"</f>
        <v>85824</v>
      </c>
      <c r="D3134" t="s">
        <v>1875</v>
      </c>
      <c r="E3134">
        <v>57.57</v>
      </c>
      <c r="F3134">
        <v>20131030</v>
      </c>
      <c r="G3134" t="s">
        <v>1197</v>
      </c>
      <c r="H3134" t="s">
        <v>365</v>
      </c>
      <c r="I3134" t="s">
        <v>21</v>
      </c>
    </row>
    <row r="3135" spans="1:9" x14ac:dyDescent="0.25">
      <c r="A3135">
        <v>20131031</v>
      </c>
      <c r="B3135" t="str">
        <f>"112376"</f>
        <v>112376</v>
      </c>
      <c r="C3135" t="str">
        <f>"85824"</f>
        <v>85824</v>
      </c>
      <c r="D3135" t="s">
        <v>1875</v>
      </c>
      <c r="E3135">
        <v>-57.57</v>
      </c>
      <c r="F3135">
        <v>20131114</v>
      </c>
      <c r="G3135" t="s">
        <v>1197</v>
      </c>
      <c r="H3135" t="s">
        <v>1876</v>
      </c>
      <c r="I3135" t="s">
        <v>21</v>
      </c>
    </row>
    <row r="3136" spans="1:9" x14ac:dyDescent="0.25">
      <c r="A3136">
        <v>20131031</v>
      </c>
      <c r="B3136" t="str">
        <f>"112377"</f>
        <v>112377</v>
      </c>
      <c r="C3136" t="str">
        <f>"83584"</f>
        <v>83584</v>
      </c>
      <c r="D3136" t="s">
        <v>1877</v>
      </c>
      <c r="E3136">
        <v>176.5</v>
      </c>
      <c r="F3136">
        <v>20131024</v>
      </c>
      <c r="G3136" t="s">
        <v>764</v>
      </c>
      <c r="H3136" t="s">
        <v>765</v>
      </c>
      <c r="I3136" t="s">
        <v>61</v>
      </c>
    </row>
    <row r="3137" spans="1:9" x14ac:dyDescent="0.25">
      <c r="A3137">
        <v>20131031</v>
      </c>
      <c r="B3137" t="str">
        <f>"112378"</f>
        <v>112378</v>
      </c>
      <c r="C3137" t="str">
        <f>"00268"</f>
        <v>00268</v>
      </c>
      <c r="D3137" t="s">
        <v>1878</v>
      </c>
      <c r="E3137">
        <v>500.52</v>
      </c>
      <c r="F3137">
        <v>20131031</v>
      </c>
      <c r="G3137" t="s">
        <v>904</v>
      </c>
      <c r="H3137" t="s">
        <v>921</v>
      </c>
      <c r="I3137" t="s">
        <v>75</v>
      </c>
    </row>
    <row r="3138" spans="1:9" x14ac:dyDescent="0.25">
      <c r="A3138">
        <v>20131031</v>
      </c>
      <c r="B3138" t="str">
        <f>"112379"</f>
        <v>112379</v>
      </c>
      <c r="C3138" t="str">
        <f>"83064"</f>
        <v>83064</v>
      </c>
      <c r="D3138" t="s">
        <v>1760</v>
      </c>
      <c r="E3138">
        <v>38.5</v>
      </c>
      <c r="F3138">
        <v>20131031</v>
      </c>
      <c r="G3138" t="s">
        <v>637</v>
      </c>
      <c r="H3138" t="s">
        <v>354</v>
      </c>
      <c r="I3138" t="s">
        <v>38</v>
      </c>
    </row>
    <row r="3139" spans="1:9" x14ac:dyDescent="0.25">
      <c r="A3139">
        <v>20131031</v>
      </c>
      <c r="B3139" t="str">
        <f>"112380"</f>
        <v>112380</v>
      </c>
      <c r="C3139" t="str">
        <f>"39190"</f>
        <v>39190</v>
      </c>
      <c r="D3139" t="s">
        <v>1100</v>
      </c>
      <c r="E3139" s="1">
        <v>1854.53</v>
      </c>
      <c r="F3139">
        <v>20131030</v>
      </c>
      <c r="G3139" t="s">
        <v>742</v>
      </c>
      <c r="H3139" t="s">
        <v>743</v>
      </c>
      <c r="I3139" t="s">
        <v>21</v>
      </c>
    </row>
    <row r="3140" spans="1:9" x14ac:dyDescent="0.25">
      <c r="A3140">
        <v>20131031</v>
      </c>
      <c r="B3140" t="str">
        <f>"112381"</f>
        <v>112381</v>
      </c>
      <c r="C3140" t="str">
        <f>"83730"</f>
        <v>83730</v>
      </c>
      <c r="D3140" t="s">
        <v>1879</v>
      </c>
      <c r="E3140">
        <v>49.34</v>
      </c>
      <c r="F3140">
        <v>20131029</v>
      </c>
      <c r="G3140" t="s">
        <v>1743</v>
      </c>
      <c r="H3140" t="s">
        <v>1880</v>
      </c>
      <c r="I3140" t="s">
        <v>21</v>
      </c>
    </row>
    <row r="3141" spans="1:9" x14ac:dyDescent="0.25">
      <c r="A3141">
        <v>20131031</v>
      </c>
      <c r="B3141" t="str">
        <f>"112382"</f>
        <v>112382</v>
      </c>
      <c r="C3141" t="str">
        <f>"76155"</f>
        <v>76155</v>
      </c>
      <c r="D3141" t="s">
        <v>1881</v>
      </c>
      <c r="E3141">
        <v>435</v>
      </c>
      <c r="F3141">
        <v>20131024</v>
      </c>
      <c r="G3141" t="s">
        <v>1045</v>
      </c>
      <c r="H3141" t="s">
        <v>1882</v>
      </c>
      <c r="I3141" t="s">
        <v>61</v>
      </c>
    </row>
    <row r="3142" spans="1:9" x14ac:dyDescent="0.25">
      <c r="A3142">
        <v>20131031</v>
      </c>
      <c r="B3142" t="str">
        <f>"112383"</f>
        <v>112383</v>
      </c>
      <c r="C3142" t="str">
        <f>"87585"</f>
        <v>87585</v>
      </c>
      <c r="D3142" t="s">
        <v>1883</v>
      </c>
      <c r="E3142">
        <v>154</v>
      </c>
      <c r="F3142">
        <v>20131030</v>
      </c>
      <c r="G3142" t="s">
        <v>764</v>
      </c>
      <c r="H3142" t="s">
        <v>765</v>
      </c>
      <c r="I3142" t="s">
        <v>61</v>
      </c>
    </row>
    <row r="3143" spans="1:9" x14ac:dyDescent="0.25">
      <c r="A3143">
        <v>20131031</v>
      </c>
      <c r="B3143" t="str">
        <f>"112384"</f>
        <v>112384</v>
      </c>
      <c r="C3143" t="str">
        <f>"87587"</f>
        <v>87587</v>
      </c>
      <c r="D3143" t="s">
        <v>1884</v>
      </c>
      <c r="E3143">
        <v>200.85</v>
      </c>
      <c r="F3143">
        <v>20131030</v>
      </c>
      <c r="G3143" t="s">
        <v>1846</v>
      </c>
      <c r="H3143" t="s">
        <v>765</v>
      </c>
      <c r="I3143" t="s">
        <v>63</v>
      </c>
    </row>
    <row r="3144" spans="1:9" x14ac:dyDescent="0.25">
      <c r="A3144">
        <v>20131031</v>
      </c>
      <c r="B3144" t="str">
        <f>"112385"</f>
        <v>112385</v>
      </c>
      <c r="C3144" t="str">
        <f>"81295"</f>
        <v>81295</v>
      </c>
      <c r="D3144" t="s">
        <v>1617</v>
      </c>
      <c r="E3144">
        <v>777</v>
      </c>
      <c r="F3144">
        <v>20131028</v>
      </c>
      <c r="G3144" t="s">
        <v>1773</v>
      </c>
      <c r="H3144" t="s">
        <v>414</v>
      </c>
      <c r="I3144" t="s">
        <v>21</v>
      </c>
    </row>
    <row r="3145" spans="1:9" x14ac:dyDescent="0.25">
      <c r="A3145">
        <v>20131031</v>
      </c>
      <c r="B3145" t="str">
        <f>"112386"</f>
        <v>112386</v>
      </c>
      <c r="C3145" t="str">
        <f>"87582"</f>
        <v>87582</v>
      </c>
      <c r="D3145" t="s">
        <v>1885</v>
      </c>
      <c r="E3145">
        <v>314</v>
      </c>
      <c r="F3145">
        <v>20131029</v>
      </c>
      <c r="G3145" t="s">
        <v>36</v>
      </c>
      <c r="H3145" t="s">
        <v>513</v>
      </c>
      <c r="I3145" t="s">
        <v>38</v>
      </c>
    </row>
    <row r="3146" spans="1:9" x14ac:dyDescent="0.25">
      <c r="A3146">
        <v>20131031</v>
      </c>
      <c r="B3146" t="str">
        <f>"112387"</f>
        <v>112387</v>
      </c>
      <c r="C3146" t="str">
        <f>"86485"</f>
        <v>86485</v>
      </c>
      <c r="D3146" t="s">
        <v>887</v>
      </c>
      <c r="E3146">
        <v>88.48</v>
      </c>
      <c r="F3146">
        <v>20131024</v>
      </c>
      <c r="G3146" t="s">
        <v>774</v>
      </c>
      <c r="H3146" t="s">
        <v>765</v>
      </c>
      <c r="I3146" t="s">
        <v>61</v>
      </c>
    </row>
    <row r="3147" spans="1:9" x14ac:dyDescent="0.25">
      <c r="A3147">
        <v>20131031</v>
      </c>
      <c r="B3147" t="str">
        <f>"112388"</f>
        <v>112388</v>
      </c>
      <c r="C3147" t="str">
        <f>"85122"</f>
        <v>85122</v>
      </c>
      <c r="D3147" t="s">
        <v>1103</v>
      </c>
      <c r="E3147">
        <v>57.57</v>
      </c>
      <c r="F3147">
        <v>20131029</v>
      </c>
      <c r="G3147" t="s">
        <v>364</v>
      </c>
      <c r="H3147" t="s">
        <v>365</v>
      </c>
      <c r="I3147" t="s">
        <v>21</v>
      </c>
    </row>
    <row r="3148" spans="1:9" x14ac:dyDescent="0.25">
      <c r="A3148">
        <v>20131031</v>
      </c>
      <c r="B3148" t="str">
        <f>"112389"</f>
        <v>112389</v>
      </c>
      <c r="C3148" t="str">
        <f>"40910"</f>
        <v>40910</v>
      </c>
      <c r="D3148" t="s">
        <v>1886</v>
      </c>
      <c r="E3148">
        <v>538</v>
      </c>
      <c r="F3148">
        <v>20131030</v>
      </c>
      <c r="G3148" t="s">
        <v>331</v>
      </c>
      <c r="H3148" t="s">
        <v>1887</v>
      </c>
      <c r="I3148" t="s">
        <v>12</v>
      </c>
    </row>
    <row r="3149" spans="1:9" x14ac:dyDescent="0.25">
      <c r="A3149">
        <v>20131031</v>
      </c>
      <c r="B3149" t="str">
        <f>"112390"</f>
        <v>112390</v>
      </c>
      <c r="C3149" t="str">
        <f>"86489"</f>
        <v>86489</v>
      </c>
      <c r="D3149" t="s">
        <v>1888</v>
      </c>
      <c r="E3149">
        <v>120</v>
      </c>
      <c r="F3149">
        <v>20131024</v>
      </c>
      <c r="G3149" t="s">
        <v>764</v>
      </c>
      <c r="H3149" t="s">
        <v>765</v>
      </c>
      <c r="I3149" t="s">
        <v>61</v>
      </c>
    </row>
    <row r="3150" spans="1:9" x14ac:dyDescent="0.25">
      <c r="A3150">
        <v>20131031</v>
      </c>
      <c r="B3150" t="str">
        <f>"112391"</f>
        <v>112391</v>
      </c>
      <c r="C3150" t="str">
        <f>"42750"</f>
        <v>42750</v>
      </c>
      <c r="D3150" t="s">
        <v>888</v>
      </c>
      <c r="E3150">
        <v>145.31</v>
      </c>
      <c r="F3150">
        <v>20131030</v>
      </c>
      <c r="G3150" t="s">
        <v>181</v>
      </c>
      <c r="H3150" t="s">
        <v>354</v>
      </c>
      <c r="I3150" t="s">
        <v>38</v>
      </c>
    </row>
    <row r="3151" spans="1:9" x14ac:dyDescent="0.25">
      <c r="A3151">
        <v>20131031</v>
      </c>
      <c r="B3151" t="str">
        <f>"112392"</f>
        <v>112392</v>
      </c>
      <c r="C3151" t="str">
        <f>"43193"</f>
        <v>43193</v>
      </c>
      <c r="D3151" t="s">
        <v>1889</v>
      </c>
      <c r="E3151">
        <v>480</v>
      </c>
      <c r="F3151">
        <v>20131029</v>
      </c>
      <c r="G3151" t="s">
        <v>347</v>
      </c>
      <c r="H3151" t="s">
        <v>361</v>
      </c>
      <c r="I3151" t="s">
        <v>61</v>
      </c>
    </row>
    <row r="3152" spans="1:9" x14ac:dyDescent="0.25">
      <c r="A3152">
        <v>20131031</v>
      </c>
      <c r="B3152" t="str">
        <f>"112393"</f>
        <v>112393</v>
      </c>
      <c r="C3152" t="str">
        <f>"00204"</f>
        <v>00204</v>
      </c>
      <c r="D3152" t="s">
        <v>1890</v>
      </c>
      <c r="E3152">
        <v>228.75</v>
      </c>
      <c r="F3152">
        <v>20131029</v>
      </c>
      <c r="G3152" t="s">
        <v>935</v>
      </c>
      <c r="H3152" t="s">
        <v>1312</v>
      </c>
      <c r="I3152" t="s">
        <v>21</v>
      </c>
    </row>
    <row r="3153" spans="1:9" x14ac:dyDescent="0.25">
      <c r="A3153">
        <v>20131031</v>
      </c>
      <c r="B3153" t="str">
        <f>"112394"</f>
        <v>112394</v>
      </c>
      <c r="C3153" t="str">
        <f>"87529"</f>
        <v>87529</v>
      </c>
      <c r="D3153" t="s">
        <v>1261</v>
      </c>
      <c r="E3153">
        <v>89.72</v>
      </c>
      <c r="F3153">
        <v>20131024</v>
      </c>
      <c r="G3153" t="s">
        <v>764</v>
      </c>
      <c r="H3153" t="s">
        <v>765</v>
      </c>
      <c r="I3153" t="s">
        <v>61</v>
      </c>
    </row>
    <row r="3154" spans="1:9" x14ac:dyDescent="0.25">
      <c r="A3154">
        <v>20131031</v>
      </c>
      <c r="B3154" t="str">
        <f>"112394"</f>
        <v>112394</v>
      </c>
      <c r="C3154" t="str">
        <f>"87529"</f>
        <v>87529</v>
      </c>
      <c r="D3154" t="s">
        <v>1261</v>
      </c>
      <c r="E3154">
        <v>106.12</v>
      </c>
      <c r="F3154">
        <v>20131024</v>
      </c>
      <c r="G3154" t="s">
        <v>1093</v>
      </c>
      <c r="H3154" t="s">
        <v>765</v>
      </c>
      <c r="I3154" t="s">
        <v>61</v>
      </c>
    </row>
    <row r="3155" spans="1:9" x14ac:dyDescent="0.25">
      <c r="A3155">
        <v>20131031</v>
      </c>
      <c r="B3155" t="str">
        <f>"112395"</f>
        <v>112395</v>
      </c>
      <c r="C3155" t="str">
        <f>"86050"</f>
        <v>86050</v>
      </c>
      <c r="D3155" t="s">
        <v>894</v>
      </c>
      <c r="E3155">
        <v>40.68</v>
      </c>
      <c r="F3155">
        <v>20131030</v>
      </c>
      <c r="G3155" t="s">
        <v>1846</v>
      </c>
      <c r="H3155" t="s">
        <v>765</v>
      </c>
      <c r="I3155" t="s">
        <v>63</v>
      </c>
    </row>
    <row r="3156" spans="1:9" x14ac:dyDescent="0.25">
      <c r="A3156">
        <v>20131031</v>
      </c>
      <c r="B3156" t="str">
        <f>"112396"</f>
        <v>112396</v>
      </c>
      <c r="C3156" t="str">
        <f>"86067"</f>
        <v>86067</v>
      </c>
      <c r="D3156" t="s">
        <v>1891</v>
      </c>
      <c r="E3156">
        <v>172.54</v>
      </c>
      <c r="F3156">
        <v>20131030</v>
      </c>
      <c r="G3156" t="s">
        <v>1846</v>
      </c>
      <c r="H3156" t="s">
        <v>765</v>
      </c>
      <c r="I3156" t="s">
        <v>63</v>
      </c>
    </row>
    <row r="3157" spans="1:9" x14ac:dyDescent="0.25">
      <c r="A3157">
        <v>20131031</v>
      </c>
      <c r="B3157" t="str">
        <f>"112397"</f>
        <v>112397</v>
      </c>
      <c r="C3157" t="str">
        <f>"45760"</f>
        <v>45760</v>
      </c>
      <c r="D3157" t="s">
        <v>895</v>
      </c>
      <c r="E3157">
        <v>120</v>
      </c>
      <c r="F3157">
        <v>20131024</v>
      </c>
      <c r="G3157" t="s">
        <v>764</v>
      </c>
      <c r="H3157" t="s">
        <v>765</v>
      </c>
      <c r="I3157" t="s">
        <v>61</v>
      </c>
    </row>
    <row r="3158" spans="1:9" x14ac:dyDescent="0.25">
      <c r="A3158">
        <v>20131031</v>
      </c>
      <c r="B3158" t="str">
        <f>"112397"</f>
        <v>112397</v>
      </c>
      <c r="C3158" t="str">
        <f>"45760"</f>
        <v>45760</v>
      </c>
      <c r="D3158" t="s">
        <v>895</v>
      </c>
      <c r="E3158">
        <v>50</v>
      </c>
      <c r="F3158">
        <v>20131024</v>
      </c>
      <c r="G3158" t="s">
        <v>764</v>
      </c>
      <c r="H3158" t="s">
        <v>765</v>
      </c>
      <c r="I3158" t="s">
        <v>61</v>
      </c>
    </row>
    <row r="3159" spans="1:9" x14ac:dyDescent="0.25">
      <c r="A3159">
        <v>20131031</v>
      </c>
      <c r="B3159" t="str">
        <f>"112398"</f>
        <v>112398</v>
      </c>
      <c r="C3159" t="str">
        <f>"84067"</f>
        <v>84067</v>
      </c>
      <c r="D3159" t="s">
        <v>1892</v>
      </c>
      <c r="E3159">
        <v>100</v>
      </c>
      <c r="F3159">
        <v>20131024</v>
      </c>
      <c r="G3159" t="s">
        <v>1893</v>
      </c>
      <c r="H3159" t="s">
        <v>1894</v>
      </c>
      <c r="I3159" t="s">
        <v>21</v>
      </c>
    </row>
    <row r="3160" spans="1:9" x14ac:dyDescent="0.25">
      <c r="A3160">
        <v>20131031</v>
      </c>
      <c r="B3160" t="str">
        <f>"112399"</f>
        <v>112399</v>
      </c>
      <c r="C3160" t="str">
        <f>"83094"</f>
        <v>83094</v>
      </c>
      <c r="D3160" t="s">
        <v>1895</v>
      </c>
      <c r="E3160">
        <v>601.76</v>
      </c>
      <c r="F3160">
        <v>20131030</v>
      </c>
      <c r="G3160" t="s">
        <v>699</v>
      </c>
      <c r="H3160" t="s">
        <v>1896</v>
      </c>
      <c r="I3160" t="s">
        <v>61</v>
      </c>
    </row>
    <row r="3161" spans="1:9" x14ac:dyDescent="0.25">
      <c r="A3161">
        <v>20131031</v>
      </c>
      <c r="B3161" t="str">
        <f>"112399"</f>
        <v>112399</v>
      </c>
      <c r="C3161" t="str">
        <f>"83094"</f>
        <v>83094</v>
      </c>
      <c r="D3161" t="s">
        <v>1895</v>
      </c>
      <c r="E3161">
        <v>382.8</v>
      </c>
      <c r="F3161">
        <v>20131030</v>
      </c>
      <c r="G3161" t="s">
        <v>699</v>
      </c>
      <c r="H3161" t="s">
        <v>1897</v>
      </c>
      <c r="I3161" t="s">
        <v>61</v>
      </c>
    </row>
    <row r="3162" spans="1:9" x14ac:dyDescent="0.25">
      <c r="A3162">
        <v>20131031</v>
      </c>
      <c r="B3162" t="str">
        <f>"112399"</f>
        <v>112399</v>
      </c>
      <c r="C3162" t="str">
        <f>"83094"</f>
        <v>83094</v>
      </c>
      <c r="D3162" t="s">
        <v>1895</v>
      </c>
      <c r="E3162" s="1">
        <v>1534.68</v>
      </c>
      <c r="F3162">
        <v>20131030</v>
      </c>
      <c r="G3162" t="s">
        <v>699</v>
      </c>
      <c r="H3162" t="s">
        <v>1898</v>
      </c>
      <c r="I3162" t="s">
        <v>61</v>
      </c>
    </row>
    <row r="3163" spans="1:9" x14ac:dyDescent="0.25">
      <c r="A3163">
        <v>20131031</v>
      </c>
      <c r="B3163" t="str">
        <f>"112400"</f>
        <v>112400</v>
      </c>
      <c r="C3163" t="str">
        <f>"87579"</f>
        <v>87579</v>
      </c>
      <c r="D3163" t="s">
        <v>1899</v>
      </c>
      <c r="E3163" s="1">
        <v>3486</v>
      </c>
      <c r="F3163">
        <v>20131029</v>
      </c>
      <c r="G3163" t="s">
        <v>1900</v>
      </c>
      <c r="H3163" t="s">
        <v>1901</v>
      </c>
      <c r="I3163" t="s">
        <v>608</v>
      </c>
    </row>
    <row r="3164" spans="1:9" x14ac:dyDescent="0.25">
      <c r="A3164">
        <v>20131031</v>
      </c>
      <c r="B3164" t="str">
        <f>"112401"</f>
        <v>112401</v>
      </c>
      <c r="C3164" t="str">
        <f>"82598"</f>
        <v>82598</v>
      </c>
      <c r="D3164" t="s">
        <v>635</v>
      </c>
      <c r="E3164">
        <v>204.08</v>
      </c>
      <c r="F3164">
        <v>20131028</v>
      </c>
      <c r="G3164" t="s">
        <v>925</v>
      </c>
      <c r="H3164" t="s">
        <v>365</v>
      </c>
      <c r="I3164" t="s">
        <v>66</v>
      </c>
    </row>
    <row r="3165" spans="1:9" x14ac:dyDescent="0.25">
      <c r="A3165">
        <v>20131031</v>
      </c>
      <c r="B3165" t="str">
        <f>"112402"</f>
        <v>112402</v>
      </c>
      <c r="C3165" t="str">
        <f>"87586"</f>
        <v>87586</v>
      </c>
      <c r="D3165" t="s">
        <v>1902</v>
      </c>
      <c r="E3165">
        <v>114.92</v>
      </c>
      <c r="F3165">
        <v>20131030</v>
      </c>
      <c r="G3165" t="s">
        <v>1846</v>
      </c>
      <c r="H3165" t="s">
        <v>765</v>
      </c>
      <c r="I3165" t="s">
        <v>63</v>
      </c>
    </row>
    <row r="3166" spans="1:9" x14ac:dyDescent="0.25">
      <c r="A3166">
        <v>20131031</v>
      </c>
      <c r="B3166" t="str">
        <f>"112403"</f>
        <v>112403</v>
      </c>
      <c r="C3166" t="str">
        <f>"87588"</f>
        <v>87588</v>
      </c>
      <c r="D3166" t="s">
        <v>1903</v>
      </c>
      <c r="E3166">
        <v>114.92</v>
      </c>
      <c r="F3166">
        <v>20131030</v>
      </c>
      <c r="G3166" t="s">
        <v>1846</v>
      </c>
      <c r="H3166" t="s">
        <v>765</v>
      </c>
      <c r="I3166" t="s">
        <v>63</v>
      </c>
    </row>
    <row r="3167" spans="1:9" x14ac:dyDescent="0.25">
      <c r="A3167">
        <v>20131031</v>
      </c>
      <c r="B3167" t="str">
        <f>"112404"</f>
        <v>112404</v>
      </c>
      <c r="C3167" t="str">
        <f>"51000"</f>
        <v>51000</v>
      </c>
      <c r="D3167" t="s">
        <v>366</v>
      </c>
      <c r="E3167">
        <v>36.72</v>
      </c>
      <c r="F3167">
        <v>20131024</v>
      </c>
      <c r="G3167" t="s">
        <v>367</v>
      </c>
      <c r="H3167" t="s">
        <v>368</v>
      </c>
      <c r="I3167" t="s">
        <v>21</v>
      </c>
    </row>
    <row r="3168" spans="1:9" x14ac:dyDescent="0.25">
      <c r="A3168">
        <v>20131031</v>
      </c>
      <c r="B3168" t="str">
        <f>"112405"</f>
        <v>112405</v>
      </c>
      <c r="C3168" t="str">
        <f>"87575"</f>
        <v>87575</v>
      </c>
      <c r="D3168" t="s">
        <v>1904</v>
      </c>
      <c r="E3168">
        <v>690</v>
      </c>
      <c r="F3168">
        <v>20131024</v>
      </c>
      <c r="G3168" t="s">
        <v>189</v>
      </c>
      <c r="H3168" t="s">
        <v>357</v>
      </c>
      <c r="I3168" t="s">
        <v>25</v>
      </c>
    </row>
    <row r="3169" spans="1:9" x14ac:dyDescent="0.25">
      <c r="A3169">
        <v>20131031</v>
      </c>
      <c r="B3169" t="str">
        <f>"112406"</f>
        <v>112406</v>
      </c>
      <c r="C3169" t="str">
        <f>"53300"</f>
        <v>53300</v>
      </c>
      <c r="D3169" t="s">
        <v>1491</v>
      </c>
      <c r="E3169">
        <v>8.08</v>
      </c>
      <c r="F3169">
        <v>20131030</v>
      </c>
      <c r="G3169" t="s">
        <v>627</v>
      </c>
      <c r="H3169" t="s">
        <v>414</v>
      </c>
      <c r="I3169" t="s">
        <v>21</v>
      </c>
    </row>
    <row r="3170" spans="1:9" x14ac:dyDescent="0.25">
      <c r="A3170">
        <v>20131031</v>
      </c>
      <c r="B3170" t="str">
        <f>"112406"</f>
        <v>112406</v>
      </c>
      <c r="C3170" t="str">
        <f>"53300"</f>
        <v>53300</v>
      </c>
      <c r="D3170" t="s">
        <v>1491</v>
      </c>
      <c r="E3170">
        <v>229.98</v>
      </c>
      <c r="F3170">
        <v>20131030</v>
      </c>
      <c r="G3170" t="s">
        <v>392</v>
      </c>
      <c r="H3170" t="s">
        <v>414</v>
      </c>
      <c r="I3170" t="s">
        <v>21</v>
      </c>
    </row>
    <row r="3171" spans="1:9" x14ac:dyDescent="0.25">
      <c r="A3171">
        <v>20131031</v>
      </c>
      <c r="B3171" t="str">
        <f>"112406"</f>
        <v>112406</v>
      </c>
      <c r="C3171" t="str">
        <f>"53300"</f>
        <v>53300</v>
      </c>
      <c r="D3171" t="s">
        <v>1491</v>
      </c>
      <c r="E3171">
        <v>9.98</v>
      </c>
      <c r="F3171">
        <v>20131030</v>
      </c>
      <c r="G3171" t="s">
        <v>1224</v>
      </c>
      <c r="H3171" t="s">
        <v>414</v>
      </c>
      <c r="I3171" t="s">
        <v>21</v>
      </c>
    </row>
    <row r="3172" spans="1:9" x14ac:dyDescent="0.25">
      <c r="A3172">
        <v>20131031</v>
      </c>
      <c r="B3172" t="str">
        <f>"112406"</f>
        <v>112406</v>
      </c>
      <c r="C3172" t="str">
        <f>"53300"</f>
        <v>53300</v>
      </c>
      <c r="D3172" t="s">
        <v>1491</v>
      </c>
      <c r="E3172">
        <v>17.45</v>
      </c>
      <c r="F3172">
        <v>20131030</v>
      </c>
      <c r="G3172" t="s">
        <v>531</v>
      </c>
      <c r="H3172" t="s">
        <v>414</v>
      </c>
      <c r="I3172" t="s">
        <v>21</v>
      </c>
    </row>
    <row r="3173" spans="1:9" x14ac:dyDescent="0.25">
      <c r="A3173">
        <v>20131031</v>
      </c>
      <c r="B3173" t="str">
        <f>"112407"</f>
        <v>112407</v>
      </c>
      <c r="C3173" t="str">
        <f>"87508"</f>
        <v>87508</v>
      </c>
      <c r="D3173" t="s">
        <v>1905</v>
      </c>
      <c r="E3173">
        <v>414.97</v>
      </c>
      <c r="F3173">
        <v>20131030</v>
      </c>
      <c r="G3173" t="s">
        <v>1020</v>
      </c>
      <c r="H3173" t="s">
        <v>1906</v>
      </c>
      <c r="I3173" t="s">
        <v>21</v>
      </c>
    </row>
    <row r="3174" spans="1:9" x14ac:dyDescent="0.25">
      <c r="A3174">
        <v>20131031</v>
      </c>
      <c r="B3174" t="str">
        <f>"112408"</f>
        <v>112408</v>
      </c>
      <c r="C3174" t="str">
        <f>"87513"</f>
        <v>87513</v>
      </c>
      <c r="D3174" t="s">
        <v>1907</v>
      </c>
      <c r="E3174">
        <v>414.17</v>
      </c>
      <c r="F3174">
        <v>20131029</v>
      </c>
      <c r="G3174" t="s">
        <v>128</v>
      </c>
      <c r="H3174" t="s">
        <v>1908</v>
      </c>
      <c r="I3174" t="s">
        <v>21</v>
      </c>
    </row>
    <row r="3175" spans="1:9" x14ac:dyDescent="0.25">
      <c r="A3175">
        <v>20131031</v>
      </c>
      <c r="B3175" t="str">
        <f>"112409"</f>
        <v>112409</v>
      </c>
      <c r="C3175" t="str">
        <f>"55583"</f>
        <v>55583</v>
      </c>
      <c r="D3175" t="s">
        <v>1909</v>
      </c>
      <c r="E3175">
        <v>90</v>
      </c>
      <c r="F3175">
        <v>20131024</v>
      </c>
      <c r="G3175" t="s">
        <v>764</v>
      </c>
      <c r="H3175" t="s">
        <v>765</v>
      </c>
      <c r="I3175" t="s">
        <v>61</v>
      </c>
    </row>
    <row r="3176" spans="1:9" x14ac:dyDescent="0.25">
      <c r="A3176">
        <v>20131031</v>
      </c>
      <c r="B3176" t="str">
        <f>"112410"</f>
        <v>112410</v>
      </c>
      <c r="C3176" t="str">
        <f>"55675"</f>
        <v>55675</v>
      </c>
      <c r="D3176" t="s">
        <v>1114</v>
      </c>
      <c r="E3176">
        <v>121.49</v>
      </c>
      <c r="F3176">
        <v>20131030</v>
      </c>
      <c r="G3176" t="s">
        <v>1910</v>
      </c>
      <c r="H3176" t="s">
        <v>1788</v>
      </c>
      <c r="I3176" t="s">
        <v>21</v>
      </c>
    </row>
    <row r="3177" spans="1:9" x14ac:dyDescent="0.25">
      <c r="A3177">
        <v>20131031</v>
      </c>
      <c r="B3177" t="str">
        <f>"112410"</f>
        <v>112410</v>
      </c>
      <c r="C3177" t="str">
        <f>"55675"</f>
        <v>55675</v>
      </c>
      <c r="D3177" t="s">
        <v>1114</v>
      </c>
      <c r="E3177">
        <v>58.5</v>
      </c>
      <c r="F3177">
        <v>20131030</v>
      </c>
      <c r="G3177" t="s">
        <v>1910</v>
      </c>
      <c r="H3177" t="s">
        <v>1788</v>
      </c>
      <c r="I3177" t="s">
        <v>21</v>
      </c>
    </row>
    <row r="3178" spans="1:9" x14ac:dyDescent="0.25">
      <c r="A3178">
        <v>20131031</v>
      </c>
      <c r="B3178" t="str">
        <f>"112411"</f>
        <v>112411</v>
      </c>
      <c r="C3178" t="str">
        <f>"00151"</f>
        <v>00151</v>
      </c>
      <c r="D3178" t="s">
        <v>1641</v>
      </c>
      <c r="E3178">
        <v>130</v>
      </c>
      <c r="F3178">
        <v>20131030</v>
      </c>
      <c r="G3178" t="s">
        <v>1911</v>
      </c>
      <c r="H3178" t="s">
        <v>1642</v>
      </c>
      <c r="I3178" t="s">
        <v>21</v>
      </c>
    </row>
    <row r="3179" spans="1:9" x14ac:dyDescent="0.25">
      <c r="A3179">
        <v>20131031</v>
      </c>
      <c r="B3179" t="str">
        <f>"112412"</f>
        <v>112412</v>
      </c>
      <c r="C3179" t="str">
        <f>"86946"</f>
        <v>86946</v>
      </c>
      <c r="D3179" t="s">
        <v>933</v>
      </c>
      <c r="E3179">
        <v>46.72</v>
      </c>
      <c r="F3179">
        <v>20131028</v>
      </c>
      <c r="G3179" t="s">
        <v>36</v>
      </c>
      <c r="H3179" t="s">
        <v>1912</v>
      </c>
      <c r="I3179" t="s">
        <v>38</v>
      </c>
    </row>
    <row r="3180" spans="1:9" x14ac:dyDescent="0.25">
      <c r="A3180">
        <v>20131031</v>
      </c>
      <c r="B3180" t="str">
        <f>"112413"</f>
        <v>112413</v>
      </c>
      <c r="C3180" t="str">
        <f>"58458"</f>
        <v>58458</v>
      </c>
      <c r="D3180" t="s">
        <v>369</v>
      </c>
      <c r="E3180">
        <v>54.63</v>
      </c>
      <c r="F3180">
        <v>20131028</v>
      </c>
      <c r="G3180" t="s">
        <v>1724</v>
      </c>
      <c r="H3180" t="s">
        <v>365</v>
      </c>
      <c r="I3180" t="s">
        <v>66</v>
      </c>
    </row>
    <row r="3181" spans="1:9" x14ac:dyDescent="0.25">
      <c r="A3181">
        <v>20131031</v>
      </c>
      <c r="B3181" t="str">
        <f>"112413"</f>
        <v>112413</v>
      </c>
      <c r="C3181" t="str">
        <f>"58458"</f>
        <v>58458</v>
      </c>
      <c r="D3181" t="s">
        <v>369</v>
      </c>
      <c r="E3181">
        <v>69.86</v>
      </c>
      <c r="F3181">
        <v>20131031</v>
      </c>
      <c r="G3181" t="s">
        <v>39</v>
      </c>
      <c r="H3181" t="s">
        <v>354</v>
      </c>
      <c r="I3181" t="s">
        <v>38</v>
      </c>
    </row>
    <row r="3182" spans="1:9" x14ac:dyDescent="0.25">
      <c r="A3182">
        <v>20131031</v>
      </c>
      <c r="B3182" t="str">
        <f>"112414"</f>
        <v>112414</v>
      </c>
      <c r="C3182" t="str">
        <f>"58585"</f>
        <v>58585</v>
      </c>
      <c r="D3182" t="s">
        <v>1913</v>
      </c>
      <c r="E3182">
        <v>609.67999999999995</v>
      </c>
      <c r="F3182">
        <v>20131030</v>
      </c>
      <c r="G3182" t="s">
        <v>579</v>
      </c>
      <c r="H3182" t="s">
        <v>1914</v>
      </c>
      <c r="I3182" t="s">
        <v>21</v>
      </c>
    </row>
    <row r="3183" spans="1:9" x14ac:dyDescent="0.25">
      <c r="A3183">
        <v>20131031</v>
      </c>
      <c r="B3183" t="str">
        <f>"112415"</f>
        <v>112415</v>
      </c>
      <c r="C3183" t="str">
        <f>"86964"</f>
        <v>86964</v>
      </c>
      <c r="D3183" t="s">
        <v>1280</v>
      </c>
      <c r="E3183" s="1">
        <v>868125.07</v>
      </c>
      <c r="F3183">
        <v>20131029</v>
      </c>
      <c r="G3183" t="s">
        <v>1399</v>
      </c>
      <c r="H3183" t="s">
        <v>1915</v>
      </c>
      <c r="I3183" t="s">
        <v>21</v>
      </c>
    </row>
    <row r="3184" spans="1:9" x14ac:dyDescent="0.25">
      <c r="A3184">
        <v>20131031</v>
      </c>
      <c r="B3184" t="str">
        <f>"112416"</f>
        <v>112416</v>
      </c>
      <c r="C3184" t="str">
        <f>"86795"</f>
        <v>86795</v>
      </c>
      <c r="D3184" t="s">
        <v>430</v>
      </c>
      <c r="E3184">
        <v>111.76</v>
      </c>
      <c r="F3184">
        <v>20131029</v>
      </c>
      <c r="G3184" t="s">
        <v>410</v>
      </c>
      <c r="H3184" t="s">
        <v>563</v>
      </c>
      <c r="I3184" t="s">
        <v>12</v>
      </c>
    </row>
    <row r="3185" spans="1:9" x14ac:dyDescent="0.25">
      <c r="A3185">
        <v>20131031</v>
      </c>
      <c r="B3185" t="str">
        <f>"112417"</f>
        <v>112417</v>
      </c>
      <c r="C3185" t="str">
        <f>"60403"</f>
        <v>60403</v>
      </c>
      <c r="D3185" t="s">
        <v>1916</v>
      </c>
      <c r="E3185">
        <v>198.01</v>
      </c>
      <c r="F3185">
        <v>20131030</v>
      </c>
      <c r="G3185" t="s">
        <v>601</v>
      </c>
      <c r="H3185" t="s">
        <v>365</v>
      </c>
      <c r="I3185" t="s">
        <v>21</v>
      </c>
    </row>
    <row r="3186" spans="1:9" x14ac:dyDescent="0.25">
      <c r="A3186">
        <v>20131031</v>
      </c>
      <c r="B3186" t="str">
        <f>"112418"</f>
        <v>112418</v>
      </c>
      <c r="C3186" t="str">
        <f>"60450"</f>
        <v>60450</v>
      </c>
      <c r="D3186" t="s">
        <v>1917</v>
      </c>
      <c r="E3186">
        <v>145.63</v>
      </c>
      <c r="F3186">
        <v>20131030</v>
      </c>
      <c r="G3186" t="s">
        <v>214</v>
      </c>
      <c r="H3186" t="s">
        <v>1918</v>
      </c>
      <c r="I3186" t="s">
        <v>38</v>
      </c>
    </row>
    <row r="3187" spans="1:9" x14ac:dyDescent="0.25">
      <c r="A3187">
        <v>20131031</v>
      </c>
      <c r="B3187" t="str">
        <f>"112419"</f>
        <v>112419</v>
      </c>
      <c r="C3187" t="str">
        <f>"87065"</f>
        <v>87065</v>
      </c>
      <c r="D3187" t="s">
        <v>1919</v>
      </c>
      <c r="E3187">
        <v>60</v>
      </c>
      <c r="F3187">
        <v>20131030</v>
      </c>
      <c r="G3187" t="s">
        <v>637</v>
      </c>
      <c r="H3187" t="s">
        <v>1920</v>
      </c>
      <c r="I3187" t="s">
        <v>38</v>
      </c>
    </row>
    <row r="3188" spans="1:9" x14ac:dyDescent="0.25">
      <c r="A3188">
        <v>20131031</v>
      </c>
      <c r="B3188" t="str">
        <f>"112420"</f>
        <v>112420</v>
      </c>
      <c r="C3188" t="str">
        <f>"81309"</f>
        <v>81309</v>
      </c>
      <c r="D3188" t="s">
        <v>1921</v>
      </c>
      <c r="E3188" s="1">
        <v>10078.25</v>
      </c>
      <c r="F3188">
        <v>20131029</v>
      </c>
      <c r="G3188" t="s">
        <v>496</v>
      </c>
      <c r="H3188" t="s">
        <v>1922</v>
      </c>
      <c r="I3188" t="s">
        <v>21</v>
      </c>
    </row>
    <row r="3189" spans="1:9" x14ac:dyDescent="0.25">
      <c r="A3189">
        <v>20131031</v>
      </c>
      <c r="B3189" t="str">
        <f>"112421"</f>
        <v>112421</v>
      </c>
      <c r="C3189" t="str">
        <f>"87142"</f>
        <v>87142</v>
      </c>
      <c r="D3189" t="s">
        <v>1923</v>
      </c>
      <c r="E3189">
        <v>48.87</v>
      </c>
      <c r="F3189">
        <v>20131030</v>
      </c>
      <c r="G3189" t="s">
        <v>562</v>
      </c>
      <c r="H3189" t="s">
        <v>563</v>
      </c>
      <c r="I3189" t="s">
        <v>21</v>
      </c>
    </row>
    <row r="3190" spans="1:9" x14ac:dyDescent="0.25">
      <c r="A3190">
        <v>20131031</v>
      </c>
      <c r="B3190" t="str">
        <f>"112422"</f>
        <v>112422</v>
      </c>
      <c r="C3190" t="str">
        <f>"62420"</f>
        <v>62420</v>
      </c>
      <c r="D3190" t="s">
        <v>1124</v>
      </c>
      <c r="E3190">
        <v>316.37</v>
      </c>
      <c r="F3190">
        <v>20131025</v>
      </c>
      <c r="G3190" t="s">
        <v>1924</v>
      </c>
      <c r="H3190" t="s">
        <v>1925</v>
      </c>
      <c r="I3190" t="s">
        <v>21</v>
      </c>
    </row>
    <row r="3191" spans="1:9" x14ac:dyDescent="0.25">
      <c r="A3191">
        <v>20131031</v>
      </c>
      <c r="B3191" t="str">
        <f>"112423"</f>
        <v>112423</v>
      </c>
      <c r="C3191" t="str">
        <f>"86530"</f>
        <v>86530</v>
      </c>
      <c r="D3191" t="s">
        <v>1926</v>
      </c>
      <c r="E3191">
        <v>324.64</v>
      </c>
      <c r="F3191">
        <v>20131024</v>
      </c>
      <c r="G3191" t="s">
        <v>764</v>
      </c>
      <c r="H3191" t="s">
        <v>765</v>
      </c>
      <c r="I3191" t="s">
        <v>61</v>
      </c>
    </row>
    <row r="3192" spans="1:9" x14ac:dyDescent="0.25">
      <c r="A3192">
        <v>20131031</v>
      </c>
      <c r="B3192" t="str">
        <f>"112424"</f>
        <v>112424</v>
      </c>
      <c r="C3192" t="str">
        <f>"82957"</f>
        <v>82957</v>
      </c>
      <c r="D3192" t="s">
        <v>1927</v>
      </c>
      <c r="E3192" s="1">
        <v>4084</v>
      </c>
      <c r="F3192">
        <v>20131029</v>
      </c>
      <c r="G3192" t="s">
        <v>150</v>
      </c>
      <c r="H3192" t="s">
        <v>1928</v>
      </c>
      <c r="I3192" t="s">
        <v>25</v>
      </c>
    </row>
    <row r="3193" spans="1:9" x14ac:dyDescent="0.25">
      <c r="A3193">
        <v>20131031</v>
      </c>
      <c r="B3193" t="str">
        <f>"112425"</f>
        <v>112425</v>
      </c>
      <c r="C3193" t="str">
        <f>"62450"</f>
        <v>62450</v>
      </c>
      <c r="D3193" t="s">
        <v>683</v>
      </c>
      <c r="E3193">
        <v>217.32</v>
      </c>
      <c r="F3193">
        <v>20131028</v>
      </c>
      <c r="G3193" t="s">
        <v>1776</v>
      </c>
      <c r="H3193" t="s">
        <v>1929</v>
      </c>
      <c r="I3193" t="s">
        <v>21</v>
      </c>
    </row>
    <row r="3194" spans="1:9" x14ac:dyDescent="0.25">
      <c r="A3194">
        <v>20131031</v>
      </c>
      <c r="B3194" t="str">
        <f>"112425"</f>
        <v>112425</v>
      </c>
      <c r="C3194" t="str">
        <f>"62450"</f>
        <v>62450</v>
      </c>
      <c r="D3194" t="s">
        <v>683</v>
      </c>
      <c r="E3194">
        <v>110.88</v>
      </c>
      <c r="F3194">
        <v>20131030</v>
      </c>
      <c r="G3194" t="s">
        <v>1776</v>
      </c>
      <c r="H3194" t="s">
        <v>1930</v>
      </c>
      <c r="I3194" t="s">
        <v>21</v>
      </c>
    </row>
    <row r="3195" spans="1:9" x14ac:dyDescent="0.25">
      <c r="A3195">
        <v>20131031</v>
      </c>
      <c r="B3195" t="str">
        <f>"112426"</f>
        <v>112426</v>
      </c>
      <c r="C3195" t="str">
        <f>"62900"</f>
        <v>62900</v>
      </c>
      <c r="D3195" t="s">
        <v>1293</v>
      </c>
      <c r="E3195">
        <v>37.159999999999997</v>
      </c>
      <c r="F3195">
        <v>20131030</v>
      </c>
      <c r="G3195" t="s">
        <v>581</v>
      </c>
      <c r="H3195" t="s">
        <v>1931</v>
      </c>
      <c r="I3195" t="s">
        <v>21</v>
      </c>
    </row>
    <row r="3196" spans="1:9" x14ac:dyDescent="0.25">
      <c r="A3196">
        <v>20131031</v>
      </c>
      <c r="B3196" t="str">
        <f>"112426"</f>
        <v>112426</v>
      </c>
      <c r="C3196" t="str">
        <f>"62900"</f>
        <v>62900</v>
      </c>
      <c r="D3196" t="s">
        <v>1293</v>
      </c>
      <c r="E3196">
        <v>74.319999999999993</v>
      </c>
      <c r="F3196">
        <v>20131030</v>
      </c>
      <c r="G3196" t="s">
        <v>1024</v>
      </c>
      <c r="H3196" t="s">
        <v>1932</v>
      </c>
      <c r="I3196" t="s">
        <v>21</v>
      </c>
    </row>
    <row r="3197" spans="1:9" x14ac:dyDescent="0.25">
      <c r="A3197">
        <v>20131031</v>
      </c>
      <c r="B3197" t="str">
        <f>"112427"</f>
        <v>112427</v>
      </c>
      <c r="C3197" t="str">
        <f>"87520"</f>
        <v>87520</v>
      </c>
      <c r="D3197" t="s">
        <v>1139</v>
      </c>
      <c r="E3197" s="1">
        <v>1541.18</v>
      </c>
      <c r="F3197">
        <v>20131030</v>
      </c>
      <c r="G3197" t="s">
        <v>1140</v>
      </c>
      <c r="H3197" t="s">
        <v>1933</v>
      </c>
      <c r="I3197" t="s">
        <v>12</v>
      </c>
    </row>
    <row r="3198" spans="1:9" x14ac:dyDescent="0.25">
      <c r="A3198">
        <v>20131031</v>
      </c>
      <c r="B3198" t="str">
        <f>"112428"</f>
        <v>112428</v>
      </c>
      <c r="C3198" t="str">
        <f>"87530"</f>
        <v>87530</v>
      </c>
      <c r="D3198" t="s">
        <v>1302</v>
      </c>
      <c r="E3198">
        <v>98.33</v>
      </c>
      <c r="F3198">
        <v>20131024</v>
      </c>
      <c r="G3198" t="s">
        <v>774</v>
      </c>
      <c r="H3198" t="s">
        <v>765</v>
      </c>
      <c r="I3198" t="s">
        <v>61</v>
      </c>
    </row>
    <row r="3199" spans="1:9" x14ac:dyDescent="0.25">
      <c r="A3199">
        <v>20131031</v>
      </c>
      <c r="B3199" t="str">
        <f>"112429"</f>
        <v>112429</v>
      </c>
      <c r="C3199" t="str">
        <f>"86055"</f>
        <v>86055</v>
      </c>
      <c r="D3199" t="s">
        <v>1934</v>
      </c>
      <c r="E3199">
        <v>350.85</v>
      </c>
      <c r="F3199">
        <v>20131030</v>
      </c>
      <c r="G3199" t="s">
        <v>1846</v>
      </c>
      <c r="H3199" t="s">
        <v>765</v>
      </c>
      <c r="I3199" t="s">
        <v>63</v>
      </c>
    </row>
    <row r="3200" spans="1:9" x14ac:dyDescent="0.25">
      <c r="A3200">
        <v>20131031</v>
      </c>
      <c r="B3200" t="str">
        <f>"112430"</f>
        <v>112430</v>
      </c>
      <c r="C3200" t="str">
        <f>"83322"</f>
        <v>83322</v>
      </c>
      <c r="D3200" t="s">
        <v>1935</v>
      </c>
      <c r="E3200">
        <v>335.7</v>
      </c>
      <c r="F3200">
        <v>20131030</v>
      </c>
      <c r="G3200" t="s">
        <v>1300</v>
      </c>
      <c r="H3200" t="s">
        <v>365</v>
      </c>
      <c r="I3200" t="s">
        <v>66</v>
      </c>
    </row>
    <row r="3201" spans="1:9" x14ac:dyDescent="0.25">
      <c r="A3201">
        <v>20131031</v>
      </c>
      <c r="B3201" t="str">
        <f>"112431"</f>
        <v>112431</v>
      </c>
      <c r="C3201" t="str">
        <f>"82845"</f>
        <v>82845</v>
      </c>
      <c r="D3201" t="s">
        <v>1146</v>
      </c>
      <c r="E3201">
        <v>418</v>
      </c>
      <c r="F3201">
        <v>20131029</v>
      </c>
      <c r="G3201" t="s">
        <v>1147</v>
      </c>
      <c r="H3201" t="s">
        <v>1309</v>
      </c>
      <c r="I3201" t="s">
        <v>21</v>
      </c>
    </row>
    <row r="3202" spans="1:9" x14ac:dyDescent="0.25">
      <c r="A3202">
        <v>20131031</v>
      </c>
      <c r="B3202" t="str">
        <f>"112432"</f>
        <v>112432</v>
      </c>
      <c r="C3202" t="str">
        <f>"86998"</f>
        <v>86998</v>
      </c>
      <c r="D3202" t="s">
        <v>1936</v>
      </c>
      <c r="E3202">
        <v>141.08000000000001</v>
      </c>
      <c r="F3202">
        <v>20131030</v>
      </c>
      <c r="G3202" t="s">
        <v>764</v>
      </c>
      <c r="H3202" t="s">
        <v>765</v>
      </c>
      <c r="I3202" t="s">
        <v>61</v>
      </c>
    </row>
    <row r="3203" spans="1:9" x14ac:dyDescent="0.25">
      <c r="A3203">
        <v>20131031</v>
      </c>
      <c r="B3203" t="str">
        <f>"112433"</f>
        <v>112433</v>
      </c>
      <c r="C3203" t="str">
        <f>"87067"</f>
        <v>87067</v>
      </c>
      <c r="D3203" t="s">
        <v>1937</v>
      </c>
      <c r="E3203" s="1">
        <v>1549.95</v>
      </c>
      <c r="F3203">
        <v>20131024</v>
      </c>
      <c r="G3203" t="s">
        <v>156</v>
      </c>
      <c r="H3203" t="s">
        <v>1938</v>
      </c>
      <c r="I3203" t="s">
        <v>25</v>
      </c>
    </row>
    <row r="3204" spans="1:9" x14ac:dyDescent="0.25">
      <c r="A3204">
        <v>20131031</v>
      </c>
      <c r="B3204" t="str">
        <f>"112434"</f>
        <v>112434</v>
      </c>
      <c r="C3204" t="str">
        <f>"69780"</f>
        <v>69780</v>
      </c>
      <c r="D3204" t="s">
        <v>1939</v>
      </c>
      <c r="E3204">
        <v>160.78</v>
      </c>
      <c r="F3204">
        <v>20131025</v>
      </c>
      <c r="G3204" t="s">
        <v>1924</v>
      </c>
      <c r="H3204" t="s">
        <v>1940</v>
      </c>
      <c r="I3204" t="s">
        <v>21</v>
      </c>
    </row>
    <row r="3205" spans="1:9" x14ac:dyDescent="0.25">
      <c r="A3205">
        <v>20131031</v>
      </c>
      <c r="B3205" t="str">
        <f>"112435"</f>
        <v>112435</v>
      </c>
      <c r="C3205" t="str">
        <f>"00753"</f>
        <v>00753</v>
      </c>
      <c r="D3205" t="s">
        <v>1941</v>
      </c>
      <c r="E3205">
        <v>360</v>
      </c>
      <c r="F3205">
        <v>20131029</v>
      </c>
      <c r="G3205" t="s">
        <v>347</v>
      </c>
      <c r="H3205" t="s">
        <v>361</v>
      </c>
      <c r="I3205" t="s">
        <v>61</v>
      </c>
    </row>
    <row r="3206" spans="1:9" x14ac:dyDescent="0.25">
      <c r="A3206">
        <v>20131031</v>
      </c>
      <c r="B3206" t="str">
        <f>"112436"</f>
        <v>112436</v>
      </c>
      <c r="C3206" t="str">
        <f>"86616"</f>
        <v>86616</v>
      </c>
      <c r="D3206" t="s">
        <v>1942</v>
      </c>
      <c r="E3206" s="1">
        <v>5130</v>
      </c>
      <c r="F3206">
        <v>20131030</v>
      </c>
      <c r="G3206" t="s">
        <v>1943</v>
      </c>
      <c r="H3206" t="s">
        <v>1944</v>
      </c>
      <c r="I3206" t="s">
        <v>21</v>
      </c>
    </row>
    <row r="3207" spans="1:9" x14ac:dyDescent="0.25">
      <c r="A3207">
        <v>20131031</v>
      </c>
      <c r="B3207" t="str">
        <f>"112437"</f>
        <v>112437</v>
      </c>
      <c r="C3207" t="str">
        <f>"00692"</f>
        <v>00692</v>
      </c>
      <c r="D3207" t="s">
        <v>1945</v>
      </c>
      <c r="E3207" s="1">
        <v>1058</v>
      </c>
      <c r="F3207">
        <v>20131028</v>
      </c>
      <c r="G3207" t="s">
        <v>327</v>
      </c>
      <c r="H3207" t="s">
        <v>1946</v>
      </c>
      <c r="I3207" t="s">
        <v>25</v>
      </c>
    </row>
    <row r="3208" spans="1:9" x14ac:dyDescent="0.25">
      <c r="A3208">
        <v>20131031</v>
      </c>
      <c r="B3208" t="str">
        <f>"112438"</f>
        <v>112438</v>
      </c>
      <c r="C3208" t="str">
        <f>"87217"</f>
        <v>87217</v>
      </c>
      <c r="D3208" t="s">
        <v>1826</v>
      </c>
      <c r="E3208">
        <v>26.33</v>
      </c>
      <c r="F3208">
        <v>20131028</v>
      </c>
      <c r="G3208" t="s">
        <v>289</v>
      </c>
      <c r="H3208" t="s">
        <v>354</v>
      </c>
      <c r="I3208" t="s">
        <v>38</v>
      </c>
    </row>
    <row r="3209" spans="1:9" x14ac:dyDescent="0.25">
      <c r="A3209">
        <v>20131031</v>
      </c>
      <c r="B3209" t="str">
        <f>"112439"</f>
        <v>112439</v>
      </c>
      <c r="C3209" t="str">
        <f>"86085"</f>
        <v>86085</v>
      </c>
      <c r="D3209" t="s">
        <v>703</v>
      </c>
      <c r="E3209">
        <v>76</v>
      </c>
      <c r="F3209">
        <v>20131024</v>
      </c>
      <c r="G3209" t="s">
        <v>704</v>
      </c>
      <c r="H3209" t="s">
        <v>705</v>
      </c>
      <c r="I3209" t="s">
        <v>21</v>
      </c>
    </row>
    <row r="3210" spans="1:9" x14ac:dyDescent="0.25">
      <c r="A3210">
        <v>20131031</v>
      </c>
      <c r="B3210" t="str">
        <f>"112440"</f>
        <v>112440</v>
      </c>
      <c r="C3210" t="str">
        <f>"75700"</f>
        <v>75700</v>
      </c>
      <c r="D3210" t="s">
        <v>1947</v>
      </c>
      <c r="E3210">
        <v>262.75</v>
      </c>
      <c r="F3210">
        <v>20131025</v>
      </c>
      <c r="G3210" t="s">
        <v>580</v>
      </c>
      <c r="H3210" t="s">
        <v>1948</v>
      </c>
      <c r="I3210" t="s">
        <v>21</v>
      </c>
    </row>
    <row r="3211" spans="1:9" x14ac:dyDescent="0.25">
      <c r="A3211">
        <v>20131031</v>
      </c>
      <c r="B3211" t="str">
        <f>"112441"</f>
        <v>112441</v>
      </c>
      <c r="C3211" t="str">
        <f>"69310"</f>
        <v>69310</v>
      </c>
      <c r="D3211" t="s">
        <v>716</v>
      </c>
      <c r="E3211">
        <v>204.65</v>
      </c>
      <c r="F3211">
        <v>20131030</v>
      </c>
      <c r="G3211" t="s">
        <v>720</v>
      </c>
      <c r="H3211" t="s">
        <v>488</v>
      </c>
      <c r="I3211" t="s">
        <v>21</v>
      </c>
    </row>
    <row r="3212" spans="1:9" x14ac:dyDescent="0.25">
      <c r="A3212">
        <v>20131031</v>
      </c>
      <c r="B3212" t="str">
        <f>"112442"</f>
        <v>112442</v>
      </c>
      <c r="C3212" t="str">
        <f>"76904"</f>
        <v>76904</v>
      </c>
      <c r="D3212" t="s">
        <v>1323</v>
      </c>
      <c r="E3212">
        <v>65</v>
      </c>
      <c r="F3212">
        <v>20131028</v>
      </c>
      <c r="G3212" t="s">
        <v>289</v>
      </c>
      <c r="H3212" t="s">
        <v>784</v>
      </c>
      <c r="I3212" t="s">
        <v>38</v>
      </c>
    </row>
    <row r="3213" spans="1:9" x14ac:dyDescent="0.25">
      <c r="A3213">
        <v>20131031</v>
      </c>
      <c r="B3213" t="str">
        <f>"112443"</f>
        <v>112443</v>
      </c>
      <c r="C3213" t="str">
        <f>"87553"</f>
        <v>87553</v>
      </c>
      <c r="D3213" t="s">
        <v>1693</v>
      </c>
      <c r="E3213">
        <v>96.61</v>
      </c>
      <c r="F3213">
        <v>20131024</v>
      </c>
      <c r="G3213" t="s">
        <v>774</v>
      </c>
      <c r="H3213" t="s">
        <v>765</v>
      </c>
      <c r="I3213" t="s">
        <v>61</v>
      </c>
    </row>
    <row r="3214" spans="1:9" x14ac:dyDescent="0.25">
      <c r="A3214">
        <v>20131031</v>
      </c>
      <c r="B3214" t="str">
        <f>"112444"</f>
        <v>112444</v>
      </c>
      <c r="C3214" t="str">
        <f>"85605"</f>
        <v>85605</v>
      </c>
      <c r="D3214" t="s">
        <v>1949</v>
      </c>
      <c r="E3214">
        <v>26.4</v>
      </c>
      <c r="F3214">
        <v>20131024</v>
      </c>
      <c r="G3214" t="s">
        <v>506</v>
      </c>
      <c r="H3214" t="s">
        <v>414</v>
      </c>
      <c r="I3214" t="s">
        <v>21</v>
      </c>
    </row>
    <row r="3215" spans="1:9" x14ac:dyDescent="0.25">
      <c r="A3215">
        <v>20131031</v>
      </c>
      <c r="B3215" t="str">
        <f>"112445"</f>
        <v>112445</v>
      </c>
      <c r="C3215" t="str">
        <f>"82714"</f>
        <v>82714</v>
      </c>
      <c r="D3215" t="s">
        <v>1174</v>
      </c>
      <c r="E3215">
        <v>70</v>
      </c>
      <c r="F3215">
        <v>20131024</v>
      </c>
      <c r="G3215" t="s">
        <v>1093</v>
      </c>
      <c r="H3215" t="s">
        <v>765</v>
      </c>
      <c r="I3215" t="s">
        <v>61</v>
      </c>
    </row>
    <row r="3216" spans="1:9" x14ac:dyDescent="0.25">
      <c r="A3216">
        <v>20131031</v>
      </c>
      <c r="B3216" t="str">
        <f>"112445"</f>
        <v>112445</v>
      </c>
      <c r="C3216" t="str">
        <f>"82714"</f>
        <v>82714</v>
      </c>
      <c r="D3216" t="s">
        <v>1174</v>
      </c>
      <c r="E3216">
        <v>70</v>
      </c>
      <c r="F3216">
        <v>20131024</v>
      </c>
      <c r="G3216" t="s">
        <v>1093</v>
      </c>
      <c r="H3216" t="s">
        <v>765</v>
      </c>
      <c r="I3216" t="s">
        <v>61</v>
      </c>
    </row>
    <row r="3217" spans="1:9" x14ac:dyDescent="0.25">
      <c r="A3217">
        <v>20131031</v>
      </c>
      <c r="B3217" t="str">
        <f>"112446"</f>
        <v>112446</v>
      </c>
      <c r="C3217" t="str">
        <f>"78135"</f>
        <v>78135</v>
      </c>
      <c r="D3217" t="s">
        <v>1950</v>
      </c>
      <c r="E3217">
        <v>90</v>
      </c>
      <c r="F3217">
        <v>20131024</v>
      </c>
      <c r="G3217" t="s">
        <v>764</v>
      </c>
      <c r="H3217" t="s">
        <v>765</v>
      </c>
      <c r="I3217" t="s">
        <v>61</v>
      </c>
    </row>
    <row r="3218" spans="1:9" x14ac:dyDescent="0.25">
      <c r="A3218">
        <v>20131031</v>
      </c>
      <c r="B3218" t="str">
        <f>"112447"</f>
        <v>112447</v>
      </c>
      <c r="C3218" t="str">
        <f>"84982"</f>
        <v>84982</v>
      </c>
      <c r="D3218" t="s">
        <v>1951</v>
      </c>
      <c r="E3218">
        <v>128.99</v>
      </c>
      <c r="F3218">
        <v>20131030</v>
      </c>
      <c r="G3218" t="s">
        <v>186</v>
      </c>
      <c r="H3218" t="s">
        <v>354</v>
      </c>
      <c r="I3218" t="s">
        <v>61</v>
      </c>
    </row>
    <row r="3219" spans="1:9" x14ac:dyDescent="0.25">
      <c r="A3219">
        <v>20131031</v>
      </c>
      <c r="B3219" t="str">
        <f>"112448"</f>
        <v>112448</v>
      </c>
      <c r="C3219" t="str">
        <f>"00067"</f>
        <v>00067</v>
      </c>
      <c r="D3219" t="s">
        <v>1327</v>
      </c>
      <c r="E3219">
        <v>121.11</v>
      </c>
      <c r="F3219">
        <v>20131029</v>
      </c>
      <c r="G3219" t="s">
        <v>356</v>
      </c>
      <c r="H3219" t="s">
        <v>357</v>
      </c>
      <c r="I3219" t="s">
        <v>61</v>
      </c>
    </row>
    <row r="3220" spans="1:9" x14ac:dyDescent="0.25">
      <c r="A3220">
        <v>20131031</v>
      </c>
      <c r="B3220" t="str">
        <f>"112449"</f>
        <v>112449</v>
      </c>
      <c r="C3220" t="str">
        <f>"82916"</f>
        <v>82916</v>
      </c>
      <c r="D3220" t="s">
        <v>1952</v>
      </c>
      <c r="E3220">
        <v>275</v>
      </c>
      <c r="F3220">
        <v>20131029</v>
      </c>
      <c r="G3220" t="s">
        <v>347</v>
      </c>
      <c r="H3220" t="s">
        <v>1360</v>
      </c>
      <c r="I3220" t="s">
        <v>61</v>
      </c>
    </row>
    <row r="3221" spans="1:9" x14ac:dyDescent="0.25">
      <c r="A3221">
        <v>20131031</v>
      </c>
      <c r="B3221" t="str">
        <f>"112450"</f>
        <v>112450</v>
      </c>
      <c r="C3221" t="str">
        <f>"84996"</f>
        <v>84996</v>
      </c>
      <c r="D3221" t="s">
        <v>1953</v>
      </c>
      <c r="E3221">
        <v>55.44</v>
      </c>
      <c r="F3221">
        <v>20131028</v>
      </c>
      <c r="G3221" t="s">
        <v>1112</v>
      </c>
      <c r="H3221" t="s">
        <v>365</v>
      </c>
      <c r="I3221" t="s">
        <v>66</v>
      </c>
    </row>
    <row r="3222" spans="1:9" x14ac:dyDescent="0.25">
      <c r="A3222">
        <v>20131031</v>
      </c>
      <c r="B3222" t="str">
        <f>"112451"</f>
        <v>112451</v>
      </c>
      <c r="C3222" t="str">
        <f>"86521"</f>
        <v>86521</v>
      </c>
      <c r="D3222" t="s">
        <v>988</v>
      </c>
      <c r="E3222">
        <v>171</v>
      </c>
      <c r="F3222">
        <v>20131030</v>
      </c>
      <c r="G3222" t="s">
        <v>764</v>
      </c>
      <c r="H3222" t="s">
        <v>765</v>
      </c>
      <c r="I3222" t="s">
        <v>61</v>
      </c>
    </row>
    <row r="3223" spans="1:9" x14ac:dyDescent="0.25">
      <c r="A3223">
        <v>20131031</v>
      </c>
      <c r="B3223" t="str">
        <f>"112451"</f>
        <v>112451</v>
      </c>
      <c r="C3223" t="str">
        <f>"86521"</f>
        <v>86521</v>
      </c>
      <c r="D3223" t="s">
        <v>988</v>
      </c>
      <c r="E3223">
        <v>133</v>
      </c>
      <c r="F3223">
        <v>20131024</v>
      </c>
      <c r="G3223" t="s">
        <v>1093</v>
      </c>
      <c r="H3223" t="s">
        <v>765</v>
      </c>
      <c r="I3223" t="s">
        <v>61</v>
      </c>
    </row>
    <row r="3224" spans="1:9" x14ac:dyDescent="0.25">
      <c r="A3224">
        <v>20131031</v>
      </c>
      <c r="B3224" t="str">
        <f>"112451"</f>
        <v>112451</v>
      </c>
      <c r="C3224" t="str">
        <f>"86521"</f>
        <v>86521</v>
      </c>
      <c r="D3224" t="s">
        <v>988</v>
      </c>
      <c r="E3224">
        <v>154.75</v>
      </c>
      <c r="F3224">
        <v>20131024</v>
      </c>
      <c r="G3224" t="s">
        <v>1093</v>
      </c>
      <c r="H3224" t="s">
        <v>765</v>
      </c>
      <c r="I3224" t="s">
        <v>61</v>
      </c>
    </row>
    <row r="3225" spans="1:9" x14ac:dyDescent="0.25">
      <c r="A3225">
        <v>20131031</v>
      </c>
      <c r="B3225" t="str">
        <f>"112452"</f>
        <v>112452</v>
      </c>
      <c r="C3225" t="str">
        <f>"87141"</f>
        <v>87141</v>
      </c>
      <c r="D3225" t="s">
        <v>1332</v>
      </c>
      <c r="E3225">
        <v>229.4</v>
      </c>
      <c r="F3225">
        <v>20131030</v>
      </c>
      <c r="G3225" t="s">
        <v>1954</v>
      </c>
      <c r="H3225" t="s">
        <v>1955</v>
      </c>
      <c r="I3225" t="s">
        <v>38</v>
      </c>
    </row>
    <row r="3226" spans="1:9" x14ac:dyDescent="0.25">
      <c r="A3226">
        <v>20131031</v>
      </c>
      <c r="B3226" t="str">
        <f t="shared" ref="B3226:B3238" si="225">"112453"</f>
        <v>112453</v>
      </c>
      <c r="C3226" t="str">
        <f t="shared" ref="C3226:C3238" si="226">"80825"</f>
        <v>80825</v>
      </c>
      <c r="D3226" t="s">
        <v>747</v>
      </c>
      <c r="E3226">
        <v>641.76</v>
      </c>
      <c r="F3226">
        <v>20131024</v>
      </c>
      <c r="G3226" t="s">
        <v>748</v>
      </c>
      <c r="H3226" t="s">
        <v>749</v>
      </c>
      <c r="I3226" t="s">
        <v>21</v>
      </c>
    </row>
    <row r="3227" spans="1:9" x14ac:dyDescent="0.25">
      <c r="A3227">
        <v>20131031</v>
      </c>
      <c r="B3227" t="str">
        <f t="shared" si="225"/>
        <v>112453</v>
      </c>
      <c r="C3227" t="str">
        <f t="shared" si="226"/>
        <v>80825</v>
      </c>
      <c r="D3227" t="s">
        <v>747</v>
      </c>
      <c r="E3227">
        <v>320.88</v>
      </c>
      <c r="F3227">
        <v>20131024</v>
      </c>
      <c r="G3227" t="s">
        <v>750</v>
      </c>
      <c r="H3227" t="s">
        <v>749</v>
      </c>
      <c r="I3227" t="s">
        <v>21</v>
      </c>
    </row>
    <row r="3228" spans="1:9" x14ac:dyDescent="0.25">
      <c r="A3228">
        <v>20131031</v>
      </c>
      <c r="B3228" t="str">
        <f t="shared" si="225"/>
        <v>112453</v>
      </c>
      <c r="C3228" t="str">
        <f t="shared" si="226"/>
        <v>80825</v>
      </c>
      <c r="D3228" t="s">
        <v>747</v>
      </c>
      <c r="E3228">
        <v>320.88</v>
      </c>
      <c r="F3228">
        <v>20131024</v>
      </c>
      <c r="G3228" t="s">
        <v>752</v>
      </c>
      <c r="H3228" t="s">
        <v>749</v>
      </c>
      <c r="I3228" t="s">
        <v>21</v>
      </c>
    </row>
    <row r="3229" spans="1:9" x14ac:dyDescent="0.25">
      <c r="A3229">
        <v>20131031</v>
      </c>
      <c r="B3229" t="str">
        <f t="shared" si="225"/>
        <v>112453</v>
      </c>
      <c r="C3229" t="str">
        <f t="shared" si="226"/>
        <v>80825</v>
      </c>
      <c r="D3229" t="s">
        <v>747</v>
      </c>
      <c r="E3229">
        <v>320.88</v>
      </c>
      <c r="F3229">
        <v>20131024</v>
      </c>
      <c r="G3229" t="s">
        <v>753</v>
      </c>
      <c r="H3229" t="s">
        <v>749</v>
      </c>
      <c r="I3229" t="s">
        <v>21</v>
      </c>
    </row>
    <row r="3230" spans="1:9" x14ac:dyDescent="0.25">
      <c r="A3230">
        <v>20131031</v>
      </c>
      <c r="B3230" t="str">
        <f t="shared" si="225"/>
        <v>112453</v>
      </c>
      <c r="C3230" t="str">
        <f t="shared" si="226"/>
        <v>80825</v>
      </c>
      <c r="D3230" t="s">
        <v>747</v>
      </c>
      <c r="E3230">
        <v>320.88</v>
      </c>
      <c r="F3230">
        <v>20131024</v>
      </c>
      <c r="G3230" t="s">
        <v>754</v>
      </c>
      <c r="H3230" t="s">
        <v>749</v>
      </c>
      <c r="I3230" t="s">
        <v>21</v>
      </c>
    </row>
    <row r="3231" spans="1:9" x14ac:dyDescent="0.25">
      <c r="A3231">
        <v>20131031</v>
      </c>
      <c r="B3231" t="str">
        <f t="shared" si="225"/>
        <v>112453</v>
      </c>
      <c r="C3231" t="str">
        <f t="shared" si="226"/>
        <v>80825</v>
      </c>
      <c r="D3231" t="s">
        <v>747</v>
      </c>
      <c r="E3231">
        <v>320.88</v>
      </c>
      <c r="F3231">
        <v>20131024</v>
      </c>
      <c r="G3231" t="s">
        <v>990</v>
      </c>
      <c r="H3231" t="s">
        <v>749</v>
      </c>
      <c r="I3231" t="s">
        <v>21</v>
      </c>
    </row>
    <row r="3232" spans="1:9" x14ac:dyDescent="0.25">
      <c r="A3232">
        <v>20131031</v>
      </c>
      <c r="B3232" t="str">
        <f t="shared" si="225"/>
        <v>112453</v>
      </c>
      <c r="C3232" t="str">
        <f t="shared" si="226"/>
        <v>80825</v>
      </c>
      <c r="D3232" t="s">
        <v>747</v>
      </c>
      <c r="E3232">
        <v>320.88</v>
      </c>
      <c r="F3232">
        <v>20131024</v>
      </c>
      <c r="G3232" t="s">
        <v>755</v>
      </c>
      <c r="H3232" t="s">
        <v>749</v>
      </c>
      <c r="I3232" t="s">
        <v>21</v>
      </c>
    </row>
    <row r="3233" spans="1:9" x14ac:dyDescent="0.25">
      <c r="A3233">
        <v>20131031</v>
      </c>
      <c r="B3233" t="str">
        <f t="shared" si="225"/>
        <v>112453</v>
      </c>
      <c r="C3233" t="str">
        <f t="shared" si="226"/>
        <v>80825</v>
      </c>
      <c r="D3233" t="s">
        <v>747</v>
      </c>
      <c r="E3233">
        <v>320.88</v>
      </c>
      <c r="F3233">
        <v>20131024</v>
      </c>
      <c r="G3233" t="s">
        <v>756</v>
      </c>
      <c r="H3233" t="s">
        <v>749</v>
      </c>
      <c r="I3233" t="s">
        <v>21</v>
      </c>
    </row>
    <row r="3234" spans="1:9" x14ac:dyDescent="0.25">
      <c r="A3234">
        <v>20131031</v>
      </c>
      <c r="B3234" t="str">
        <f t="shared" si="225"/>
        <v>112453</v>
      </c>
      <c r="C3234" t="str">
        <f t="shared" si="226"/>
        <v>80825</v>
      </c>
      <c r="D3234" t="s">
        <v>747</v>
      </c>
      <c r="E3234">
        <v>106.95</v>
      </c>
      <c r="F3234">
        <v>20131024</v>
      </c>
      <c r="G3234" t="s">
        <v>757</v>
      </c>
      <c r="H3234" t="s">
        <v>749</v>
      </c>
      <c r="I3234" t="s">
        <v>21</v>
      </c>
    </row>
    <row r="3235" spans="1:9" x14ac:dyDescent="0.25">
      <c r="A3235">
        <v>20131031</v>
      </c>
      <c r="B3235" t="str">
        <f t="shared" si="225"/>
        <v>112453</v>
      </c>
      <c r="C3235" t="str">
        <f t="shared" si="226"/>
        <v>80825</v>
      </c>
      <c r="D3235" t="s">
        <v>747</v>
      </c>
      <c r="E3235">
        <v>424.58</v>
      </c>
      <c r="F3235">
        <v>20131024</v>
      </c>
      <c r="G3235" t="s">
        <v>1175</v>
      </c>
      <c r="H3235" t="s">
        <v>749</v>
      </c>
      <c r="I3235" t="s">
        <v>21</v>
      </c>
    </row>
    <row r="3236" spans="1:9" x14ac:dyDescent="0.25">
      <c r="A3236">
        <v>20131031</v>
      </c>
      <c r="B3236" t="str">
        <f t="shared" si="225"/>
        <v>112453</v>
      </c>
      <c r="C3236" t="str">
        <f t="shared" si="226"/>
        <v>80825</v>
      </c>
      <c r="D3236" t="s">
        <v>747</v>
      </c>
      <c r="E3236">
        <v>106.95</v>
      </c>
      <c r="F3236">
        <v>20131024</v>
      </c>
      <c r="G3236" t="s">
        <v>544</v>
      </c>
      <c r="H3236" t="s">
        <v>749</v>
      </c>
      <c r="I3236" t="s">
        <v>21</v>
      </c>
    </row>
    <row r="3237" spans="1:9" x14ac:dyDescent="0.25">
      <c r="A3237">
        <v>20131031</v>
      </c>
      <c r="B3237" t="str">
        <f t="shared" si="225"/>
        <v>112453</v>
      </c>
      <c r="C3237" t="str">
        <f t="shared" si="226"/>
        <v>80825</v>
      </c>
      <c r="D3237" t="s">
        <v>747</v>
      </c>
      <c r="E3237">
        <v>106.95</v>
      </c>
      <c r="F3237">
        <v>20131024</v>
      </c>
      <c r="G3237" t="s">
        <v>545</v>
      </c>
      <c r="H3237" t="s">
        <v>749</v>
      </c>
      <c r="I3237" t="s">
        <v>21</v>
      </c>
    </row>
    <row r="3238" spans="1:9" x14ac:dyDescent="0.25">
      <c r="A3238">
        <v>20131031</v>
      </c>
      <c r="B3238" t="str">
        <f t="shared" si="225"/>
        <v>112453</v>
      </c>
      <c r="C3238" t="str">
        <f t="shared" si="226"/>
        <v>80825</v>
      </c>
      <c r="D3238" t="s">
        <v>747</v>
      </c>
      <c r="E3238">
        <v>345.9</v>
      </c>
      <c r="F3238">
        <v>20131024</v>
      </c>
      <c r="G3238" t="s">
        <v>1176</v>
      </c>
      <c r="H3238" t="s">
        <v>749</v>
      </c>
      <c r="I3238" t="s">
        <v>21</v>
      </c>
    </row>
    <row r="3239" spans="1:9" x14ac:dyDescent="0.25">
      <c r="A3239">
        <v>20131031</v>
      </c>
      <c r="B3239" t="str">
        <f>"112454"</f>
        <v>112454</v>
      </c>
      <c r="C3239" t="str">
        <f>"80874"</f>
        <v>80874</v>
      </c>
      <c r="D3239" t="s">
        <v>1956</v>
      </c>
      <c r="E3239">
        <v>7.53</v>
      </c>
      <c r="F3239">
        <v>20131031</v>
      </c>
      <c r="G3239" t="s">
        <v>39</v>
      </c>
      <c r="H3239" t="s">
        <v>354</v>
      </c>
      <c r="I3239" t="s">
        <v>38</v>
      </c>
    </row>
    <row r="3240" spans="1:9" x14ac:dyDescent="0.25">
      <c r="A3240">
        <v>20131105</v>
      </c>
      <c r="B3240" t="str">
        <f>"112455"</f>
        <v>112455</v>
      </c>
      <c r="C3240" t="str">
        <f>"87590"</f>
        <v>87590</v>
      </c>
      <c r="D3240" t="s">
        <v>1957</v>
      </c>
      <c r="E3240" s="1">
        <v>6430.66</v>
      </c>
      <c r="F3240">
        <v>20131105</v>
      </c>
      <c r="G3240" t="s">
        <v>1272</v>
      </c>
      <c r="H3240" t="s">
        <v>604</v>
      </c>
      <c r="I3240" t="s">
        <v>21</v>
      </c>
    </row>
    <row r="3241" spans="1:9" x14ac:dyDescent="0.25">
      <c r="A3241">
        <v>20131105</v>
      </c>
      <c r="B3241" t="str">
        <f>"112456"</f>
        <v>112456</v>
      </c>
      <c r="C3241" t="str">
        <f>"87590"</f>
        <v>87590</v>
      </c>
      <c r="D3241" t="s">
        <v>1957</v>
      </c>
      <c r="E3241" s="1">
        <v>1202.3499999999999</v>
      </c>
      <c r="F3241">
        <v>20131101</v>
      </c>
      <c r="G3241" t="s">
        <v>1272</v>
      </c>
      <c r="H3241" t="s">
        <v>1958</v>
      </c>
      <c r="I3241" t="s">
        <v>21</v>
      </c>
    </row>
    <row r="3242" spans="1:9" x14ac:dyDescent="0.25">
      <c r="A3242">
        <v>20131107</v>
      </c>
      <c r="B3242" t="str">
        <f>"112457"</f>
        <v>112457</v>
      </c>
      <c r="C3242" t="str">
        <f>"87466"</f>
        <v>87466</v>
      </c>
      <c r="D3242" t="s">
        <v>468</v>
      </c>
      <c r="E3242">
        <v>475</v>
      </c>
      <c r="F3242">
        <v>20131106</v>
      </c>
      <c r="G3242" t="s">
        <v>469</v>
      </c>
      <c r="H3242" t="s">
        <v>501</v>
      </c>
      <c r="I3242" t="s">
        <v>21</v>
      </c>
    </row>
    <row r="3243" spans="1:9" x14ac:dyDescent="0.25">
      <c r="A3243">
        <v>20131107</v>
      </c>
      <c r="B3243" t="str">
        <f t="shared" ref="B3243:B3254" si="227">"112458"</f>
        <v>112458</v>
      </c>
      <c r="C3243" t="str">
        <f t="shared" ref="C3243:C3254" si="228">"84047"</f>
        <v>84047</v>
      </c>
      <c r="D3243" t="s">
        <v>472</v>
      </c>
      <c r="E3243">
        <v>255.75</v>
      </c>
      <c r="F3243">
        <v>20131105</v>
      </c>
      <c r="G3243" t="s">
        <v>473</v>
      </c>
      <c r="H3243" t="s">
        <v>474</v>
      </c>
      <c r="I3243" t="s">
        <v>21</v>
      </c>
    </row>
    <row r="3244" spans="1:9" x14ac:dyDescent="0.25">
      <c r="A3244">
        <v>20131107</v>
      </c>
      <c r="B3244" t="str">
        <f t="shared" si="227"/>
        <v>112458</v>
      </c>
      <c r="C3244" t="str">
        <f t="shared" si="228"/>
        <v>84047</v>
      </c>
      <c r="D3244" t="s">
        <v>472</v>
      </c>
      <c r="E3244">
        <v>150.15</v>
      </c>
      <c r="F3244">
        <v>20131105</v>
      </c>
      <c r="G3244" t="s">
        <v>475</v>
      </c>
      <c r="H3244" t="s">
        <v>474</v>
      </c>
      <c r="I3244" t="s">
        <v>21</v>
      </c>
    </row>
    <row r="3245" spans="1:9" x14ac:dyDescent="0.25">
      <c r="A3245">
        <v>20131107</v>
      </c>
      <c r="B3245" t="str">
        <f t="shared" si="227"/>
        <v>112458</v>
      </c>
      <c r="C3245" t="str">
        <f t="shared" si="228"/>
        <v>84047</v>
      </c>
      <c r="D3245" t="s">
        <v>472</v>
      </c>
      <c r="E3245">
        <v>150.15</v>
      </c>
      <c r="F3245">
        <v>20131105</v>
      </c>
      <c r="G3245" t="s">
        <v>476</v>
      </c>
      <c r="H3245" t="s">
        <v>474</v>
      </c>
      <c r="I3245" t="s">
        <v>21</v>
      </c>
    </row>
    <row r="3246" spans="1:9" x14ac:dyDescent="0.25">
      <c r="A3246">
        <v>20131107</v>
      </c>
      <c r="B3246" t="str">
        <f t="shared" si="227"/>
        <v>112458</v>
      </c>
      <c r="C3246" t="str">
        <f t="shared" si="228"/>
        <v>84047</v>
      </c>
      <c r="D3246" t="s">
        <v>472</v>
      </c>
      <c r="E3246">
        <v>150.15</v>
      </c>
      <c r="F3246">
        <v>20131105</v>
      </c>
      <c r="G3246" t="s">
        <v>477</v>
      </c>
      <c r="H3246" t="s">
        <v>474</v>
      </c>
      <c r="I3246" t="s">
        <v>21</v>
      </c>
    </row>
    <row r="3247" spans="1:9" x14ac:dyDescent="0.25">
      <c r="A3247">
        <v>20131107</v>
      </c>
      <c r="B3247" t="str">
        <f t="shared" si="227"/>
        <v>112458</v>
      </c>
      <c r="C3247" t="str">
        <f t="shared" si="228"/>
        <v>84047</v>
      </c>
      <c r="D3247" t="s">
        <v>472</v>
      </c>
      <c r="E3247">
        <v>176.55</v>
      </c>
      <c r="F3247">
        <v>20131105</v>
      </c>
      <c r="G3247" t="s">
        <v>478</v>
      </c>
      <c r="H3247" t="s">
        <v>474</v>
      </c>
      <c r="I3247" t="s">
        <v>21</v>
      </c>
    </row>
    <row r="3248" spans="1:9" x14ac:dyDescent="0.25">
      <c r="A3248">
        <v>20131107</v>
      </c>
      <c r="B3248" t="str">
        <f t="shared" si="227"/>
        <v>112458</v>
      </c>
      <c r="C3248" t="str">
        <f t="shared" si="228"/>
        <v>84047</v>
      </c>
      <c r="D3248" t="s">
        <v>472</v>
      </c>
      <c r="E3248">
        <v>150.15</v>
      </c>
      <c r="F3248">
        <v>20131105</v>
      </c>
      <c r="G3248" t="s">
        <v>479</v>
      </c>
      <c r="H3248" t="s">
        <v>474</v>
      </c>
      <c r="I3248" t="s">
        <v>21</v>
      </c>
    </row>
    <row r="3249" spans="1:9" x14ac:dyDescent="0.25">
      <c r="A3249">
        <v>20131107</v>
      </c>
      <c r="B3249" t="str">
        <f t="shared" si="227"/>
        <v>112458</v>
      </c>
      <c r="C3249" t="str">
        <f t="shared" si="228"/>
        <v>84047</v>
      </c>
      <c r="D3249" t="s">
        <v>472</v>
      </c>
      <c r="E3249">
        <v>150.15</v>
      </c>
      <c r="F3249">
        <v>20131105</v>
      </c>
      <c r="G3249" t="s">
        <v>480</v>
      </c>
      <c r="H3249" t="s">
        <v>474</v>
      </c>
      <c r="I3249" t="s">
        <v>21</v>
      </c>
    </row>
    <row r="3250" spans="1:9" x14ac:dyDescent="0.25">
      <c r="A3250">
        <v>20131107</v>
      </c>
      <c r="B3250" t="str">
        <f t="shared" si="227"/>
        <v>112458</v>
      </c>
      <c r="C3250" t="str">
        <f t="shared" si="228"/>
        <v>84047</v>
      </c>
      <c r="D3250" t="s">
        <v>472</v>
      </c>
      <c r="E3250">
        <v>150.15</v>
      </c>
      <c r="F3250">
        <v>20131105</v>
      </c>
      <c r="G3250" t="s">
        <v>481</v>
      </c>
      <c r="H3250" t="s">
        <v>474</v>
      </c>
      <c r="I3250" t="s">
        <v>21</v>
      </c>
    </row>
    <row r="3251" spans="1:9" x14ac:dyDescent="0.25">
      <c r="A3251">
        <v>20131107</v>
      </c>
      <c r="B3251" t="str">
        <f t="shared" si="227"/>
        <v>112458</v>
      </c>
      <c r="C3251" t="str">
        <f t="shared" si="228"/>
        <v>84047</v>
      </c>
      <c r="D3251" t="s">
        <v>472</v>
      </c>
      <c r="E3251">
        <v>87.45</v>
      </c>
      <c r="F3251">
        <v>20131105</v>
      </c>
      <c r="G3251" t="s">
        <v>482</v>
      </c>
      <c r="H3251" t="s">
        <v>474</v>
      </c>
      <c r="I3251" t="s">
        <v>21</v>
      </c>
    </row>
    <row r="3252" spans="1:9" x14ac:dyDescent="0.25">
      <c r="A3252">
        <v>20131107</v>
      </c>
      <c r="B3252" t="str">
        <f t="shared" si="227"/>
        <v>112458</v>
      </c>
      <c r="C3252" t="str">
        <f t="shared" si="228"/>
        <v>84047</v>
      </c>
      <c r="D3252" t="s">
        <v>472</v>
      </c>
      <c r="E3252">
        <v>150.15</v>
      </c>
      <c r="F3252">
        <v>20131105</v>
      </c>
      <c r="G3252" t="s">
        <v>483</v>
      </c>
      <c r="H3252" t="s">
        <v>474</v>
      </c>
      <c r="I3252" t="s">
        <v>21</v>
      </c>
    </row>
    <row r="3253" spans="1:9" x14ac:dyDescent="0.25">
      <c r="A3253">
        <v>20131107</v>
      </c>
      <c r="B3253" t="str">
        <f t="shared" si="227"/>
        <v>112458</v>
      </c>
      <c r="C3253" t="str">
        <f t="shared" si="228"/>
        <v>84047</v>
      </c>
      <c r="D3253" t="s">
        <v>472</v>
      </c>
      <c r="E3253">
        <v>177.65</v>
      </c>
      <c r="F3253">
        <v>20131105</v>
      </c>
      <c r="G3253" t="s">
        <v>484</v>
      </c>
      <c r="H3253" t="s">
        <v>474</v>
      </c>
      <c r="I3253" t="s">
        <v>21</v>
      </c>
    </row>
    <row r="3254" spans="1:9" x14ac:dyDescent="0.25">
      <c r="A3254">
        <v>20131107</v>
      </c>
      <c r="B3254" t="str">
        <f t="shared" si="227"/>
        <v>112458</v>
      </c>
      <c r="C3254" t="str">
        <f t="shared" si="228"/>
        <v>84047</v>
      </c>
      <c r="D3254" t="s">
        <v>472</v>
      </c>
      <c r="E3254">
        <v>123.75</v>
      </c>
      <c r="F3254">
        <v>20131105</v>
      </c>
      <c r="G3254" t="s">
        <v>485</v>
      </c>
      <c r="H3254" t="s">
        <v>474</v>
      </c>
      <c r="I3254" t="s">
        <v>21</v>
      </c>
    </row>
    <row r="3255" spans="1:9" x14ac:dyDescent="0.25">
      <c r="A3255">
        <v>20131107</v>
      </c>
      <c r="B3255" t="str">
        <f>"112459"</f>
        <v>112459</v>
      </c>
      <c r="C3255" t="str">
        <f>"00255"</f>
        <v>00255</v>
      </c>
      <c r="D3255" t="s">
        <v>489</v>
      </c>
      <c r="E3255">
        <v>39.409999999999997</v>
      </c>
      <c r="F3255">
        <v>20131104</v>
      </c>
      <c r="G3255" t="s">
        <v>490</v>
      </c>
      <c r="H3255" t="s">
        <v>488</v>
      </c>
      <c r="I3255" t="s">
        <v>21</v>
      </c>
    </row>
    <row r="3256" spans="1:9" x14ac:dyDescent="0.25">
      <c r="A3256">
        <v>20131107</v>
      </c>
      <c r="B3256" t="str">
        <f>"112459"</f>
        <v>112459</v>
      </c>
      <c r="C3256" t="str">
        <f>"00255"</f>
        <v>00255</v>
      </c>
      <c r="D3256" t="s">
        <v>489</v>
      </c>
      <c r="E3256">
        <v>175.76</v>
      </c>
      <c r="F3256">
        <v>20131104</v>
      </c>
      <c r="G3256" t="s">
        <v>490</v>
      </c>
      <c r="H3256" t="s">
        <v>488</v>
      </c>
      <c r="I3256" t="s">
        <v>21</v>
      </c>
    </row>
    <row r="3257" spans="1:9" x14ac:dyDescent="0.25">
      <c r="A3257">
        <v>20131107</v>
      </c>
      <c r="B3257" t="str">
        <f>"112459"</f>
        <v>112459</v>
      </c>
      <c r="C3257" t="str">
        <f>"00255"</f>
        <v>00255</v>
      </c>
      <c r="D3257" t="s">
        <v>489</v>
      </c>
      <c r="E3257">
        <v>37.270000000000003</v>
      </c>
      <c r="F3257">
        <v>20131104</v>
      </c>
      <c r="G3257" t="s">
        <v>490</v>
      </c>
      <c r="H3257" t="s">
        <v>488</v>
      </c>
      <c r="I3257" t="s">
        <v>21</v>
      </c>
    </row>
    <row r="3258" spans="1:9" x14ac:dyDescent="0.25">
      <c r="A3258">
        <v>20131107</v>
      </c>
      <c r="B3258" t="str">
        <f>"112459"</f>
        <v>112459</v>
      </c>
      <c r="C3258" t="str">
        <f>"00255"</f>
        <v>00255</v>
      </c>
      <c r="D3258" t="s">
        <v>489</v>
      </c>
      <c r="E3258">
        <v>54.96</v>
      </c>
      <c r="F3258">
        <v>20131104</v>
      </c>
      <c r="G3258" t="s">
        <v>492</v>
      </c>
      <c r="H3258" t="s">
        <v>488</v>
      </c>
      <c r="I3258" t="s">
        <v>21</v>
      </c>
    </row>
    <row r="3259" spans="1:9" x14ac:dyDescent="0.25">
      <c r="A3259">
        <v>20131107</v>
      </c>
      <c r="B3259" t="str">
        <f>"112459"</f>
        <v>112459</v>
      </c>
      <c r="C3259" t="str">
        <f>"00255"</f>
        <v>00255</v>
      </c>
      <c r="D3259" t="s">
        <v>489</v>
      </c>
      <c r="E3259">
        <v>103.7</v>
      </c>
      <c r="F3259">
        <v>20131104</v>
      </c>
      <c r="G3259" t="s">
        <v>492</v>
      </c>
      <c r="H3259" t="s">
        <v>488</v>
      </c>
      <c r="I3259" t="s">
        <v>21</v>
      </c>
    </row>
    <row r="3260" spans="1:9" x14ac:dyDescent="0.25">
      <c r="A3260">
        <v>20131107</v>
      </c>
      <c r="B3260" t="str">
        <f>"112460"</f>
        <v>112460</v>
      </c>
      <c r="C3260" t="str">
        <f>"86456"</f>
        <v>86456</v>
      </c>
      <c r="D3260" t="s">
        <v>495</v>
      </c>
      <c r="E3260">
        <v>170.66</v>
      </c>
      <c r="F3260">
        <v>20131105</v>
      </c>
      <c r="G3260" t="s">
        <v>413</v>
      </c>
      <c r="H3260" t="s">
        <v>414</v>
      </c>
      <c r="I3260" t="s">
        <v>21</v>
      </c>
    </row>
    <row r="3261" spans="1:9" x14ac:dyDescent="0.25">
      <c r="A3261">
        <v>20131107</v>
      </c>
      <c r="B3261" t="str">
        <f>"112460"</f>
        <v>112460</v>
      </c>
      <c r="C3261" t="str">
        <f>"86456"</f>
        <v>86456</v>
      </c>
      <c r="D3261" t="s">
        <v>495</v>
      </c>
      <c r="E3261">
        <v>138.28</v>
      </c>
      <c r="F3261">
        <v>20131105</v>
      </c>
      <c r="G3261" t="s">
        <v>392</v>
      </c>
      <c r="H3261" t="s">
        <v>414</v>
      </c>
      <c r="I3261" t="s">
        <v>21</v>
      </c>
    </row>
    <row r="3262" spans="1:9" x14ac:dyDescent="0.25">
      <c r="A3262">
        <v>20131107</v>
      </c>
      <c r="B3262" t="str">
        <f>"112460"</f>
        <v>112460</v>
      </c>
      <c r="C3262" t="str">
        <f>"86456"</f>
        <v>86456</v>
      </c>
      <c r="D3262" t="s">
        <v>495</v>
      </c>
      <c r="E3262">
        <v>59.96</v>
      </c>
      <c r="F3262">
        <v>20131105</v>
      </c>
      <c r="G3262" t="s">
        <v>1224</v>
      </c>
      <c r="H3262" t="s">
        <v>414</v>
      </c>
      <c r="I3262" t="s">
        <v>21</v>
      </c>
    </row>
    <row r="3263" spans="1:9" x14ac:dyDescent="0.25">
      <c r="A3263">
        <v>20131107</v>
      </c>
      <c r="B3263" t="str">
        <f>"112460"</f>
        <v>112460</v>
      </c>
      <c r="C3263" t="str">
        <f>"86456"</f>
        <v>86456</v>
      </c>
      <c r="D3263" t="s">
        <v>495</v>
      </c>
      <c r="E3263">
        <v>77.349999999999994</v>
      </c>
      <c r="F3263">
        <v>20131105</v>
      </c>
      <c r="G3263" t="s">
        <v>417</v>
      </c>
      <c r="H3263" t="s">
        <v>414</v>
      </c>
      <c r="I3263" t="s">
        <v>21</v>
      </c>
    </row>
    <row r="3264" spans="1:9" x14ac:dyDescent="0.25">
      <c r="A3264">
        <v>20131107</v>
      </c>
      <c r="B3264" t="str">
        <f>"112461"</f>
        <v>112461</v>
      </c>
      <c r="C3264" t="str">
        <f>"83627"</f>
        <v>83627</v>
      </c>
      <c r="D3264" t="s">
        <v>1556</v>
      </c>
      <c r="E3264">
        <v>84</v>
      </c>
      <c r="F3264">
        <v>20131105</v>
      </c>
      <c r="G3264" t="s">
        <v>1959</v>
      </c>
      <c r="H3264" t="s">
        <v>354</v>
      </c>
      <c r="I3264" t="s">
        <v>61</v>
      </c>
    </row>
    <row r="3265" spans="1:9" x14ac:dyDescent="0.25">
      <c r="A3265">
        <v>20131107</v>
      </c>
      <c r="B3265" t="str">
        <f>"112461"</f>
        <v>112461</v>
      </c>
      <c r="C3265" t="str">
        <f>"83627"</f>
        <v>83627</v>
      </c>
      <c r="D3265" t="s">
        <v>1556</v>
      </c>
      <c r="E3265">
        <v>27</v>
      </c>
      <c r="F3265">
        <v>20131105</v>
      </c>
      <c r="G3265" t="s">
        <v>1959</v>
      </c>
      <c r="H3265" t="s">
        <v>354</v>
      </c>
      <c r="I3265" t="s">
        <v>61</v>
      </c>
    </row>
    <row r="3266" spans="1:9" x14ac:dyDescent="0.25">
      <c r="A3266">
        <v>20131107</v>
      </c>
      <c r="B3266" t="str">
        <f>"112462"</f>
        <v>112462</v>
      </c>
      <c r="C3266" t="str">
        <f>"83627"</f>
        <v>83627</v>
      </c>
      <c r="D3266" t="s">
        <v>1556</v>
      </c>
      <c r="E3266">
        <v>55</v>
      </c>
      <c r="F3266">
        <v>20131105</v>
      </c>
      <c r="G3266" t="s">
        <v>356</v>
      </c>
      <c r="H3266" t="s">
        <v>357</v>
      </c>
      <c r="I3266" t="s">
        <v>61</v>
      </c>
    </row>
    <row r="3267" spans="1:9" x14ac:dyDescent="0.25">
      <c r="A3267">
        <v>20131107</v>
      </c>
      <c r="B3267" t="str">
        <f>"112463"</f>
        <v>112463</v>
      </c>
      <c r="C3267" t="str">
        <f>"83627"</f>
        <v>83627</v>
      </c>
      <c r="D3267" t="s">
        <v>1556</v>
      </c>
      <c r="E3267">
        <v>35</v>
      </c>
      <c r="F3267">
        <v>20131105</v>
      </c>
      <c r="G3267" t="s">
        <v>356</v>
      </c>
      <c r="H3267" t="s">
        <v>357</v>
      </c>
      <c r="I3267" t="s">
        <v>61</v>
      </c>
    </row>
    <row r="3268" spans="1:9" x14ac:dyDescent="0.25">
      <c r="A3268">
        <v>20131107</v>
      </c>
      <c r="B3268" t="str">
        <f>"112464"</f>
        <v>112464</v>
      </c>
      <c r="C3268" t="str">
        <f>"09600"</f>
        <v>09600</v>
      </c>
      <c r="D3268" t="s">
        <v>497</v>
      </c>
      <c r="E3268">
        <v>761.45</v>
      </c>
      <c r="F3268">
        <v>20131105</v>
      </c>
      <c r="G3268" t="s">
        <v>498</v>
      </c>
      <c r="H3268" t="s">
        <v>499</v>
      </c>
      <c r="I3268" t="s">
        <v>21</v>
      </c>
    </row>
    <row r="3269" spans="1:9" x14ac:dyDescent="0.25">
      <c r="A3269">
        <v>20131107</v>
      </c>
      <c r="B3269" t="str">
        <f>"112465"</f>
        <v>112465</v>
      </c>
      <c r="C3269" t="str">
        <f>"12392"</f>
        <v>12392</v>
      </c>
      <c r="D3269" t="s">
        <v>1196</v>
      </c>
      <c r="E3269">
        <v>35.19</v>
      </c>
      <c r="F3269">
        <v>20131101</v>
      </c>
      <c r="G3269" t="s">
        <v>1960</v>
      </c>
      <c r="H3269" t="s">
        <v>563</v>
      </c>
      <c r="I3269" t="s">
        <v>21</v>
      </c>
    </row>
    <row r="3270" spans="1:9" x14ac:dyDescent="0.25">
      <c r="A3270">
        <v>20131107</v>
      </c>
      <c r="B3270" t="str">
        <f>"112466"</f>
        <v>112466</v>
      </c>
      <c r="C3270" t="str">
        <f>"10075"</f>
        <v>10075</v>
      </c>
      <c r="D3270" t="s">
        <v>1199</v>
      </c>
      <c r="E3270" s="1">
        <v>1350</v>
      </c>
      <c r="F3270">
        <v>20131101</v>
      </c>
      <c r="G3270" t="s">
        <v>186</v>
      </c>
      <c r="H3270" t="s">
        <v>1961</v>
      </c>
      <c r="I3270" t="s">
        <v>61</v>
      </c>
    </row>
    <row r="3271" spans="1:9" x14ac:dyDescent="0.25">
      <c r="A3271">
        <v>20131107</v>
      </c>
      <c r="B3271" t="str">
        <f>"112467"</f>
        <v>112467</v>
      </c>
      <c r="C3271" t="str">
        <f>"82604"</f>
        <v>82604</v>
      </c>
      <c r="D3271" t="s">
        <v>1962</v>
      </c>
      <c r="E3271">
        <v>395</v>
      </c>
      <c r="F3271">
        <v>20131101</v>
      </c>
      <c r="G3271" t="s">
        <v>1067</v>
      </c>
      <c r="H3271" t="s">
        <v>1963</v>
      </c>
      <c r="I3271" t="s">
        <v>21</v>
      </c>
    </row>
    <row r="3272" spans="1:9" x14ac:dyDescent="0.25">
      <c r="A3272">
        <v>20131107</v>
      </c>
      <c r="B3272" t="str">
        <f>"112468"</f>
        <v>112468</v>
      </c>
      <c r="C3272" t="str">
        <f>"16500"</f>
        <v>16500</v>
      </c>
      <c r="D3272" t="s">
        <v>798</v>
      </c>
      <c r="E3272">
        <v>80</v>
      </c>
      <c r="F3272">
        <v>20131105</v>
      </c>
      <c r="G3272" t="s">
        <v>367</v>
      </c>
      <c r="H3272" t="s">
        <v>784</v>
      </c>
      <c r="I3272" t="s">
        <v>21</v>
      </c>
    </row>
    <row r="3273" spans="1:9" x14ac:dyDescent="0.25">
      <c r="A3273">
        <v>20131107</v>
      </c>
      <c r="B3273" t="str">
        <f>"112469"</f>
        <v>112469</v>
      </c>
      <c r="C3273" t="str">
        <f>"87591"</f>
        <v>87591</v>
      </c>
      <c r="D3273" t="s">
        <v>1964</v>
      </c>
      <c r="E3273">
        <v>200</v>
      </c>
      <c r="F3273">
        <v>20131101</v>
      </c>
      <c r="G3273" t="s">
        <v>347</v>
      </c>
      <c r="H3273" t="s">
        <v>361</v>
      </c>
      <c r="I3273" t="s">
        <v>61</v>
      </c>
    </row>
    <row r="3274" spans="1:9" x14ac:dyDescent="0.25">
      <c r="A3274">
        <v>20131107</v>
      </c>
      <c r="B3274" t="str">
        <f>"112469"</f>
        <v>112469</v>
      </c>
      <c r="C3274" t="str">
        <f>"87591"</f>
        <v>87591</v>
      </c>
      <c r="D3274" t="s">
        <v>1964</v>
      </c>
      <c r="E3274">
        <v>-200</v>
      </c>
      <c r="F3274">
        <v>20140424</v>
      </c>
      <c r="G3274" t="s">
        <v>347</v>
      </c>
      <c r="H3274" t="s">
        <v>1965</v>
      </c>
      <c r="I3274" t="s">
        <v>61</v>
      </c>
    </row>
    <row r="3275" spans="1:9" x14ac:dyDescent="0.25">
      <c r="A3275">
        <v>20131107</v>
      </c>
      <c r="B3275" t="str">
        <f>"112469"</f>
        <v>112469</v>
      </c>
      <c r="C3275" t="str">
        <f>"87591"</f>
        <v>87591</v>
      </c>
      <c r="D3275" t="s">
        <v>1964</v>
      </c>
      <c r="E3275">
        <v>200</v>
      </c>
      <c r="F3275">
        <v>20140505</v>
      </c>
      <c r="G3275" t="s">
        <v>347</v>
      </c>
      <c r="H3275" t="s">
        <v>1966</v>
      </c>
      <c r="I3275" t="s">
        <v>61</v>
      </c>
    </row>
    <row r="3276" spans="1:9" x14ac:dyDescent="0.25">
      <c r="A3276">
        <v>20131107</v>
      </c>
      <c r="B3276" t="str">
        <f>"112470"</f>
        <v>112470</v>
      </c>
      <c r="C3276" t="str">
        <f>"85203"</f>
        <v>85203</v>
      </c>
      <c r="D3276" t="s">
        <v>1210</v>
      </c>
      <c r="E3276">
        <v>250</v>
      </c>
      <c r="F3276">
        <v>20131101</v>
      </c>
      <c r="G3276" t="s">
        <v>356</v>
      </c>
      <c r="H3276" t="s">
        <v>357</v>
      </c>
      <c r="I3276" t="s">
        <v>61</v>
      </c>
    </row>
    <row r="3277" spans="1:9" x14ac:dyDescent="0.25">
      <c r="A3277">
        <v>20131107</v>
      </c>
      <c r="B3277" t="str">
        <f>"112471"</f>
        <v>112471</v>
      </c>
      <c r="C3277" t="str">
        <f>"18025"</f>
        <v>18025</v>
      </c>
      <c r="D3277" t="s">
        <v>514</v>
      </c>
      <c r="E3277">
        <v>360</v>
      </c>
      <c r="F3277">
        <v>20131106</v>
      </c>
      <c r="G3277" t="s">
        <v>356</v>
      </c>
      <c r="H3277" t="s">
        <v>357</v>
      </c>
      <c r="I3277" t="s">
        <v>61</v>
      </c>
    </row>
    <row r="3278" spans="1:9" x14ac:dyDescent="0.25">
      <c r="A3278">
        <v>20131107</v>
      </c>
      <c r="B3278" t="str">
        <f t="shared" ref="B3278:B3288" si="229">"112472"</f>
        <v>112472</v>
      </c>
      <c r="C3278" t="str">
        <f t="shared" ref="C3278:C3288" si="230">"18200"</f>
        <v>18200</v>
      </c>
      <c r="D3278" t="s">
        <v>516</v>
      </c>
      <c r="E3278">
        <v>98.52</v>
      </c>
      <c r="F3278">
        <v>20131105</v>
      </c>
      <c r="G3278" t="s">
        <v>453</v>
      </c>
      <c r="H3278" t="s">
        <v>488</v>
      </c>
      <c r="I3278" t="s">
        <v>21</v>
      </c>
    </row>
    <row r="3279" spans="1:9" x14ac:dyDescent="0.25">
      <c r="A3279">
        <v>20131107</v>
      </c>
      <c r="B3279" t="str">
        <f t="shared" si="229"/>
        <v>112472</v>
      </c>
      <c r="C3279" t="str">
        <f t="shared" si="230"/>
        <v>18200</v>
      </c>
      <c r="D3279" t="s">
        <v>516</v>
      </c>
      <c r="E3279">
        <v>655.62</v>
      </c>
      <c r="F3279">
        <v>20131105</v>
      </c>
      <c r="G3279" t="s">
        <v>455</v>
      </c>
      <c r="H3279" t="s">
        <v>488</v>
      </c>
      <c r="I3279" t="s">
        <v>21</v>
      </c>
    </row>
    <row r="3280" spans="1:9" x14ac:dyDescent="0.25">
      <c r="A3280">
        <v>20131107</v>
      </c>
      <c r="B3280" t="str">
        <f t="shared" si="229"/>
        <v>112472</v>
      </c>
      <c r="C3280" t="str">
        <f t="shared" si="230"/>
        <v>18200</v>
      </c>
      <c r="D3280" t="s">
        <v>516</v>
      </c>
      <c r="E3280" s="1">
        <v>1129.06</v>
      </c>
      <c r="F3280">
        <v>20131105</v>
      </c>
      <c r="G3280" t="s">
        <v>455</v>
      </c>
      <c r="H3280" t="s">
        <v>488</v>
      </c>
      <c r="I3280" t="s">
        <v>21</v>
      </c>
    </row>
    <row r="3281" spans="1:9" x14ac:dyDescent="0.25">
      <c r="A3281">
        <v>20131107</v>
      </c>
      <c r="B3281" t="str">
        <f t="shared" si="229"/>
        <v>112472</v>
      </c>
      <c r="C3281" t="str">
        <f t="shared" si="230"/>
        <v>18200</v>
      </c>
      <c r="D3281" t="s">
        <v>516</v>
      </c>
      <c r="E3281">
        <v>86.99</v>
      </c>
      <c r="F3281">
        <v>20131105</v>
      </c>
      <c r="G3281" t="s">
        <v>455</v>
      </c>
      <c r="H3281" t="s">
        <v>488</v>
      </c>
      <c r="I3281" t="s">
        <v>21</v>
      </c>
    </row>
    <row r="3282" spans="1:9" x14ac:dyDescent="0.25">
      <c r="A3282">
        <v>20131107</v>
      </c>
      <c r="B3282" t="str">
        <f t="shared" si="229"/>
        <v>112472</v>
      </c>
      <c r="C3282" t="str">
        <f t="shared" si="230"/>
        <v>18200</v>
      </c>
      <c r="D3282" t="s">
        <v>516</v>
      </c>
      <c r="E3282" s="1">
        <v>1296.3</v>
      </c>
      <c r="F3282">
        <v>20131105</v>
      </c>
      <c r="G3282" t="s">
        <v>459</v>
      </c>
      <c r="H3282" t="s">
        <v>488</v>
      </c>
      <c r="I3282" t="s">
        <v>21</v>
      </c>
    </row>
    <row r="3283" spans="1:9" x14ac:dyDescent="0.25">
      <c r="A3283">
        <v>20131107</v>
      </c>
      <c r="B3283" t="str">
        <f t="shared" si="229"/>
        <v>112472</v>
      </c>
      <c r="C3283" t="str">
        <f t="shared" si="230"/>
        <v>18200</v>
      </c>
      <c r="D3283" t="s">
        <v>516</v>
      </c>
      <c r="E3283">
        <v>488.87</v>
      </c>
      <c r="F3283">
        <v>20131105</v>
      </c>
      <c r="G3283" t="s">
        <v>462</v>
      </c>
      <c r="H3283" t="s">
        <v>488</v>
      </c>
      <c r="I3283" t="s">
        <v>21</v>
      </c>
    </row>
    <row r="3284" spans="1:9" x14ac:dyDescent="0.25">
      <c r="A3284">
        <v>20131107</v>
      </c>
      <c r="B3284" t="str">
        <f t="shared" si="229"/>
        <v>112472</v>
      </c>
      <c r="C3284" t="str">
        <f t="shared" si="230"/>
        <v>18200</v>
      </c>
      <c r="D3284" t="s">
        <v>516</v>
      </c>
      <c r="E3284">
        <v>820.12</v>
      </c>
      <c r="F3284">
        <v>20131105</v>
      </c>
      <c r="G3284" t="s">
        <v>465</v>
      </c>
      <c r="H3284" t="s">
        <v>488</v>
      </c>
      <c r="I3284" t="s">
        <v>21</v>
      </c>
    </row>
    <row r="3285" spans="1:9" x14ac:dyDescent="0.25">
      <c r="A3285">
        <v>20131107</v>
      </c>
      <c r="B3285" t="str">
        <f t="shared" si="229"/>
        <v>112472</v>
      </c>
      <c r="C3285" t="str">
        <f t="shared" si="230"/>
        <v>18200</v>
      </c>
      <c r="D3285" t="s">
        <v>516</v>
      </c>
      <c r="E3285">
        <v>84.12</v>
      </c>
      <c r="F3285">
        <v>20131105</v>
      </c>
      <c r="G3285" t="s">
        <v>466</v>
      </c>
      <c r="H3285" t="s">
        <v>488</v>
      </c>
      <c r="I3285" t="s">
        <v>21</v>
      </c>
    </row>
    <row r="3286" spans="1:9" x14ac:dyDescent="0.25">
      <c r="A3286">
        <v>20131107</v>
      </c>
      <c r="B3286" t="str">
        <f t="shared" si="229"/>
        <v>112472</v>
      </c>
      <c r="C3286" t="str">
        <f t="shared" si="230"/>
        <v>18200</v>
      </c>
      <c r="D3286" t="s">
        <v>516</v>
      </c>
      <c r="E3286">
        <v>336.1</v>
      </c>
      <c r="F3286">
        <v>20131105</v>
      </c>
      <c r="G3286" t="s">
        <v>466</v>
      </c>
      <c r="H3286" t="s">
        <v>488</v>
      </c>
      <c r="I3286" t="s">
        <v>21</v>
      </c>
    </row>
    <row r="3287" spans="1:9" x14ac:dyDescent="0.25">
      <c r="A3287">
        <v>20131107</v>
      </c>
      <c r="B3287" t="str">
        <f t="shared" si="229"/>
        <v>112472</v>
      </c>
      <c r="C3287" t="str">
        <f t="shared" si="230"/>
        <v>18200</v>
      </c>
      <c r="D3287" t="s">
        <v>516</v>
      </c>
      <c r="E3287" s="1">
        <v>1031.25</v>
      </c>
      <c r="F3287">
        <v>20131105</v>
      </c>
      <c r="G3287" t="s">
        <v>466</v>
      </c>
      <c r="H3287" t="s">
        <v>488</v>
      </c>
      <c r="I3287" t="s">
        <v>21</v>
      </c>
    </row>
    <row r="3288" spans="1:9" x14ac:dyDescent="0.25">
      <c r="A3288">
        <v>20131107</v>
      </c>
      <c r="B3288" t="str">
        <f t="shared" si="229"/>
        <v>112472</v>
      </c>
      <c r="C3288" t="str">
        <f t="shared" si="230"/>
        <v>18200</v>
      </c>
      <c r="D3288" t="s">
        <v>516</v>
      </c>
      <c r="E3288">
        <v>59</v>
      </c>
      <c r="F3288">
        <v>20131105</v>
      </c>
      <c r="G3288" t="s">
        <v>467</v>
      </c>
      <c r="H3288" t="s">
        <v>488</v>
      </c>
      <c r="I3288" t="s">
        <v>21</v>
      </c>
    </row>
    <row r="3289" spans="1:9" x14ac:dyDescent="0.25">
      <c r="A3289">
        <v>20131107</v>
      </c>
      <c r="B3289" t="str">
        <f>"112473"</f>
        <v>112473</v>
      </c>
      <c r="C3289" t="str">
        <f>"21950"</f>
        <v>21950</v>
      </c>
      <c r="D3289" t="s">
        <v>35</v>
      </c>
      <c r="E3289">
        <v>446.78</v>
      </c>
      <c r="F3289">
        <v>20131106</v>
      </c>
      <c r="G3289" t="s">
        <v>1247</v>
      </c>
      <c r="H3289" t="s">
        <v>1967</v>
      </c>
      <c r="I3289" t="s">
        <v>66</v>
      </c>
    </row>
    <row r="3290" spans="1:9" x14ac:dyDescent="0.25">
      <c r="A3290">
        <v>20131107</v>
      </c>
      <c r="B3290" t="str">
        <f>"112474"</f>
        <v>112474</v>
      </c>
      <c r="C3290" t="str">
        <f>"22500"</f>
        <v>22500</v>
      </c>
      <c r="D3290" t="s">
        <v>523</v>
      </c>
      <c r="E3290">
        <v>70</v>
      </c>
      <c r="F3290">
        <v>20131105</v>
      </c>
      <c r="G3290" t="s">
        <v>511</v>
      </c>
      <c r="H3290" t="s">
        <v>656</v>
      </c>
      <c r="I3290" t="s">
        <v>21</v>
      </c>
    </row>
    <row r="3291" spans="1:9" x14ac:dyDescent="0.25">
      <c r="A3291">
        <v>20131107</v>
      </c>
      <c r="B3291" t="str">
        <f>"112474"</f>
        <v>112474</v>
      </c>
      <c r="C3291" t="str">
        <f>"22500"</f>
        <v>22500</v>
      </c>
      <c r="D3291" t="s">
        <v>523</v>
      </c>
      <c r="E3291">
        <v>15.54</v>
      </c>
      <c r="F3291">
        <v>20131105</v>
      </c>
      <c r="G3291" t="s">
        <v>530</v>
      </c>
      <c r="H3291" t="s">
        <v>414</v>
      </c>
      <c r="I3291" t="s">
        <v>21</v>
      </c>
    </row>
    <row r="3292" spans="1:9" x14ac:dyDescent="0.25">
      <c r="A3292">
        <v>20131107</v>
      </c>
      <c r="B3292" t="str">
        <f>"112474"</f>
        <v>112474</v>
      </c>
      <c r="C3292" t="str">
        <f>"22500"</f>
        <v>22500</v>
      </c>
      <c r="D3292" t="s">
        <v>523</v>
      </c>
      <c r="E3292">
        <v>38.08</v>
      </c>
      <c r="F3292">
        <v>20131105</v>
      </c>
      <c r="G3292" t="s">
        <v>631</v>
      </c>
      <c r="H3292" t="s">
        <v>414</v>
      </c>
      <c r="I3292" t="s">
        <v>21</v>
      </c>
    </row>
    <row r="3293" spans="1:9" x14ac:dyDescent="0.25">
      <c r="A3293">
        <v>20131107</v>
      </c>
      <c r="B3293" t="str">
        <f>"112474"</f>
        <v>112474</v>
      </c>
      <c r="C3293" t="str">
        <f>"22500"</f>
        <v>22500</v>
      </c>
      <c r="D3293" t="s">
        <v>523</v>
      </c>
      <c r="E3293">
        <v>247.06</v>
      </c>
      <c r="F3293">
        <v>20131105</v>
      </c>
      <c r="G3293" t="s">
        <v>1224</v>
      </c>
      <c r="H3293" t="s">
        <v>414</v>
      </c>
      <c r="I3293" t="s">
        <v>21</v>
      </c>
    </row>
    <row r="3294" spans="1:9" x14ac:dyDescent="0.25">
      <c r="A3294">
        <v>20131107</v>
      </c>
      <c r="B3294" t="str">
        <f>"112475"</f>
        <v>112475</v>
      </c>
      <c r="C3294" t="str">
        <f>"21600"</f>
        <v>21600</v>
      </c>
      <c r="D3294" t="s">
        <v>1735</v>
      </c>
      <c r="E3294">
        <v>121.08</v>
      </c>
      <c r="F3294">
        <v>20131101</v>
      </c>
      <c r="G3294" t="s">
        <v>448</v>
      </c>
      <c r="H3294" t="s">
        <v>414</v>
      </c>
      <c r="I3294" t="s">
        <v>21</v>
      </c>
    </row>
    <row r="3295" spans="1:9" x14ac:dyDescent="0.25">
      <c r="A3295">
        <v>20131107</v>
      </c>
      <c r="B3295" t="str">
        <f>"112476"</f>
        <v>112476</v>
      </c>
      <c r="C3295" t="str">
        <f>"00359"</f>
        <v>00359</v>
      </c>
      <c r="D3295" t="s">
        <v>1968</v>
      </c>
      <c r="E3295">
        <v>424.8</v>
      </c>
      <c r="F3295">
        <v>20131106</v>
      </c>
      <c r="G3295" t="s">
        <v>1969</v>
      </c>
      <c r="H3295" t="s">
        <v>921</v>
      </c>
      <c r="I3295" t="s">
        <v>21</v>
      </c>
    </row>
    <row r="3296" spans="1:9" x14ac:dyDescent="0.25">
      <c r="A3296">
        <v>20131107</v>
      </c>
      <c r="B3296" t="str">
        <f>"112476"</f>
        <v>112476</v>
      </c>
      <c r="C3296" t="str">
        <f>"00359"</f>
        <v>00359</v>
      </c>
      <c r="D3296" t="s">
        <v>1968</v>
      </c>
      <c r="E3296">
        <v>260</v>
      </c>
      <c r="F3296">
        <v>20131106</v>
      </c>
      <c r="G3296" t="s">
        <v>1638</v>
      </c>
      <c r="H3296" t="s">
        <v>921</v>
      </c>
      <c r="I3296" t="s">
        <v>21</v>
      </c>
    </row>
    <row r="3297" spans="1:9" x14ac:dyDescent="0.25">
      <c r="A3297">
        <v>20131107</v>
      </c>
      <c r="B3297" t="str">
        <f>"112477"</f>
        <v>112477</v>
      </c>
      <c r="C3297" t="str">
        <f>"00359"</f>
        <v>00359</v>
      </c>
      <c r="D3297" t="s">
        <v>1968</v>
      </c>
      <c r="E3297" s="1">
        <v>1311.8</v>
      </c>
      <c r="F3297">
        <v>20131101</v>
      </c>
      <c r="G3297" t="s">
        <v>1052</v>
      </c>
      <c r="H3297" t="s">
        <v>921</v>
      </c>
      <c r="I3297" t="s">
        <v>25</v>
      </c>
    </row>
    <row r="3298" spans="1:9" x14ac:dyDescent="0.25">
      <c r="A3298">
        <v>20131107</v>
      </c>
      <c r="B3298" t="str">
        <f>"112478"</f>
        <v>112478</v>
      </c>
      <c r="C3298" t="str">
        <f>"82630"</f>
        <v>82630</v>
      </c>
      <c r="D3298" t="s">
        <v>804</v>
      </c>
      <c r="E3298">
        <v>47.99</v>
      </c>
      <c r="F3298">
        <v>20131106</v>
      </c>
      <c r="G3298" t="s">
        <v>271</v>
      </c>
      <c r="H3298" t="s">
        <v>1970</v>
      </c>
      <c r="I3298" t="s">
        <v>25</v>
      </c>
    </row>
    <row r="3299" spans="1:9" x14ac:dyDescent="0.25">
      <c r="A3299">
        <v>20131107</v>
      </c>
      <c r="B3299" t="str">
        <f>"112479"</f>
        <v>112479</v>
      </c>
      <c r="C3299" t="str">
        <f>"23827"</f>
        <v>23827</v>
      </c>
      <c r="D3299" t="s">
        <v>528</v>
      </c>
      <c r="E3299" s="1">
        <v>2235.6</v>
      </c>
      <c r="F3299">
        <v>20131106</v>
      </c>
      <c r="G3299" t="s">
        <v>145</v>
      </c>
      <c r="H3299" t="s">
        <v>513</v>
      </c>
      <c r="I3299" t="s">
        <v>38</v>
      </c>
    </row>
    <row r="3300" spans="1:9" x14ac:dyDescent="0.25">
      <c r="A3300">
        <v>20131107</v>
      </c>
      <c r="B3300" t="str">
        <f>"112479"</f>
        <v>112479</v>
      </c>
      <c r="C3300" t="str">
        <f>"23827"</f>
        <v>23827</v>
      </c>
      <c r="D3300" t="s">
        <v>528</v>
      </c>
      <c r="E3300">
        <v>288.76</v>
      </c>
      <c r="F3300">
        <v>20131106</v>
      </c>
      <c r="G3300" t="s">
        <v>145</v>
      </c>
      <c r="H3300" t="s">
        <v>513</v>
      </c>
      <c r="I3300" t="s">
        <v>38</v>
      </c>
    </row>
    <row r="3301" spans="1:9" x14ac:dyDescent="0.25">
      <c r="A3301">
        <v>20131107</v>
      </c>
      <c r="B3301" t="str">
        <f>"112479"</f>
        <v>112479</v>
      </c>
      <c r="C3301" t="str">
        <f>"23827"</f>
        <v>23827</v>
      </c>
      <c r="D3301" t="s">
        <v>528</v>
      </c>
      <c r="E3301">
        <v>811</v>
      </c>
      <c r="F3301">
        <v>20131106</v>
      </c>
      <c r="G3301" t="s">
        <v>194</v>
      </c>
      <c r="H3301" t="s">
        <v>513</v>
      </c>
      <c r="I3301" t="s">
        <v>25</v>
      </c>
    </row>
    <row r="3302" spans="1:9" x14ac:dyDescent="0.25">
      <c r="A3302">
        <v>20131107</v>
      </c>
      <c r="B3302" t="str">
        <f>"112479"</f>
        <v>112479</v>
      </c>
      <c r="C3302" t="str">
        <f>"23827"</f>
        <v>23827</v>
      </c>
      <c r="D3302" t="s">
        <v>528</v>
      </c>
      <c r="E3302">
        <v>319.8</v>
      </c>
      <c r="F3302">
        <v>20131105</v>
      </c>
      <c r="G3302" t="s">
        <v>1854</v>
      </c>
      <c r="H3302" t="s">
        <v>1971</v>
      </c>
      <c r="I3302" t="s">
        <v>25</v>
      </c>
    </row>
    <row r="3303" spans="1:9" x14ac:dyDescent="0.25">
      <c r="A3303">
        <v>20131107</v>
      </c>
      <c r="B3303" t="str">
        <f>"112480"</f>
        <v>112480</v>
      </c>
      <c r="C3303" t="str">
        <f>"83480"</f>
        <v>83480</v>
      </c>
      <c r="D3303" t="s">
        <v>1972</v>
      </c>
      <c r="E3303">
        <v>55.46</v>
      </c>
      <c r="F3303">
        <v>20131106</v>
      </c>
      <c r="G3303" t="s">
        <v>1973</v>
      </c>
      <c r="H3303" t="s">
        <v>365</v>
      </c>
      <c r="I3303" t="s">
        <v>66</v>
      </c>
    </row>
    <row r="3304" spans="1:9" x14ac:dyDescent="0.25">
      <c r="A3304">
        <v>20131107</v>
      </c>
      <c r="B3304" t="str">
        <f>"112481"</f>
        <v>112481</v>
      </c>
      <c r="C3304" t="str">
        <f>"87595"</f>
        <v>87595</v>
      </c>
      <c r="D3304" t="s">
        <v>1974</v>
      </c>
      <c r="E3304">
        <v>34.68</v>
      </c>
      <c r="F3304">
        <v>20131106</v>
      </c>
      <c r="G3304" t="s">
        <v>327</v>
      </c>
      <c r="H3304" t="s">
        <v>354</v>
      </c>
      <c r="I3304" t="s">
        <v>25</v>
      </c>
    </row>
    <row r="3305" spans="1:9" x14ac:dyDescent="0.25">
      <c r="A3305">
        <v>20131107</v>
      </c>
      <c r="B3305" t="str">
        <f t="shared" ref="B3305:B3316" si="231">"112482"</f>
        <v>112482</v>
      </c>
      <c r="C3305" t="str">
        <f t="shared" ref="C3305:C3316" si="232">"82286"</f>
        <v>82286</v>
      </c>
      <c r="D3305" t="s">
        <v>532</v>
      </c>
      <c r="E3305" s="1">
        <v>1808.87</v>
      </c>
      <c r="F3305">
        <v>20131101</v>
      </c>
      <c r="G3305" t="s">
        <v>533</v>
      </c>
      <c r="H3305" t="s">
        <v>534</v>
      </c>
      <c r="I3305" t="s">
        <v>21</v>
      </c>
    </row>
    <row r="3306" spans="1:9" x14ac:dyDescent="0.25">
      <c r="A3306">
        <v>20131107</v>
      </c>
      <c r="B3306" t="str">
        <f t="shared" si="231"/>
        <v>112482</v>
      </c>
      <c r="C3306" t="str">
        <f t="shared" si="232"/>
        <v>82286</v>
      </c>
      <c r="D3306" t="s">
        <v>532</v>
      </c>
      <c r="E3306">
        <v>48.89</v>
      </c>
      <c r="F3306">
        <v>20131101</v>
      </c>
      <c r="G3306" t="s">
        <v>535</v>
      </c>
      <c r="H3306" t="s">
        <v>534</v>
      </c>
      <c r="I3306" t="s">
        <v>21</v>
      </c>
    </row>
    <row r="3307" spans="1:9" x14ac:dyDescent="0.25">
      <c r="A3307">
        <v>20131107</v>
      </c>
      <c r="B3307" t="str">
        <f t="shared" si="231"/>
        <v>112482</v>
      </c>
      <c r="C3307" t="str">
        <f t="shared" si="232"/>
        <v>82286</v>
      </c>
      <c r="D3307" t="s">
        <v>532</v>
      </c>
      <c r="E3307">
        <v>733.32</v>
      </c>
      <c r="F3307">
        <v>20131101</v>
      </c>
      <c r="G3307" t="s">
        <v>536</v>
      </c>
      <c r="H3307" t="s">
        <v>534</v>
      </c>
      <c r="I3307" t="s">
        <v>21</v>
      </c>
    </row>
    <row r="3308" spans="1:9" x14ac:dyDescent="0.25">
      <c r="A3308">
        <v>20131107</v>
      </c>
      <c r="B3308" t="str">
        <f t="shared" si="231"/>
        <v>112482</v>
      </c>
      <c r="C3308" t="str">
        <f t="shared" si="232"/>
        <v>82286</v>
      </c>
      <c r="D3308" t="s">
        <v>532</v>
      </c>
      <c r="E3308">
        <v>244.44</v>
      </c>
      <c r="F3308">
        <v>20131101</v>
      </c>
      <c r="G3308" t="s">
        <v>537</v>
      </c>
      <c r="H3308" t="s">
        <v>534</v>
      </c>
      <c r="I3308" t="s">
        <v>21</v>
      </c>
    </row>
    <row r="3309" spans="1:9" x14ac:dyDescent="0.25">
      <c r="A3309">
        <v>20131107</v>
      </c>
      <c r="B3309" t="str">
        <f t="shared" si="231"/>
        <v>112482</v>
      </c>
      <c r="C3309" t="str">
        <f t="shared" si="232"/>
        <v>82286</v>
      </c>
      <c r="D3309" t="s">
        <v>532</v>
      </c>
      <c r="E3309">
        <v>293.39</v>
      </c>
      <c r="F3309">
        <v>20131101</v>
      </c>
      <c r="G3309" t="s">
        <v>538</v>
      </c>
      <c r="H3309" t="s">
        <v>534</v>
      </c>
      <c r="I3309" t="s">
        <v>21</v>
      </c>
    </row>
    <row r="3310" spans="1:9" x14ac:dyDescent="0.25">
      <c r="A3310">
        <v>20131107</v>
      </c>
      <c r="B3310" t="str">
        <f t="shared" si="231"/>
        <v>112482</v>
      </c>
      <c r="C3310" t="str">
        <f t="shared" si="232"/>
        <v>82286</v>
      </c>
      <c r="D3310" t="s">
        <v>532</v>
      </c>
      <c r="E3310">
        <v>342.21</v>
      </c>
      <c r="F3310">
        <v>20131101</v>
      </c>
      <c r="G3310" t="s">
        <v>539</v>
      </c>
      <c r="H3310" t="s">
        <v>534</v>
      </c>
      <c r="I3310" t="s">
        <v>21</v>
      </c>
    </row>
    <row r="3311" spans="1:9" x14ac:dyDescent="0.25">
      <c r="A3311">
        <v>20131107</v>
      </c>
      <c r="B3311" t="str">
        <f t="shared" si="231"/>
        <v>112482</v>
      </c>
      <c r="C3311" t="str">
        <f t="shared" si="232"/>
        <v>82286</v>
      </c>
      <c r="D3311" t="s">
        <v>532</v>
      </c>
      <c r="E3311">
        <v>180.52</v>
      </c>
      <c r="F3311">
        <v>20131101</v>
      </c>
      <c r="G3311" t="s">
        <v>540</v>
      </c>
      <c r="H3311" t="s">
        <v>534</v>
      </c>
      <c r="I3311" t="s">
        <v>21</v>
      </c>
    </row>
    <row r="3312" spans="1:9" x14ac:dyDescent="0.25">
      <c r="A3312">
        <v>20131107</v>
      </c>
      <c r="B3312" t="str">
        <f t="shared" si="231"/>
        <v>112482</v>
      </c>
      <c r="C3312" t="str">
        <f t="shared" si="232"/>
        <v>82286</v>
      </c>
      <c r="D3312" t="s">
        <v>532</v>
      </c>
      <c r="E3312">
        <v>180.51</v>
      </c>
      <c r="F3312">
        <v>20131101</v>
      </c>
      <c r="G3312" t="s">
        <v>541</v>
      </c>
      <c r="H3312" t="s">
        <v>534</v>
      </c>
      <c r="I3312" t="s">
        <v>21</v>
      </c>
    </row>
    <row r="3313" spans="1:9" x14ac:dyDescent="0.25">
      <c r="A3313">
        <v>20131107</v>
      </c>
      <c r="B3313" t="str">
        <f t="shared" si="231"/>
        <v>112482</v>
      </c>
      <c r="C3313" t="str">
        <f t="shared" si="232"/>
        <v>82286</v>
      </c>
      <c r="D3313" t="s">
        <v>532</v>
      </c>
      <c r="E3313">
        <v>782.21</v>
      </c>
      <c r="F3313">
        <v>20131101</v>
      </c>
      <c r="G3313" t="s">
        <v>542</v>
      </c>
      <c r="H3313" t="s">
        <v>534</v>
      </c>
      <c r="I3313" t="s">
        <v>21</v>
      </c>
    </row>
    <row r="3314" spans="1:9" x14ac:dyDescent="0.25">
      <c r="A3314">
        <v>20131107</v>
      </c>
      <c r="B3314" t="str">
        <f t="shared" si="231"/>
        <v>112482</v>
      </c>
      <c r="C3314" t="str">
        <f t="shared" si="232"/>
        <v>82286</v>
      </c>
      <c r="D3314" t="s">
        <v>532</v>
      </c>
      <c r="E3314">
        <v>48.89</v>
      </c>
      <c r="F3314">
        <v>20131101</v>
      </c>
      <c r="G3314" t="s">
        <v>543</v>
      </c>
      <c r="H3314" t="s">
        <v>534</v>
      </c>
      <c r="I3314" t="s">
        <v>21</v>
      </c>
    </row>
    <row r="3315" spans="1:9" x14ac:dyDescent="0.25">
      <c r="A3315">
        <v>20131107</v>
      </c>
      <c r="B3315" t="str">
        <f t="shared" si="231"/>
        <v>112482</v>
      </c>
      <c r="C3315" t="str">
        <f t="shared" si="232"/>
        <v>82286</v>
      </c>
      <c r="D3315" t="s">
        <v>532</v>
      </c>
      <c r="E3315">
        <v>293.37</v>
      </c>
      <c r="F3315">
        <v>20131101</v>
      </c>
      <c r="G3315" t="s">
        <v>544</v>
      </c>
      <c r="H3315" t="s">
        <v>534</v>
      </c>
      <c r="I3315" t="s">
        <v>21</v>
      </c>
    </row>
    <row r="3316" spans="1:9" x14ac:dyDescent="0.25">
      <c r="A3316">
        <v>20131107</v>
      </c>
      <c r="B3316" t="str">
        <f t="shared" si="231"/>
        <v>112482</v>
      </c>
      <c r="C3316" t="str">
        <f t="shared" si="232"/>
        <v>82286</v>
      </c>
      <c r="D3316" t="s">
        <v>532</v>
      </c>
      <c r="E3316">
        <v>293.38</v>
      </c>
      <c r="F3316">
        <v>20131101</v>
      </c>
      <c r="G3316" t="s">
        <v>545</v>
      </c>
      <c r="H3316" t="s">
        <v>534</v>
      </c>
      <c r="I3316" t="s">
        <v>21</v>
      </c>
    </row>
    <row r="3317" spans="1:9" x14ac:dyDescent="0.25">
      <c r="A3317">
        <v>20131107</v>
      </c>
      <c r="B3317" t="str">
        <f>"112483"</f>
        <v>112483</v>
      </c>
      <c r="C3317" t="str">
        <f>"25700"</f>
        <v>25700</v>
      </c>
      <c r="D3317" t="s">
        <v>1975</v>
      </c>
      <c r="E3317">
        <v>19.760000000000002</v>
      </c>
      <c r="F3317">
        <v>20131105</v>
      </c>
      <c r="G3317" t="s">
        <v>1672</v>
      </c>
      <c r="H3317" t="s">
        <v>1976</v>
      </c>
      <c r="I3317" t="s">
        <v>21</v>
      </c>
    </row>
    <row r="3318" spans="1:9" x14ac:dyDescent="0.25">
      <c r="A3318">
        <v>20131107</v>
      </c>
      <c r="B3318" t="str">
        <f>"112484"</f>
        <v>112484</v>
      </c>
      <c r="C3318" t="str">
        <f>"82232"</f>
        <v>82232</v>
      </c>
      <c r="D3318" t="s">
        <v>1977</v>
      </c>
      <c r="E3318">
        <v>200</v>
      </c>
      <c r="F3318">
        <v>20131101</v>
      </c>
      <c r="G3318" t="s">
        <v>347</v>
      </c>
      <c r="H3318" t="s">
        <v>1978</v>
      </c>
      <c r="I3318" t="s">
        <v>61</v>
      </c>
    </row>
    <row r="3319" spans="1:9" x14ac:dyDescent="0.25">
      <c r="A3319">
        <v>20131107</v>
      </c>
      <c r="B3319" t="str">
        <f>"112485"</f>
        <v>112485</v>
      </c>
      <c r="C3319" t="str">
        <f>"26990"</f>
        <v>26990</v>
      </c>
      <c r="D3319" t="s">
        <v>548</v>
      </c>
      <c r="E3319">
        <v>40</v>
      </c>
      <c r="F3319">
        <v>20131101</v>
      </c>
      <c r="G3319" t="s">
        <v>1979</v>
      </c>
      <c r="H3319" t="s">
        <v>1410</v>
      </c>
      <c r="I3319" t="s">
        <v>21</v>
      </c>
    </row>
    <row r="3320" spans="1:9" x14ac:dyDescent="0.25">
      <c r="A3320">
        <v>20131107</v>
      </c>
      <c r="B3320" t="str">
        <f>"112486"</f>
        <v>112486</v>
      </c>
      <c r="C3320" t="str">
        <f>"87598"</f>
        <v>87598</v>
      </c>
      <c r="D3320" t="s">
        <v>1980</v>
      </c>
      <c r="E3320" s="1">
        <v>1323</v>
      </c>
      <c r="F3320">
        <v>20131106</v>
      </c>
      <c r="G3320" t="s">
        <v>1981</v>
      </c>
      <c r="H3320" t="s">
        <v>1982</v>
      </c>
      <c r="I3320" t="s">
        <v>38</v>
      </c>
    </row>
    <row r="3321" spans="1:9" x14ac:dyDescent="0.25">
      <c r="A3321">
        <v>20131107</v>
      </c>
      <c r="B3321" t="str">
        <f>"112487"</f>
        <v>112487</v>
      </c>
      <c r="C3321" t="str">
        <f>"86945"</f>
        <v>86945</v>
      </c>
      <c r="D3321" t="s">
        <v>1589</v>
      </c>
      <c r="E3321">
        <v>213.06</v>
      </c>
      <c r="F3321">
        <v>20131105</v>
      </c>
      <c r="G3321" t="s">
        <v>1145</v>
      </c>
      <c r="H3321" t="s">
        <v>365</v>
      </c>
      <c r="I3321" t="s">
        <v>73</v>
      </c>
    </row>
    <row r="3322" spans="1:9" x14ac:dyDescent="0.25">
      <c r="A3322">
        <v>20131107</v>
      </c>
      <c r="B3322" t="str">
        <f>"112488"</f>
        <v>112488</v>
      </c>
      <c r="C3322" t="str">
        <f>"87593"</f>
        <v>87593</v>
      </c>
      <c r="D3322" t="s">
        <v>1983</v>
      </c>
      <c r="E3322">
        <v>45</v>
      </c>
      <c r="F3322">
        <v>20131105</v>
      </c>
      <c r="G3322" t="s">
        <v>1775</v>
      </c>
      <c r="H3322" t="s">
        <v>607</v>
      </c>
      <c r="I3322" t="s">
        <v>21</v>
      </c>
    </row>
    <row r="3323" spans="1:9" x14ac:dyDescent="0.25">
      <c r="A3323">
        <v>20131107</v>
      </c>
      <c r="B3323" t="str">
        <f>"112489"</f>
        <v>112489</v>
      </c>
      <c r="C3323" t="str">
        <f>"30000"</f>
        <v>30000</v>
      </c>
      <c r="D3323" t="s">
        <v>556</v>
      </c>
      <c r="E3323">
        <v>149.80000000000001</v>
      </c>
      <c r="F3323">
        <v>20131101</v>
      </c>
      <c r="G3323" t="s">
        <v>834</v>
      </c>
      <c r="H3323" t="s">
        <v>1984</v>
      </c>
      <c r="I3323" t="s">
        <v>21</v>
      </c>
    </row>
    <row r="3324" spans="1:9" x14ac:dyDescent="0.25">
      <c r="A3324">
        <v>20131107</v>
      </c>
      <c r="B3324" t="str">
        <f>"112490"</f>
        <v>112490</v>
      </c>
      <c r="C3324" t="str">
        <f>"87153"</f>
        <v>87153</v>
      </c>
      <c r="D3324" t="s">
        <v>848</v>
      </c>
      <c r="E3324">
        <v>55.44</v>
      </c>
      <c r="F3324">
        <v>20131101</v>
      </c>
      <c r="G3324" t="s">
        <v>1112</v>
      </c>
      <c r="H3324" t="s">
        <v>365</v>
      </c>
      <c r="I3324" t="s">
        <v>66</v>
      </c>
    </row>
    <row r="3325" spans="1:9" x14ac:dyDescent="0.25">
      <c r="A3325">
        <v>20131107</v>
      </c>
      <c r="B3325" t="str">
        <f>"112491"</f>
        <v>112491</v>
      </c>
      <c r="C3325" t="str">
        <f>"87592"</f>
        <v>87592</v>
      </c>
      <c r="D3325" t="s">
        <v>1985</v>
      </c>
      <c r="E3325">
        <v>55.44</v>
      </c>
      <c r="F3325">
        <v>20131105</v>
      </c>
      <c r="G3325" t="s">
        <v>1227</v>
      </c>
      <c r="H3325" t="s">
        <v>365</v>
      </c>
      <c r="I3325" t="s">
        <v>21</v>
      </c>
    </row>
    <row r="3326" spans="1:9" x14ac:dyDescent="0.25">
      <c r="A3326">
        <v>20131107</v>
      </c>
      <c r="B3326" t="str">
        <f>"112492"</f>
        <v>112492</v>
      </c>
      <c r="C3326" t="str">
        <f>"87594"</f>
        <v>87594</v>
      </c>
      <c r="D3326" t="s">
        <v>1986</v>
      </c>
      <c r="E3326">
        <v>300</v>
      </c>
      <c r="F3326">
        <v>20131105</v>
      </c>
      <c r="G3326" t="s">
        <v>367</v>
      </c>
      <c r="H3326" t="s">
        <v>1575</v>
      </c>
      <c r="I3326" t="s">
        <v>21</v>
      </c>
    </row>
    <row r="3327" spans="1:9" x14ac:dyDescent="0.25">
      <c r="A3327">
        <v>20131107</v>
      </c>
      <c r="B3327" t="str">
        <f>"112493"</f>
        <v>112493</v>
      </c>
      <c r="C3327" t="str">
        <f>"00095"</f>
        <v>00095</v>
      </c>
      <c r="D3327" t="s">
        <v>1987</v>
      </c>
      <c r="E3327">
        <v>120</v>
      </c>
      <c r="F3327">
        <v>20131105</v>
      </c>
      <c r="G3327" t="s">
        <v>1488</v>
      </c>
      <c r="H3327" t="s">
        <v>1988</v>
      </c>
      <c r="I3327" t="s">
        <v>25</v>
      </c>
    </row>
    <row r="3328" spans="1:9" x14ac:dyDescent="0.25">
      <c r="A3328">
        <v>20131107</v>
      </c>
      <c r="B3328" t="str">
        <f>"112494"</f>
        <v>112494</v>
      </c>
      <c r="C3328" t="str">
        <f>"85468"</f>
        <v>85468</v>
      </c>
      <c r="D3328" t="s">
        <v>860</v>
      </c>
      <c r="E3328">
        <v>29.85</v>
      </c>
      <c r="F3328">
        <v>20131106</v>
      </c>
      <c r="G3328" t="s">
        <v>580</v>
      </c>
      <c r="H3328" t="s">
        <v>354</v>
      </c>
      <c r="I3328" t="s">
        <v>21</v>
      </c>
    </row>
    <row r="3329" spans="1:9" x14ac:dyDescent="0.25">
      <c r="A3329">
        <v>20131107</v>
      </c>
      <c r="B3329" t="str">
        <f>"112495"</f>
        <v>112495</v>
      </c>
      <c r="C3329" t="str">
        <f>"86978"</f>
        <v>86978</v>
      </c>
      <c r="D3329" t="s">
        <v>1092</v>
      </c>
      <c r="E3329">
        <v>70</v>
      </c>
      <c r="F3329">
        <v>20131101</v>
      </c>
      <c r="G3329" t="s">
        <v>1093</v>
      </c>
      <c r="H3329" t="s">
        <v>765</v>
      </c>
      <c r="I3329" t="s">
        <v>61</v>
      </c>
    </row>
    <row r="3330" spans="1:9" x14ac:dyDescent="0.25">
      <c r="A3330">
        <v>20131107</v>
      </c>
      <c r="B3330" t="str">
        <f>"112496"</f>
        <v>112496</v>
      </c>
      <c r="C3330" t="str">
        <f>"87596"</f>
        <v>87596</v>
      </c>
      <c r="D3330" t="s">
        <v>1989</v>
      </c>
      <c r="E3330">
        <v>99</v>
      </c>
      <c r="F3330">
        <v>20131106</v>
      </c>
      <c r="G3330" t="s">
        <v>1729</v>
      </c>
      <c r="H3330" t="s">
        <v>1990</v>
      </c>
      <c r="I3330" t="s">
        <v>61</v>
      </c>
    </row>
    <row r="3331" spans="1:9" x14ac:dyDescent="0.25">
      <c r="A3331">
        <v>20131107</v>
      </c>
      <c r="B3331" t="str">
        <f>"112497"</f>
        <v>112497</v>
      </c>
      <c r="C3331" t="str">
        <f>"86683"</f>
        <v>86683</v>
      </c>
      <c r="D3331" t="s">
        <v>1249</v>
      </c>
      <c r="E3331">
        <v>54.63</v>
      </c>
      <c r="F3331">
        <v>20131105</v>
      </c>
      <c r="G3331" t="s">
        <v>1250</v>
      </c>
      <c r="H3331" t="s">
        <v>365</v>
      </c>
      <c r="I3331" t="s">
        <v>66</v>
      </c>
    </row>
    <row r="3332" spans="1:9" x14ac:dyDescent="0.25">
      <c r="A3332">
        <v>20131107</v>
      </c>
      <c r="B3332" t="str">
        <f>"112497"</f>
        <v>112497</v>
      </c>
      <c r="C3332" t="str">
        <f>"86683"</f>
        <v>86683</v>
      </c>
      <c r="D3332" t="s">
        <v>1249</v>
      </c>
      <c r="E3332">
        <v>53.37</v>
      </c>
      <c r="F3332">
        <v>20131106</v>
      </c>
      <c r="G3332" t="s">
        <v>1250</v>
      </c>
      <c r="H3332" t="s">
        <v>365</v>
      </c>
      <c r="I3332" t="s">
        <v>66</v>
      </c>
    </row>
    <row r="3333" spans="1:9" x14ac:dyDescent="0.25">
      <c r="A3333">
        <v>20131107</v>
      </c>
      <c r="B3333" t="str">
        <f>"112498"</f>
        <v>112498</v>
      </c>
      <c r="C3333" t="str">
        <f>"81525"</f>
        <v>81525</v>
      </c>
      <c r="D3333" t="s">
        <v>1252</v>
      </c>
      <c r="E3333">
        <v>18.45</v>
      </c>
      <c r="F3333">
        <v>20131101</v>
      </c>
      <c r="G3333" t="s">
        <v>601</v>
      </c>
      <c r="H3333" t="s">
        <v>563</v>
      </c>
      <c r="I3333" t="s">
        <v>21</v>
      </c>
    </row>
    <row r="3334" spans="1:9" x14ac:dyDescent="0.25">
      <c r="A3334">
        <v>20131107</v>
      </c>
      <c r="B3334" t="str">
        <f>"112499"</f>
        <v>112499</v>
      </c>
      <c r="C3334" t="str">
        <f>"36723"</f>
        <v>36723</v>
      </c>
      <c r="D3334" t="s">
        <v>1991</v>
      </c>
      <c r="E3334">
        <v>40.549999999999997</v>
      </c>
      <c r="F3334">
        <v>20131106</v>
      </c>
      <c r="G3334" t="s">
        <v>145</v>
      </c>
      <c r="H3334" t="s">
        <v>1992</v>
      </c>
      <c r="I3334" t="s">
        <v>38</v>
      </c>
    </row>
    <row r="3335" spans="1:9" x14ac:dyDescent="0.25">
      <c r="A3335">
        <v>20131107</v>
      </c>
      <c r="B3335" t="str">
        <f>"112500"</f>
        <v>112500</v>
      </c>
      <c r="C3335" t="str">
        <f>"37725"</f>
        <v>37725</v>
      </c>
      <c r="D3335" t="s">
        <v>1255</v>
      </c>
      <c r="E3335">
        <v>392.94</v>
      </c>
      <c r="F3335">
        <v>20131101</v>
      </c>
      <c r="G3335" t="s">
        <v>808</v>
      </c>
      <c r="H3335" t="s">
        <v>921</v>
      </c>
      <c r="I3335" t="s">
        <v>21</v>
      </c>
    </row>
    <row r="3336" spans="1:9" x14ac:dyDescent="0.25">
      <c r="A3336">
        <v>20131107</v>
      </c>
      <c r="B3336" t="str">
        <f>"112500"</f>
        <v>112500</v>
      </c>
      <c r="C3336" t="str">
        <f>"37725"</f>
        <v>37725</v>
      </c>
      <c r="D3336" t="s">
        <v>1255</v>
      </c>
      <c r="E3336">
        <v>559.44000000000005</v>
      </c>
      <c r="F3336">
        <v>20131101</v>
      </c>
      <c r="G3336" t="s">
        <v>877</v>
      </c>
      <c r="H3336" t="s">
        <v>921</v>
      </c>
      <c r="I3336" t="s">
        <v>66</v>
      </c>
    </row>
    <row r="3337" spans="1:9" x14ac:dyDescent="0.25">
      <c r="A3337">
        <v>20131107</v>
      </c>
      <c r="B3337" t="str">
        <f>"112501"</f>
        <v>112501</v>
      </c>
      <c r="C3337" t="str">
        <f>"85862"</f>
        <v>85862</v>
      </c>
      <c r="D3337" t="s">
        <v>1993</v>
      </c>
      <c r="E3337">
        <v>60.66</v>
      </c>
      <c r="F3337">
        <v>20131105</v>
      </c>
      <c r="G3337" t="s">
        <v>120</v>
      </c>
      <c r="H3337" t="s">
        <v>563</v>
      </c>
      <c r="I3337" t="s">
        <v>38</v>
      </c>
    </row>
    <row r="3338" spans="1:9" x14ac:dyDescent="0.25">
      <c r="A3338">
        <v>20131107</v>
      </c>
      <c r="B3338" t="str">
        <f>"112502"</f>
        <v>112502</v>
      </c>
      <c r="C3338" t="str">
        <f>"87517"</f>
        <v>87517</v>
      </c>
      <c r="D3338" t="s">
        <v>1994</v>
      </c>
      <c r="E3338">
        <v>29.95</v>
      </c>
      <c r="F3338">
        <v>20131101</v>
      </c>
      <c r="G3338" t="s">
        <v>935</v>
      </c>
      <c r="H3338" t="s">
        <v>1995</v>
      </c>
      <c r="I3338" t="s">
        <v>21</v>
      </c>
    </row>
    <row r="3339" spans="1:9" x14ac:dyDescent="0.25">
      <c r="A3339">
        <v>20131107</v>
      </c>
      <c r="B3339" t="str">
        <f>"112503"</f>
        <v>112503</v>
      </c>
      <c r="C3339" t="str">
        <f>"85363"</f>
        <v>85363</v>
      </c>
      <c r="D3339" t="s">
        <v>1996</v>
      </c>
      <c r="E3339" s="1">
        <v>19185</v>
      </c>
      <c r="F3339">
        <v>20131106</v>
      </c>
      <c r="G3339" t="s">
        <v>1464</v>
      </c>
      <c r="H3339" t="s">
        <v>1997</v>
      </c>
      <c r="I3339" t="s">
        <v>21</v>
      </c>
    </row>
    <row r="3340" spans="1:9" x14ac:dyDescent="0.25">
      <c r="A3340">
        <v>20131107</v>
      </c>
      <c r="B3340" t="str">
        <f>"112504"</f>
        <v>112504</v>
      </c>
      <c r="C3340" t="str">
        <f>"82061"</f>
        <v>82061</v>
      </c>
      <c r="D3340" t="s">
        <v>1998</v>
      </c>
      <c r="E3340">
        <v>59.95</v>
      </c>
      <c r="F3340">
        <v>20131101</v>
      </c>
      <c r="G3340" t="s">
        <v>340</v>
      </c>
      <c r="H3340" t="s">
        <v>1999</v>
      </c>
      <c r="I3340" t="s">
        <v>21</v>
      </c>
    </row>
    <row r="3341" spans="1:9" x14ac:dyDescent="0.25">
      <c r="A3341">
        <v>20131107</v>
      </c>
      <c r="B3341" t="str">
        <f>"112505"</f>
        <v>112505</v>
      </c>
      <c r="C3341" t="str">
        <f>"00267"</f>
        <v>00267</v>
      </c>
      <c r="D3341" t="s">
        <v>2000</v>
      </c>
      <c r="E3341" s="1">
        <v>1260</v>
      </c>
      <c r="F3341">
        <v>20131105</v>
      </c>
      <c r="G3341" t="s">
        <v>603</v>
      </c>
      <c r="H3341" t="s">
        <v>921</v>
      </c>
      <c r="I3341" t="s">
        <v>25</v>
      </c>
    </row>
    <row r="3342" spans="1:9" x14ac:dyDescent="0.25">
      <c r="A3342">
        <v>20131107</v>
      </c>
      <c r="B3342" t="str">
        <f>"112506"</f>
        <v>112506</v>
      </c>
      <c r="C3342" t="str">
        <f>"43195"</f>
        <v>43195</v>
      </c>
      <c r="D3342" t="s">
        <v>2001</v>
      </c>
      <c r="E3342" s="1">
        <v>6862</v>
      </c>
      <c r="F3342">
        <v>20131101</v>
      </c>
      <c r="G3342" t="s">
        <v>2002</v>
      </c>
      <c r="H3342" t="s">
        <v>2003</v>
      </c>
      <c r="I3342" t="s">
        <v>21</v>
      </c>
    </row>
    <row r="3343" spans="1:9" x14ac:dyDescent="0.25">
      <c r="A3343">
        <v>20131107</v>
      </c>
      <c r="B3343" t="str">
        <f>"112507"</f>
        <v>112507</v>
      </c>
      <c r="C3343" t="str">
        <f>"87597"</f>
        <v>87597</v>
      </c>
      <c r="D3343" t="s">
        <v>2004</v>
      </c>
      <c r="E3343">
        <v>363.8</v>
      </c>
      <c r="F3343">
        <v>20131106</v>
      </c>
      <c r="G3343" t="s">
        <v>1250</v>
      </c>
      <c r="H3343" t="s">
        <v>921</v>
      </c>
      <c r="I3343" t="s">
        <v>66</v>
      </c>
    </row>
    <row r="3344" spans="1:9" x14ac:dyDescent="0.25">
      <c r="A3344">
        <v>20131107</v>
      </c>
      <c r="B3344" t="str">
        <f>"112508"</f>
        <v>112508</v>
      </c>
      <c r="C3344" t="str">
        <f>"82532"</f>
        <v>82532</v>
      </c>
      <c r="D3344" t="s">
        <v>2005</v>
      </c>
      <c r="E3344" s="1">
        <v>3745</v>
      </c>
      <c r="F3344">
        <v>20131104</v>
      </c>
      <c r="G3344" t="s">
        <v>340</v>
      </c>
      <c r="H3344" t="s">
        <v>2006</v>
      </c>
      <c r="I3344" t="s">
        <v>21</v>
      </c>
    </row>
    <row r="3345" spans="1:9" x14ac:dyDescent="0.25">
      <c r="A3345">
        <v>20131107</v>
      </c>
      <c r="B3345" t="str">
        <f>"112509"</f>
        <v>112509</v>
      </c>
      <c r="C3345" t="str">
        <f>"45446"</f>
        <v>45446</v>
      </c>
      <c r="D3345" t="s">
        <v>2007</v>
      </c>
      <c r="E3345">
        <v>120</v>
      </c>
      <c r="F3345">
        <v>20131106</v>
      </c>
      <c r="G3345" t="s">
        <v>2008</v>
      </c>
      <c r="H3345" t="s">
        <v>553</v>
      </c>
      <c r="I3345" t="s">
        <v>25</v>
      </c>
    </row>
    <row r="3346" spans="1:9" x14ac:dyDescent="0.25">
      <c r="A3346">
        <v>20131107</v>
      </c>
      <c r="B3346" t="str">
        <f>"112510"</f>
        <v>112510</v>
      </c>
      <c r="C3346" t="str">
        <f>"45760"</f>
        <v>45760</v>
      </c>
      <c r="D3346" t="s">
        <v>895</v>
      </c>
      <c r="E3346">
        <v>70</v>
      </c>
      <c r="F3346">
        <v>20131101</v>
      </c>
      <c r="G3346" t="s">
        <v>1093</v>
      </c>
      <c r="H3346" t="s">
        <v>765</v>
      </c>
      <c r="I3346" t="s">
        <v>61</v>
      </c>
    </row>
    <row r="3347" spans="1:9" x14ac:dyDescent="0.25">
      <c r="A3347">
        <v>20131107</v>
      </c>
      <c r="B3347" t="str">
        <f>"112511"</f>
        <v>112511</v>
      </c>
      <c r="C3347" t="str">
        <f>"87473"</f>
        <v>87473</v>
      </c>
      <c r="D3347" t="s">
        <v>160</v>
      </c>
      <c r="E3347">
        <v>220</v>
      </c>
      <c r="F3347">
        <v>20131106</v>
      </c>
      <c r="G3347" t="s">
        <v>2009</v>
      </c>
      <c r="H3347" t="s">
        <v>357</v>
      </c>
      <c r="I3347" t="s">
        <v>21</v>
      </c>
    </row>
    <row r="3348" spans="1:9" x14ac:dyDescent="0.25">
      <c r="A3348">
        <v>20131107</v>
      </c>
      <c r="B3348" t="str">
        <f>"112512"</f>
        <v>112512</v>
      </c>
      <c r="C3348" t="str">
        <f>"48820"</f>
        <v>48820</v>
      </c>
      <c r="D3348" t="s">
        <v>1106</v>
      </c>
      <c r="E3348">
        <v>144.25</v>
      </c>
      <c r="F3348">
        <v>20131106</v>
      </c>
      <c r="G3348" t="s">
        <v>209</v>
      </c>
      <c r="H3348" t="s">
        <v>354</v>
      </c>
      <c r="I3348" t="s">
        <v>25</v>
      </c>
    </row>
    <row r="3349" spans="1:9" x14ac:dyDescent="0.25">
      <c r="A3349">
        <v>20131107</v>
      </c>
      <c r="B3349" t="str">
        <f>"112512"</f>
        <v>112512</v>
      </c>
      <c r="C3349" t="str">
        <f>"48820"</f>
        <v>48820</v>
      </c>
      <c r="D3349" t="s">
        <v>1106</v>
      </c>
      <c r="E3349">
        <v>18.98</v>
      </c>
      <c r="F3349">
        <v>20131106</v>
      </c>
      <c r="G3349" t="s">
        <v>209</v>
      </c>
      <c r="H3349" t="s">
        <v>354</v>
      </c>
      <c r="I3349" t="s">
        <v>25</v>
      </c>
    </row>
    <row r="3350" spans="1:9" x14ac:dyDescent="0.25">
      <c r="A3350">
        <v>20131107</v>
      </c>
      <c r="B3350" t="str">
        <f>"112512"</f>
        <v>112512</v>
      </c>
      <c r="C3350" t="str">
        <f>"48820"</f>
        <v>48820</v>
      </c>
      <c r="D3350" t="s">
        <v>1106</v>
      </c>
      <c r="E3350">
        <v>469.61</v>
      </c>
      <c r="F3350">
        <v>20131106</v>
      </c>
      <c r="G3350" t="s">
        <v>209</v>
      </c>
      <c r="H3350" t="s">
        <v>354</v>
      </c>
      <c r="I3350" t="s">
        <v>25</v>
      </c>
    </row>
    <row r="3351" spans="1:9" x14ac:dyDescent="0.25">
      <c r="A3351">
        <v>20131107</v>
      </c>
      <c r="B3351" t="str">
        <f>"112512"</f>
        <v>112512</v>
      </c>
      <c r="C3351" t="str">
        <f>"48820"</f>
        <v>48820</v>
      </c>
      <c r="D3351" t="s">
        <v>1106</v>
      </c>
      <c r="E3351">
        <v>41.23</v>
      </c>
      <c r="F3351">
        <v>20131106</v>
      </c>
      <c r="G3351" t="s">
        <v>209</v>
      </c>
      <c r="H3351" t="s">
        <v>354</v>
      </c>
      <c r="I3351" t="s">
        <v>25</v>
      </c>
    </row>
    <row r="3352" spans="1:9" x14ac:dyDescent="0.25">
      <c r="A3352">
        <v>20131107</v>
      </c>
      <c r="B3352" t="str">
        <f>"112512"</f>
        <v>112512</v>
      </c>
      <c r="C3352" t="str">
        <f>"48820"</f>
        <v>48820</v>
      </c>
      <c r="D3352" t="s">
        <v>1106</v>
      </c>
      <c r="E3352">
        <v>50</v>
      </c>
      <c r="F3352">
        <v>20131106</v>
      </c>
      <c r="G3352" t="s">
        <v>209</v>
      </c>
      <c r="H3352" t="s">
        <v>354</v>
      </c>
      <c r="I3352" t="s">
        <v>25</v>
      </c>
    </row>
    <row r="3353" spans="1:9" x14ac:dyDescent="0.25">
      <c r="A3353">
        <v>20131107</v>
      </c>
      <c r="B3353" t="str">
        <f>"112513"</f>
        <v>112513</v>
      </c>
      <c r="C3353" t="str">
        <f>"49833"</f>
        <v>49833</v>
      </c>
      <c r="D3353" t="s">
        <v>2010</v>
      </c>
      <c r="E3353" s="1">
        <v>31462.9</v>
      </c>
      <c r="F3353">
        <v>20131105</v>
      </c>
      <c r="G3353" t="s">
        <v>2011</v>
      </c>
      <c r="H3353" t="s">
        <v>2012</v>
      </c>
      <c r="I3353" t="s">
        <v>21</v>
      </c>
    </row>
    <row r="3354" spans="1:9" x14ac:dyDescent="0.25">
      <c r="A3354">
        <v>20131107</v>
      </c>
      <c r="B3354" t="str">
        <f>"112514"</f>
        <v>112514</v>
      </c>
      <c r="C3354" t="str">
        <f>"82192"</f>
        <v>82192</v>
      </c>
      <c r="D3354" t="s">
        <v>642</v>
      </c>
      <c r="E3354" s="1">
        <v>6524</v>
      </c>
      <c r="F3354">
        <v>20131105</v>
      </c>
      <c r="G3354" t="s">
        <v>643</v>
      </c>
      <c r="H3354" t="s">
        <v>488</v>
      </c>
      <c r="I3354" t="s">
        <v>21</v>
      </c>
    </row>
    <row r="3355" spans="1:9" x14ac:dyDescent="0.25">
      <c r="A3355">
        <v>20131107</v>
      </c>
      <c r="B3355" t="str">
        <f>"112515"</f>
        <v>112515</v>
      </c>
      <c r="C3355" t="str">
        <f>"00375"</f>
        <v>00375</v>
      </c>
      <c r="D3355" t="s">
        <v>1783</v>
      </c>
      <c r="E3355" s="1">
        <v>1677</v>
      </c>
      <c r="F3355">
        <v>20131101</v>
      </c>
      <c r="G3355" t="s">
        <v>1784</v>
      </c>
      <c r="H3355" t="s">
        <v>1360</v>
      </c>
      <c r="I3355" t="s">
        <v>21</v>
      </c>
    </row>
    <row r="3356" spans="1:9" x14ac:dyDescent="0.25">
      <c r="A3356">
        <v>20131107</v>
      </c>
      <c r="B3356" t="str">
        <f>"112516"</f>
        <v>112516</v>
      </c>
      <c r="C3356" t="str">
        <f>"85770"</f>
        <v>85770</v>
      </c>
      <c r="D3356" t="s">
        <v>363</v>
      </c>
      <c r="E3356">
        <v>26.15</v>
      </c>
      <c r="F3356">
        <v>20131106</v>
      </c>
      <c r="G3356" t="s">
        <v>364</v>
      </c>
      <c r="H3356" t="s">
        <v>563</v>
      </c>
      <c r="I3356" t="s">
        <v>21</v>
      </c>
    </row>
    <row r="3357" spans="1:9" x14ac:dyDescent="0.25">
      <c r="A3357">
        <v>20131107</v>
      </c>
      <c r="B3357" t="str">
        <f>"112516"</f>
        <v>112516</v>
      </c>
      <c r="C3357" t="str">
        <f>"85770"</f>
        <v>85770</v>
      </c>
      <c r="D3357" t="s">
        <v>363</v>
      </c>
      <c r="E3357">
        <v>41.31</v>
      </c>
      <c r="F3357">
        <v>20131106</v>
      </c>
      <c r="G3357" t="s">
        <v>364</v>
      </c>
      <c r="H3357" t="s">
        <v>563</v>
      </c>
      <c r="I3357" t="s">
        <v>21</v>
      </c>
    </row>
    <row r="3358" spans="1:9" x14ac:dyDescent="0.25">
      <c r="A3358">
        <v>20131107</v>
      </c>
      <c r="B3358" t="str">
        <f>"112517"</f>
        <v>112517</v>
      </c>
      <c r="C3358" t="str">
        <f>"85984"</f>
        <v>85984</v>
      </c>
      <c r="D3358" t="s">
        <v>2013</v>
      </c>
      <c r="E3358">
        <v>7.34</v>
      </c>
      <c r="F3358">
        <v>20131105</v>
      </c>
      <c r="G3358" t="s">
        <v>426</v>
      </c>
      <c r="H3358" t="s">
        <v>968</v>
      </c>
      <c r="I3358" t="s">
        <v>21</v>
      </c>
    </row>
    <row r="3359" spans="1:9" x14ac:dyDescent="0.25">
      <c r="A3359">
        <v>20131107</v>
      </c>
      <c r="B3359" t="str">
        <f>"112518"</f>
        <v>112518</v>
      </c>
      <c r="C3359" t="str">
        <f>"87096"</f>
        <v>87096</v>
      </c>
      <c r="D3359" t="s">
        <v>1637</v>
      </c>
      <c r="E3359">
        <v>345</v>
      </c>
      <c r="F3359">
        <v>20131106</v>
      </c>
      <c r="G3359" t="s">
        <v>1638</v>
      </c>
      <c r="H3359" t="s">
        <v>357</v>
      </c>
      <c r="I3359" t="s">
        <v>21</v>
      </c>
    </row>
    <row r="3360" spans="1:9" x14ac:dyDescent="0.25">
      <c r="A3360">
        <v>20131107</v>
      </c>
      <c r="B3360" t="str">
        <f>"112519"</f>
        <v>112519</v>
      </c>
      <c r="C3360" t="str">
        <f>"87575"</f>
        <v>87575</v>
      </c>
      <c r="D3360" t="s">
        <v>1904</v>
      </c>
      <c r="E3360">
        <v>647.5</v>
      </c>
      <c r="F3360">
        <v>20131105</v>
      </c>
      <c r="G3360" t="s">
        <v>189</v>
      </c>
      <c r="H3360" t="s">
        <v>357</v>
      </c>
      <c r="I3360" t="s">
        <v>25</v>
      </c>
    </row>
    <row r="3361" spans="1:9" x14ac:dyDescent="0.25">
      <c r="A3361">
        <v>20131107</v>
      </c>
      <c r="B3361" t="str">
        <f>"112520"</f>
        <v>112520</v>
      </c>
      <c r="C3361" t="str">
        <f>"00760"</f>
        <v>00760</v>
      </c>
      <c r="D3361" t="s">
        <v>920</v>
      </c>
      <c r="E3361">
        <v>194</v>
      </c>
      <c r="F3361">
        <v>20131101</v>
      </c>
      <c r="G3361" t="s">
        <v>982</v>
      </c>
      <c r="H3361" t="s">
        <v>921</v>
      </c>
      <c r="I3361" t="s">
        <v>21</v>
      </c>
    </row>
    <row r="3362" spans="1:9" x14ac:dyDescent="0.25">
      <c r="A3362">
        <v>20131107</v>
      </c>
      <c r="B3362" t="str">
        <f>"112521"</f>
        <v>112521</v>
      </c>
      <c r="C3362" t="str">
        <f>"52518"</f>
        <v>52518</v>
      </c>
      <c r="D3362" t="s">
        <v>647</v>
      </c>
      <c r="E3362">
        <v>0</v>
      </c>
      <c r="F3362">
        <v>20131101</v>
      </c>
      <c r="G3362" t="s">
        <v>498</v>
      </c>
      <c r="H3362" t="s">
        <v>2014</v>
      </c>
      <c r="I3362" t="s">
        <v>21</v>
      </c>
    </row>
    <row r="3363" spans="1:9" x14ac:dyDescent="0.25">
      <c r="A3363">
        <v>20131107</v>
      </c>
      <c r="B3363" t="str">
        <f>"112521"</f>
        <v>112521</v>
      </c>
      <c r="C3363" t="str">
        <f>"52518"</f>
        <v>52518</v>
      </c>
      <c r="D3363" t="s">
        <v>647</v>
      </c>
      <c r="E3363">
        <v>0</v>
      </c>
      <c r="F3363">
        <v>20131101</v>
      </c>
      <c r="G3363" t="s">
        <v>496</v>
      </c>
      <c r="H3363" t="s">
        <v>2015</v>
      </c>
      <c r="I3363" t="s">
        <v>21</v>
      </c>
    </row>
    <row r="3364" spans="1:9" x14ac:dyDescent="0.25">
      <c r="A3364">
        <v>20131107</v>
      </c>
      <c r="B3364" t="str">
        <f>"112522"</f>
        <v>112522</v>
      </c>
      <c r="C3364" t="str">
        <f>"53650"</f>
        <v>53650</v>
      </c>
      <c r="D3364" t="s">
        <v>1492</v>
      </c>
      <c r="E3364">
        <v>0</v>
      </c>
      <c r="F3364">
        <v>20131106</v>
      </c>
      <c r="G3364" t="s">
        <v>837</v>
      </c>
      <c r="H3364" t="s">
        <v>2016</v>
      </c>
      <c r="I3364" t="s">
        <v>21</v>
      </c>
    </row>
    <row r="3365" spans="1:9" x14ac:dyDescent="0.25">
      <c r="A3365">
        <v>20131107</v>
      </c>
      <c r="B3365" t="str">
        <f>"112523"</f>
        <v>112523</v>
      </c>
      <c r="C3365" t="str">
        <f>"53725"</f>
        <v>53725</v>
      </c>
      <c r="D3365" t="s">
        <v>2017</v>
      </c>
      <c r="E3365">
        <v>0</v>
      </c>
      <c r="F3365">
        <v>20131101</v>
      </c>
      <c r="G3365" t="s">
        <v>347</v>
      </c>
      <c r="H3365" t="s">
        <v>2018</v>
      </c>
      <c r="I3365" t="s">
        <v>61</v>
      </c>
    </row>
    <row r="3366" spans="1:9" x14ac:dyDescent="0.25">
      <c r="A3366">
        <v>20131107</v>
      </c>
      <c r="B3366" t="str">
        <f>"112524"</f>
        <v>112524</v>
      </c>
      <c r="C3366" t="str">
        <f>"00659"</f>
        <v>00659</v>
      </c>
      <c r="D3366" t="s">
        <v>2019</v>
      </c>
      <c r="E3366">
        <v>0</v>
      </c>
      <c r="F3366">
        <v>20131101</v>
      </c>
      <c r="G3366" t="s">
        <v>347</v>
      </c>
      <c r="H3366" t="s">
        <v>2020</v>
      </c>
      <c r="I3366" t="s">
        <v>61</v>
      </c>
    </row>
    <row r="3367" spans="1:9" x14ac:dyDescent="0.25">
      <c r="A3367">
        <v>20131107</v>
      </c>
      <c r="B3367" t="str">
        <f>"112525"</f>
        <v>112525</v>
      </c>
      <c r="C3367" t="str">
        <f>"85114"</f>
        <v>85114</v>
      </c>
      <c r="D3367" t="s">
        <v>1497</v>
      </c>
      <c r="E3367">
        <v>0</v>
      </c>
      <c r="F3367">
        <v>20131101</v>
      </c>
      <c r="G3367" t="s">
        <v>1052</v>
      </c>
      <c r="H3367" t="s">
        <v>2018</v>
      </c>
      <c r="I3367" t="s">
        <v>25</v>
      </c>
    </row>
    <row r="3368" spans="1:9" x14ac:dyDescent="0.25">
      <c r="A3368">
        <v>20131107</v>
      </c>
      <c r="B3368" t="str">
        <f>"112526"</f>
        <v>112526</v>
      </c>
      <c r="C3368" t="str">
        <f>"58675"</f>
        <v>58675</v>
      </c>
      <c r="D3368" t="s">
        <v>657</v>
      </c>
      <c r="E3368">
        <v>0</v>
      </c>
      <c r="F3368">
        <v>20131104</v>
      </c>
      <c r="G3368" t="s">
        <v>498</v>
      </c>
      <c r="H3368" t="s">
        <v>2021</v>
      </c>
      <c r="I3368" t="s">
        <v>21</v>
      </c>
    </row>
    <row r="3369" spans="1:9" x14ac:dyDescent="0.25">
      <c r="A3369">
        <v>20131107</v>
      </c>
      <c r="B3369" t="str">
        <f>"112527"</f>
        <v>112527</v>
      </c>
      <c r="C3369" t="str">
        <f>"58784"</f>
        <v>58784</v>
      </c>
      <c r="D3369" t="s">
        <v>658</v>
      </c>
      <c r="E3369">
        <v>0</v>
      </c>
      <c r="F3369">
        <v>20131105</v>
      </c>
      <c r="G3369" t="s">
        <v>659</v>
      </c>
      <c r="H3369" t="s">
        <v>2022</v>
      </c>
      <c r="I3369" t="s">
        <v>21</v>
      </c>
    </row>
    <row r="3370" spans="1:9" x14ac:dyDescent="0.25">
      <c r="A3370">
        <v>20131107</v>
      </c>
      <c r="B3370" t="str">
        <f>"112528"</f>
        <v>112528</v>
      </c>
      <c r="C3370" t="str">
        <f>"86746"</f>
        <v>86746</v>
      </c>
      <c r="D3370" t="s">
        <v>380</v>
      </c>
      <c r="E3370">
        <v>0</v>
      </c>
      <c r="F3370">
        <v>20131104</v>
      </c>
      <c r="G3370" t="s">
        <v>1504</v>
      </c>
      <c r="H3370" t="s">
        <v>2023</v>
      </c>
      <c r="I3370" t="s">
        <v>21</v>
      </c>
    </row>
    <row r="3371" spans="1:9" x14ac:dyDescent="0.25">
      <c r="A3371">
        <v>20131107</v>
      </c>
      <c r="B3371" t="str">
        <f>"112529"</f>
        <v>112529</v>
      </c>
      <c r="C3371" t="str">
        <f>"62451"</f>
        <v>62451</v>
      </c>
      <c r="D3371" t="s">
        <v>1797</v>
      </c>
      <c r="E3371">
        <v>0</v>
      </c>
      <c r="F3371">
        <v>20131101</v>
      </c>
      <c r="G3371" t="s">
        <v>39</v>
      </c>
      <c r="H3371" t="s">
        <v>2024</v>
      </c>
      <c r="I3371" t="s">
        <v>38</v>
      </c>
    </row>
    <row r="3372" spans="1:9" x14ac:dyDescent="0.25">
      <c r="A3372">
        <v>20131107</v>
      </c>
      <c r="B3372" t="str">
        <f>"112530"</f>
        <v>112530</v>
      </c>
      <c r="C3372" t="str">
        <f>"86376"</f>
        <v>86376</v>
      </c>
      <c r="D3372" t="s">
        <v>1661</v>
      </c>
      <c r="E3372">
        <v>0</v>
      </c>
      <c r="F3372">
        <v>20131101</v>
      </c>
      <c r="G3372" t="s">
        <v>840</v>
      </c>
      <c r="H3372" t="s">
        <v>2025</v>
      </c>
      <c r="I3372" t="s">
        <v>21</v>
      </c>
    </row>
    <row r="3373" spans="1:9" x14ac:dyDescent="0.25">
      <c r="A3373">
        <v>20131107</v>
      </c>
      <c r="B3373" t="str">
        <f>"112531"</f>
        <v>112531</v>
      </c>
      <c r="C3373" t="str">
        <f>"85353"</f>
        <v>85353</v>
      </c>
      <c r="D3373" t="s">
        <v>1814</v>
      </c>
      <c r="E3373">
        <v>0</v>
      </c>
      <c r="F3373">
        <v>20131106</v>
      </c>
      <c r="G3373" t="s">
        <v>119</v>
      </c>
      <c r="H3373" t="s">
        <v>2026</v>
      </c>
      <c r="I3373" t="s">
        <v>38</v>
      </c>
    </row>
    <row r="3374" spans="1:9" x14ac:dyDescent="0.25">
      <c r="A3374">
        <v>20131107</v>
      </c>
      <c r="B3374" t="str">
        <f>"112532"</f>
        <v>112532</v>
      </c>
      <c r="C3374" t="str">
        <f>"86853"</f>
        <v>86853</v>
      </c>
      <c r="D3374" t="s">
        <v>1149</v>
      </c>
      <c r="E3374">
        <v>0</v>
      </c>
      <c r="F3374">
        <v>20131106</v>
      </c>
      <c r="G3374" t="s">
        <v>145</v>
      </c>
      <c r="H3374" t="s">
        <v>2027</v>
      </c>
      <c r="I3374" t="s">
        <v>38</v>
      </c>
    </row>
    <row r="3375" spans="1:9" x14ac:dyDescent="0.25">
      <c r="A3375">
        <v>20131107</v>
      </c>
      <c r="B3375" t="str">
        <f>"112533"</f>
        <v>112533</v>
      </c>
      <c r="C3375" t="str">
        <f>"69335"</f>
        <v>69335</v>
      </c>
      <c r="D3375" t="s">
        <v>958</v>
      </c>
      <c r="E3375">
        <v>0</v>
      </c>
      <c r="F3375">
        <v>20131101</v>
      </c>
      <c r="G3375" t="s">
        <v>2028</v>
      </c>
      <c r="H3375" t="s">
        <v>2029</v>
      </c>
      <c r="I3375" t="s">
        <v>66</v>
      </c>
    </row>
    <row r="3376" spans="1:9" x14ac:dyDescent="0.25">
      <c r="A3376">
        <v>20131107</v>
      </c>
      <c r="B3376" t="str">
        <f>"112534"</f>
        <v>112534</v>
      </c>
      <c r="C3376" t="str">
        <f>"69500"</f>
        <v>69500</v>
      </c>
      <c r="D3376" t="s">
        <v>2030</v>
      </c>
      <c r="E3376">
        <v>0</v>
      </c>
      <c r="F3376">
        <v>20131106</v>
      </c>
      <c r="G3376" t="s">
        <v>145</v>
      </c>
      <c r="H3376" t="s">
        <v>2031</v>
      </c>
      <c r="I3376" t="s">
        <v>38</v>
      </c>
    </row>
    <row r="3377" spans="1:9" x14ac:dyDescent="0.25">
      <c r="A3377">
        <v>20131107</v>
      </c>
      <c r="B3377" t="str">
        <f>"112535"</f>
        <v>112535</v>
      </c>
      <c r="C3377" t="str">
        <f>"69575"</f>
        <v>69575</v>
      </c>
      <c r="D3377" t="s">
        <v>2032</v>
      </c>
      <c r="E3377">
        <v>0</v>
      </c>
      <c r="F3377">
        <v>20131101</v>
      </c>
      <c r="G3377" t="s">
        <v>1033</v>
      </c>
      <c r="H3377" t="s">
        <v>2033</v>
      </c>
      <c r="I3377" t="s">
        <v>21</v>
      </c>
    </row>
    <row r="3378" spans="1:9" x14ac:dyDescent="0.25">
      <c r="A3378">
        <v>20131107</v>
      </c>
      <c r="B3378" t="str">
        <f>"112536"</f>
        <v>112536</v>
      </c>
      <c r="C3378" t="str">
        <f>"00222"</f>
        <v>00222</v>
      </c>
      <c r="D3378" t="s">
        <v>2034</v>
      </c>
      <c r="E3378">
        <v>0</v>
      </c>
      <c r="F3378">
        <v>20131101</v>
      </c>
      <c r="G3378" t="s">
        <v>1672</v>
      </c>
      <c r="H3378" t="s">
        <v>2035</v>
      </c>
      <c r="I3378" t="s">
        <v>21</v>
      </c>
    </row>
    <row r="3379" spans="1:9" x14ac:dyDescent="0.25">
      <c r="A3379">
        <v>20131107</v>
      </c>
      <c r="B3379" t="str">
        <f>"112537"</f>
        <v>112537</v>
      </c>
      <c r="C3379" t="str">
        <f>"81458"</f>
        <v>81458</v>
      </c>
      <c r="D3379" t="s">
        <v>2036</v>
      </c>
      <c r="E3379">
        <v>0</v>
      </c>
      <c r="F3379">
        <v>20131106</v>
      </c>
      <c r="G3379" t="s">
        <v>2037</v>
      </c>
      <c r="H3379" t="s">
        <v>2038</v>
      </c>
      <c r="I3379" t="s">
        <v>21</v>
      </c>
    </row>
    <row r="3380" spans="1:9" x14ac:dyDescent="0.25">
      <c r="A3380">
        <v>20131107</v>
      </c>
      <c r="B3380" t="str">
        <f>"112538"</f>
        <v>112538</v>
      </c>
      <c r="C3380" t="str">
        <f>"71500"</f>
        <v>71500</v>
      </c>
      <c r="D3380" t="s">
        <v>966</v>
      </c>
      <c r="E3380">
        <v>0</v>
      </c>
      <c r="F3380">
        <v>20131101</v>
      </c>
      <c r="G3380" t="s">
        <v>810</v>
      </c>
      <c r="H3380" t="s">
        <v>2039</v>
      </c>
      <c r="I3380" t="s">
        <v>66</v>
      </c>
    </row>
    <row r="3381" spans="1:9" x14ac:dyDescent="0.25">
      <c r="A3381">
        <v>20131107</v>
      </c>
      <c r="B3381" t="str">
        <f>"112539"</f>
        <v>112539</v>
      </c>
      <c r="C3381" t="str">
        <f>"00085"</f>
        <v>00085</v>
      </c>
      <c r="D3381" t="s">
        <v>2040</v>
      </c>
      <c r="E3381">
        <v>0</v>
      </c>
      <c r="F3381">
        <v>20131105</v>
      </c>
      <c r="G3381" t="s">
        <v>1153</v>
      </c>
      <c r="H3381" t="s">
        <v>2041</v>
      </c>
      <c r="I3381" t="s">
        <v>61</v>
      </c>
    </row>
    <row r="3382" spans="1:9" x14ac:dyDescent="0.25">
      <c r="A3382">
        <v>20131107</v>
      </c>
      <c r="B3382" t="str">
        <f>"112540"</f>
        <v>112540</v>
      </c>
      <c r="C3382" t="str">
        <f>"86085"</f>
        <v>86085</v>
      </c>
      <c r="D3382" t="s">
        <v>703</v>
      </c>
      <c r="E3382">
        <v>0</v>
      </c>
      <c r="F3382">
        <v>20131106</v>
      </c>
      <c r="G3382" t="s">
        <v>819</v>
      </c>
      <c r="H3382" t="s">
        <v>2042</v>
      </c>
      <c r="I3382" t="s">
        <v>63</v>
      </c>
    </row>
    <row r="3383" spans="1:9" x14ac:dyDescent="0.25">
      <c r="A3383">
        <v>20131107</v>
      </c>
      <c r="B3383" t="str">
        <f>"112540"</f>
        <v>112540</v>
      </c>
      <c r="C3383" t="str">
        <f>"86085"</f>
        <v>86085</v>
      </c>
      <c r="D3383" t="s">
        <v>703</v>
      </c>
      <c r="E3383">
        <v>0</v>
      </c>
      <c r="F3383">
        <v>20131105</v>
      </c>
      <c r="G3383" t="s">
        <v>704</v>
      </c>
      <c r="H3383" t="s">
        <v>2043</v>
      </c>
      <c r="I3383" t="s">
        <v>21</v>
      </c>
    </row>
    <row r="3384" spans="1:9" x14ac:dyDescent="0.25">
      <c r="A3384">
        <v>20131107</v>
      </c>
      <c r="B3384" t="str">
        <f>"112541"</f>
        <v>112541</v>
      </c>
      <c r="C3384" t="str">
        <f>"75600"</f>
        <v>75600</v>
      </c>
      <c r="D3384" t="s">
        <v>714</v>
      </c>
      <c r="E3384">
        <v>0</v>
      </c>
      <c r="F3384">
        <v>20131101</v>
      </c>
      <c r="G3384" t="s">
        <v>498</v>
      </c>
      <c r="H3384" t="s">
        <v>2020</v>
      </c>
      <c r="I3384" t="s">
        <v>21</v>
      </c>
    </row>
    <row r="3385" spans="1:9" x14ac:dyDescent="0.25">
      <c r="A3385">
        <v>20131107</v>
      </c>
      <c r="B3385" t="str">
        <f>"112541"</f>
        <v>112541</v>
      </c>
      <c r="C3385" t="str">
        <f>"75600"</f>
        <v>75600</v>
      </c>
      <c r="D3385" t="s">
        <v>714</v>
      </c>
      <c r="E3385">
        <v>0</v>
      </c>
      <c r="F3385">
        <v>20131101</v>
      </c>
      <c r="G3385" t="s">
        <v>498</v>
      </c>
      <c r="H3385" t="s">
        <v>2044</v>
      </c>
      <c r="I3385" t="s">
        <v>21</v>
      </c>
    </row>
    <row r="3386" spans="1:9" x14ac:dyDescent="0.25">
      <c r="A3386">
        <v>20131107</v>
      </c>
      <c r="B3386" t="str">
        <f>"112541"</f>
        <v>112541</v>
      </c>
      <c r="C3386" t="str">
        <f>"75600"</f>
        <v>75600</v>
      </c>
      <c r="D3386" t="s">
        <v>714</v>
      </c>
      <c r="E3386">
        <v>0</v>
      </c>
      <c r="F3386">
        <v>20131101</v>
      </c>
      <c r="G3386" t="s">
        <v>498</v>
      </c>
      <c r="H3386" t="s">
        <v>2045</v>
      </c>
      <c r="I3386" t="s">
        <v>21</v>
      </c>
    </row>
    <row r="3387" spans="1:9" x14ac:dyDescent="0.25">
      <c r="A3387">
        <v>20131107</v>
      </c>
      <c r="B3387" t="str">
        <f>"112541"</f>
        <v>112541</v>
      </c>
      <c r="C3387" t="str">
        <f>"75600"</f>
        <v>75600</v>
      </c>
      <c r="D3387" t="s">
        <v>714</v>
      </c>
      <c r="E3387">
        <v>0</v>
      </c>
      <c r="F3387">
        <v>20131101</v>
      </c>
      <c r="G3387" t="s">
        <v>498</v>
      </c>
      <c r="H3387" t="s">
        <v>2046</v>
      </c>
      <c r="I3387" t="s">
        <v>21</v>
      </c>
    </row>
    <row r="3388" spans="1:9" x14ac:dyDescent="0.25">
      <c r="A3388">
        <v>20131107</v>
      </c>
      <c r="B3388" t="str">
        <f t="shared" ref="B3388:B3394" si="233">"112542"</f>
        <v>112542</v>
      </c>
      <c r="C3388" t="str">
        <f t="shared" ref="C3388:C3394" si="234">"69310"</f>
        <v>69310</v>
      </c>
      <c r="D3388" t="s">
        <v>716</v>
      </c>
      <c r="E3388">
        <v>0</v>
      </c>
      <c r="F3388">
        <v>20131104</v>
      </c>
      <c r="G3388" t="s">
        <v>718</v>
      </c>
      <c r="H3388" t="s">
        <v>2047</v>
      </c>
      <c r="I3388" t="s">
        <v>21</v>
      </c>
    </row>
    <row r="3389" spans="1:9" x14ac:dyDescent="0.25">
      <c r="A3389">
        <v>20131107</v>
      </c>
      <c r="B3389" t="str">
        <f t="shared" si="233"/>
        <v>112542</v>
      </c>
      <c r="C3389" t="str">
        <f t="shared" si="234"/>
        <v>69310</v>
      </c>
      <c r="D3389" t="s">
        <v>716</v>
      </c>
      <c r="E3389">
        <v>0</v>
      </c>
      <c r="F3389">
        <v>20131105</v>
      </c>
      <c r="G3389" t="s">
        <v>718</v>
      </c>
      <c r="H3389" t="s">
        <v>2048</v>
      </c>
      <c r="I3389" t="s">
        <v>21</v>
      </c>
    </row>
    <row r="3390" spans="1:9" x14ac:dyDescent="0.25">
      <c r="A3390">
        <v>20131107</v>
      </c>
      <c r="B3390" t="str">
        <f t="shared" si="233"/>
        <v>112542</v>
      </c>
      <c r="C3390" t="str">
        <f t="shared" si="234"/>
        <v>69310</v>
      </c>
      <c r="D3390" t="s">
        <v>716</v>
      </c>
      <c r="E3390">
        <v>0</v>
      </c>
      <c r="F3390">
        <v>20131104</v>
      </c>
      <c r="G3390" t="s">
        <v>719</v>
      </c>
      <c r="H3390" t="s">
        <v>2049</v>
      </c>
      <c r="I3390" t="s">
        <v>21</v>
      </c>
    </row>
    <row r="3391" spans="1:9" x14ac:dyDescent="0.25">
      <c r="A3391">
        <v>20131107</v>
      </c>
      <c r="B3391" t="str">
        <f t="shared" si="233"/>
        <v>112542</v>
      </c>
      <c r="C3391" t="str">
        <f t="shared" si="234"/>
        <v>69310</v>
      </c>
      <c r="D3391" t="s">
        <v>716</v>
      </c>
      <c r="E3391">
        <v>0</v>
      </c>
      <c r="F3391">
        <v>20131104</v>
      </c>
      <c r="G3391" t="s">
        <v>720</v>
      </c>
      <c r="H3391" t="s">
        <v>2050</v>
      </c>
      <c r="I3391" t="s">
        <v>21</v>
      </c>
    </row>
    <row r="3392" spans="1:9" x14ac:dyDescent="0.25">
      <c r="A3392">
        <v>20131107</v>
      </c>
      <c r="B3392" t="str">
        <f t="shared" si="233"/>
        <v>112542</v>
      </c>
      <c r="C3392" t="str">
        <f t="shared" si="234"/>
        <v>69310</v>
      </c>
      <c r="D3392" t="s">
        <v>716</v>
      </c>
      <c r="E3392">
        <v>0</v>
      </c>
      <c r="F3392">
        <v>20131104</v>
      </c>
      <c r="G3392" t="s">
        <v>721</v>
      </c>
      <c r="H3392" t="s">
        <v>2051</v>
      </c>
      <c r="I3392" t="s">
        <v>21</v>
      </c>
    </row>
    <row r="3393" spans="1:9" x14ac:dyDescent="0.25">
      <c r="A3393">
        <v>20131107</v>
      </c>
      <c r="B3393" t="str">
        <f t="shared" si="233"/>
        <v>112542</v>
      </c>
      <c r="C3393" t="str">
        <f t="shared" si="234"/>
        <v>69310</v>
      </c>
      <c r="D3393" t="s">
        <v>716</v>
      </c>
      <c r="E3393">
        <v>0</v>
      </c>
      <c r="F3393">
        <v>20131104</v>
      </c>
      <c r="G3393" t="s">
        <v>722</v>
      </c>
      <c r="H3393" t="s">
        <v>2052</v>
      </c>
      <c r="I3393" t="s">
        <v>21</v>
      </c>
    </row>
    <row r="3394" spans="1:9" x14ac:dyDescent="0.25">
      <c r="A3394">
        <v>20131107</v>
      </c>
      <c r="B3394" t="str">
        <f t="shared" si="233"/>
        <v>112542</v>
      </c>
      <c r="C3394" t="str">
        <f t="shared" si="234"/>
        <v>69310</v>
      </c>
      <c r="D3394" t="s">
        <v>716</v>
      </c>
      <c r="E3394">
        <v>0</v>
      </c>
      <c r="F3394">
        <v>20131104</v>
      </c>
      <c r="G3394" t="s">
        <v>725</v>
      </c>
      <c r="H3394" t="s">
        <v>2053</v>
      </c>
      <c r="I3394" t="s">
        <v>21</v>
      </c>
    </row>
    <row r="3395" spans="1:9" x14ac:dyDescent="0.25">
      <c r="A3395">
        <v>20131107</v>
      </c>
      <c r="B3395" t="str">
        <f>"112543"</f>
        <v>112543</v>
      </c>
      <c r="C3395" t="str">
        <f>"81358"</f>
        <v>81358</v>
      </c>
      <c r="D3395" t="s">
        <v>736</v>
      </c>
      <c r="E3395">
        <v>0</v>
      </c>
      <c r="F3395">
        <v>20131104</v>
      </c>
      <c r="G3395" t="s">
        <v>1543</v>
      </c>
      <c r="H3395" t="s">
        <v>2054</v>
      </c>
      <c r="I3395" t="s">
        <v>21</v>
      </c>
    </row>
    <row r="3396" spans="1:9" x14ac:dyDescent="0.25">
      <c r="A3396">
        <v>20131107</v>
      </c>
      <c r="B3396" t="str">
        <f>"112543"</f>
        <v>112543</v>
      </c>
      <c r="C3396" t="str">
        <f>"81358"</f>
        <v>81358</v>
      </c>
      <c r="D3396" t="s">
        <v>736</v>
      </c>
      <c r="E3396">
        <v>0</v>
      </c>
      <c r="F3396">
        <v>20131104</v>
      </c>
      <c r="G3396" t="s">
        <v>737</v>
      </c>
      <c r="H3396" t="s">
        <v>2055</v>
      </c>
      <c r="I3396" t="s">
        <v>21</v>
      </c>
    </row>
    <row r="3397" spans="1:9" x14ac:dyDescent="0.25">
      <c r="A3397">
        <v>20131107</v>
      </c>
      <c r="B3397" t="str">
        <f>"112544"</f>
        <v>112544</v>
      </c>
      <c r="C3397" t="str">
        <f>"81358"</f>
        <v>81358</v>
      </c>
      <c r="D3397" t="s">
        <v>736</v>
      </c>
      <c r="E3397">
        <v>0</v>
      </c>
      <c r="F3397">
        <v>20131106</v>
      </c>
      <c r="G3397" t="s">
        <v>737</v>
      </c>
      <c r="H3397" t="s">
        <v>2056</v>
      </c>
      <c r="I3397" t="s">
        <v>21</v>
      </c>
    </row>
    <row r="3398" spans="1:9" x14ac:dyDescent="0.25">
      <c r="A3398">
        <v>20131107</v>
      </c>
      <c r="B3398" t="str">
        <f>"112545"</f>
        <v>112545</v>
      </c>
      <c r="C3398" t="str">
        <f>"81358"</f>
        <v>81358</v>
      </c>
      <c r="D3398" t="s">
        <v>736</v>
      </c>
      <c r="E3398">
        <v>0</v>
      </c>
      <c r="F3398">
        <v>20131104</v>
      </c>
      <c r="G3398" t="s">
        <v>737</v>
      </c>
      <c r="H3398" t="s">
        <v>2057</v>
      </c>
      <c r="I3398" t="s">
        <v>21</v>
      </c>
    </row>
    <row r="3399" spans="1:9" x14ac:dyDescent="0.25">
      <c r="A3399">
        <v>20131107</v>
      </c>
      <c r="B3399" t="str">
        <f>"112546"</f>
        <v>112546</v>
      </c>
      <c r="C3399" t="str">
        <f>"76856"</f>
        <v>76856</v>
      </c>
      <c r="D3399" t="s">
        <v>981</v>
      </c>
      <c r="E3399">
        <v>0</v>
      </c>
      <c r="F3399">
        <v>20131105</v>
      </c>
      <c r="G3399" t="s">
        <v>982</v>
      </c>
      <c r="H3399" t="s">
        <v>2058</v>
      </c>
      <c r="I3399" t="s">
        <v>21</v>
      </c>
    </row>
    <row r="3400" spans="1:9" x14ac:dyDescent="0.25">
      <c r="A3400">
        <v>20131107</v>
      </c>
      <c r="B3400" t="str">
        <f>"112547"</f>
        <v>112547</v>
      </c>
      <c r="C3400" t="str">
        <f>"76904"</f>
        <v>76904</v>
      </c>
      <c r="D3400" t="s">
        <v>1323</v>
      </c>
      <c r="E3400">
        <v>0</v>
      </c>
      <c r="F3400">
        <v>20131106</v>
      </c>
      <c r="G3400" t="s">
        <v>637</v>
      </c>
      <c r="H3400" t="s">
        <v>2059</v>
      </c>
      <c r="I3400" t="s">
        <v>38</v>
      </c>
    </row>
    <row r="3401" spans="1:9" x14ac:dyDescent="0.25">
      <c r="A3401">
        <v>20131107</v>
      </c>
      <c r="B3401" t="str">
        <f>"112548"</f>
        <v>112548</v>
      </c>
      <c r="C3401" t="str">
        <f>"87177"</f>
        <v>87177</v>
      </c>
      <c r="D3401" t="s">
        <v>1326</v>
      </c>
      <c r="E3401">
        <v>0</v>
      </c>
      <c r="F3401">
        <v>20131106</v>
      </c>
      <c r="G3401" t="s">
        <v>2060</v>
      </c>
      <c r="H3401" t="s">
        <v>2061</v>
      </c>
      <c r="I3401" t="s">
        <v>21</v>
      </c>
    </row>
    <row r="3402" spans="1:9" x14ac:dyDescent="0.25">
      <c r="A3402">
        <v>20131107</v>
      </c>
      <c r="B3402" t="str">
        <f>"112549"</f>
        <v>112549</v>
      </c>
      <c r="C3402" t="str">
        <f>"00068"</f>
        <v>00068</v>
      </c>
      <c r="D3402" t="s">
        <v>1327</v>
      </c>
      <c r="E3402">
        <v>0</v>
      </c>
      <c r="F3402">
        <v>20131105</v>
      </c>
      <c r="G3402" t="s">
        <v>356</v>
      </c>
      <c r="H3402" t="s">
        <v>2062</v>
      </c>
      <c r="I3402" t="s">
        <v>61</v>
      </c>
    </row>
    <row r="3403" spans="1:9" x14ac:dyDescent="0.25">
      <c r="A3403">
        <v>20131107</v>
      </c>
      <c r="B3403" t="str">
        <f>"112549"</f>
        <v>112549</v>
      </c>
      <c r="C3403" t="str">
        <f>"00068"</f>
        <v>00068</v>
      </c>
      <c r="D3403" t="s">
        <v>1327</v>
      </c>
      <c r="E3403">
        <v>0</v>
      </c>
      <c r="F3403">
        <v>20131105</v>
      </c>
      <c r="G3403" t="s">
        <v>189</v>
      </c>
      <c r="H3403" t="s">
        <v>2063</v>
      </c>
      <c r="I3403" t="s">
        <v>25</v>
      </c>
    </row>
    <row r="3404" spans="1:9" x14ac:dyDescent="0.25">
      <c r="A3404">
        <v>20131107</v>
      </c>
      <c r="B3404" t="str">
        <f>"112550"</f>
        <v>112550</v>
      </c>
      <c r="C3404" t="str">
        <f>"00071"</f>
        <v>00071</v>
      </c>
      <c r="D3404" t="s">
        <v>1327</v>
      </c>
      <c r="E3404">
        <v>0</v>
      </c>
      <c r="F3404">
        <v>20131101</v>
      </c>
      <c r="G3404" t="s">
        <v>356</v>
      </c>
      <c r="H3404" t="s">
        <v>2064</v>
      </c>
      <c r="I3404" t="s">
        <v>61</v>
      </c>
    </row>
    <row r="3405" spans="1:9" x14ac:dyDescent="0.25">
      <c r="A3405">
        <v>20131107</v>
      </c>
      <c r="B3405" t="str">
        <f>"112551"</f>
        <v>112551</v>
      </c>
      <c r="C3405" t="str">
        <f>"81707"</f>
        <v>81707</v>
      </c>
      <c r="D3405" t="s">
        <v>2065</v>
      </c>
      <c r="E3405">
        <v>0</v>
      </c>
      <c r="F3405">
        <v>20131106</v>
      </c>
      <c r="G3405" t="s">
        <v>1359</v>
      </c>
      <c r="H3405" t="s">
        <v>2066</v>
      </c>
      <c r="I3405" t="s">
        <v>21</v>
      </c>
    </row>
    <row r="3406" spans="1:9" x14ac:dyDescent="0.25">
      <c r="A3406">
        <v>20131107</v>
      </c>
      <c r="B3406" t="str">
        <f>"112552"</f>
        <v>112552</v>
      </c>
      <c r="C3406" t="str">
        <f>"79400"</f>
        <v>79400</v>
      </c>
      <c r="D3406" t="s">
        <v>1328</v>
      </c>
      <c r="E3406">
        <v>0</v>
      </c>
      <c r="F3406">
        <v>20131104</v>
      </c>
      <c r="G3406" t="s">
        <v>1329</v>
      </c>
      <c r="H3406" t="s">
        <v>2067</v>
      </c>
      <c r="I3406" t="s">
        <v>21</v>
      </c>
    </row>
    <row r="3407" spans="1:9" x14ac:dyDescent="0.25">
      <c r="A3407">
        <v>20131107</v>
      </c>
      <c r="B3407" t="str">
        <f>"112553"</f>
        <v>112553</v>
      </c>
      <c r="C3407" t="str">
        <f>"85445"</f>
        <v>85445</v>
      </c>
      <c r="D3407" t="s">
        <v>745</v>
      </c>
      <c r="E3407">
        <v>0</v>
      </c>
      <c r="F3407">
        <v>20131101</v>
      </c>
      <c r="G3407" t="s">
        <v>746</v>
      </c>
      <c r="H3407" t="s">
        <v>2068</v>
      </c>
      <c r="I3407" t="s">
        <v>21</v>
      </c>
    </row>
    <row r="3408" spans="1:9" x14ac:dyDescent="0.25">
      <c r="A3408">
        <v>20131107</v>
      </c>
      <c r="B3408" t="str">
        <f>"112554"</f>
        <v>112554</v>
      </c>
      <c r="C3408" t="str">
        <f>"86410"</f>
        <v>86410</v>
      </c>
      <c r="D3408" t="s">
        <v>2069</v>
      </c>
      <c r="E3408">
        <v>0</v>
      </c>
      <c r="F3408">
        <v>20131105</v>
      </c>
      <c r="G3408" t="s">
        <v>1591</v>
      </c>
      <c r="H3408" t="s">
        <v>2070</v>
      </c>
      <c r="I3408" t="s">
        <v>25</v>
      </c>
    </row>
    <row r="3409" spans="1:9" x14ac:dyDescent="0.25">
      <c r="A3409">
        <v>20131107</v>
      </c>
      <c r="B3409" t="str">
        <f>"112555"</f>
        <v>112555</v>
      </c>
      <c r="C3409" t="str">
        <f>"86521"</f>
        <v>86521</v>
      </c>
      <c r="D3409" t="s">
        <v>988</v>
      </c>
      <c r="E3409">
        <v>0</v>
      </c>
      <c r="F3409">
        <v>20131101</v>
      </c>
      <c r="G3409" t="s">
        <v>1093</v>
      </c>
      <c r="H3409" t="s">
        <v>2071</v>
      </c>
      <c r="I3409" t="s">
        <v>61</v>
      </c>
    </row>
    <row r="3410" spans="1:9" x14ac:dyDescent="0.25">
      <c r="A3410">
        <v>20131107</v>
      </c>
      <c r="B3410" t="str">
        <f>"112556"</f>
        <v>112556</v>
      </c>
      <c r="C3410" t="str">
        <f>"87141"</f>
        <v>87141</v>
      </c>
      <c r="D3410" t="s">
        <v>1332</v>
      </c>
      <c r="E3410">
        <v>0</v>
      </c>
      <c r="F3410">
        <v>20131104</v>
      </c>
      <c r="G3410" t="s">
        <v>2072</v>
      </c>
      <c r="H3410" t="s">
        <v>2073</v>
      </c>
      <c r="I3410" t="s">
        <v>21</v>
      </c>
    </row>
    <row r="3411" spans="1:9" x14ac:dyDescent="0.25">
      <c r="A3411">
        <v>20131107</v>
      </c>
      <c r="B3411" t="str">
        <f t="shared" ref="B3411:B3435" si="235">"112557"</f>
        <v>112557</v>
      </c>
      <c r="C3411" t="str">
        <f t="shared" ref="C3411:C3435" si="236">"80825"</f>
        <v>80825</v>
      </c>
      <c r="D3411" t="s">
        <v>747</v>
      </c>
      <c r="E3411">
        <v>0</v>
      </c>
      <c r="F3411">
        <v>20131104</v>
      </c>
      <c r="G3411" t="s">
        <v>989</v>
      </c>
      <c r="H3411" t="s">
        <v>2074</v>
      </c>
      <c r="I3411" t="s">
        <v>61</v>
      </c>
    </row>
    <row r="3412" spans="1:9" x14ac:dyDescent="0.25">
      <c r="A3412">
        <v>20131107</v>
      </c>
      <c r="B3412" t="str">
        <f t="shared" si="235"/>
        <v>112557</v>
      </c>
      <c r="C3412" t="str">
        <f t="shared" si="236"/>
        <v>80825</v>
      </c>
      <c r="D3412" t="s">
        <v>747</v>
      </c>
      <c r="E3412">
        <v>0</v>
      </c>
      <c r="F3412">
        <v>20131104</v>
      </c>
      <c r="G3412" t="s">
        <v>989</v>
      </c>
      <c r="H3412" t="s">
        <v>2074</v>
      </c>
      <c r="I3412" t="s">
        <v>61</v>
      </c>
    </row>
    <row r="3413" spans="1:9" x14ac:dyDescent="0.25">
      <c r="A3413">
        <v>20131107</v>
      </c>
      <c r="B3413" t="str">
        <f t="shared" si="235"/>
        <v>112557</v>
      </c>
      <c r="C3413" t="str">
        <f t="shared" si="236"/>
        <v>80825</v>
      </c>
      <c r="D3413" t="s">
        <v>747</v>
      </c>
      <c r="E3413">
        <v>0</v>
      </c>
      <c r="F3413">
        <v>20131104</v>
      </c>
      <c r="G3413" t="s">
        <v>748</v>
      </c>
      <c r="H3413" t="s">
        <v>2075</v>
      </c>
      <c r="I3413" t="s">
        <v>21</v>
      </c>
    </row>
    <row r="3414" spans="1:9" x14ac:dyDescent="0.25">
      <c r="A3414">
        <v>20131107</v>
      </c>
      <c r="B3414" t="str">
        <f t="shared" si="235"/>
        <v>112557</v>
      </c>
      <c r="C3414" t="str">
        <f t="shared" si="236"/>
        <v>80825</v>
      </c>
      <c r="D3414" t="s">
        <v>747</v>
      </c>
      <c r="E3414">
        <v>0</v>
      </c>
      <c r="F3414">
        <v>20131104</v>
      </c>
      <c r="G3414" t="s">
        <v>748</v>
      </c>
      <c r="H3414" t="s">
        <v>2076</v>
      </c>
      <c r="I3414" t="s">
        <v>21</v>
      </c>
    </row>
    <row r="3415" spans="1:9" x14ac:dyDescent="0.25">
      <c r="A3415">
        <v>20131107</v>
      </c>
      <c r="B3415" t="str">
        <f t="shared" si="235"/>
        <v>112557</v>
      </c>
      <c r="C3415" t="str">
        <f t="shared" si="236"/>
        <v>80825</v>
      </c>
      <c r="D3415" t="s">
        <v>747</v>
      </c>
      <c r="E3415">
        <v>0</v>
      </c>
      <c r="F3415">
        <v>20131104</v>
      </c>
      <c r="G3415" t="s">
        <v>1551</v>
      </c>
      <c r="H3415" t="s">
        <v>2077</v>
      </c>
      <c r="I3415" t="s">
        <v>21</v>
      </c>
    </row>
    <row r="3416" spans="1:9" x14ac:dyDescent="0.25">
      <c r="A3416">
        <v>20131107</v>
      </c>
      <c r="B3416" t="str">
        <f t="shared" si="235"/>
        <v>112557</v>
      </c>
      <c r="C3416" t="str">
        <f t="shared" si="236"/>
        <v>80825</v>
      </c>
      <c r="D3416" t="s">
        <v>747</v>
      </c>
      <c r="E3416">
        <v>0</v>
      </c>
      <c r="F3416">
        <v>20131104</v>
      </c>
      <c r="G3416" t="s">
        <v>750</v>
      </c>
      <c r="H3416" t="s">
        <v>2078</v>
      </c>
      <c r="I3416" t="s">
        <v>21</v>
      </c>
    </row>
    <row r="3417" spans="1:9" x14ac:dyDescent="0.25">
      <c r="A3417">
        <v>20131107</v>
      </c>
      <c r="B3417" t="str">
        <f t="shared" si="235"/>
        <v>112557</v>
      </c>
      <c r="C3417" t="str">
        <f t="shared" si="236"/>
        <v>80825</v>
      </c>
      <c r="D3417" t="s">
        <v>747</v>
      </c>
      <c r="E3417">
        <v>0</v>
      </c>
      <c r="F3417">
        <v>20131104</v>
      </c>
      <c r="G3417" t="s">
        <v>750</v>
      </c>
      <c r="H3417" t="s">
        <v>2078</v>
      </c>
      <c r="I3417" t="s">
        <v>21</v>
      </c>
    </row>
    <row r="3418" spans="1:9" x14ac:dyDescent="0.25">
      <c r="A3418">
        <v>20131107</v>
      </c>
      <c r="B3418" t="str">
        <f t="shared" si="235"/>
        <v>112557</v>
      </c>
      <c r="C3418" t="str">
        <f t="shared" si="236"/>
        <v>80825</v>
      </c>
      <c r="D3418" t="s">
        <v>747</v>
      </c>
      <c r="E3418">
        <v>0</v>
      </c>
      <c r="F3418">
        <v>20131104</v>
      </c>
      <c r="G3418" t="s">
        <v>752</v>
      </c>
      <c r="H3418" t="s">
        <v>2078</v>
      </c>
      <c r="I3418" t="s">
        <v>21</v>
      </c>
    </row>
    <row r="3419" spans="1:9" x14ac:dyDescent="0.25">
      <c r="A3419">
        <v>20131107</v>
      </c>
      <c r="B3419" t="str">
        <f t="shared" si="235"/>
        <v>112557</v>
      </c>
      <c r="C3419" t="str">
        <f t="shared" si="236"/>
        <v>80825</v>
      </c>
      <c r="D3419" t="s">
        <v>747</v>
      </c>
      <c r="E3419">
        <v>0</v>
      </c>
      <c r="F3419">
        <v>20131104</v>
      </c>
      <c r="G3419" t="s">
        <v>753</v>
      </c>
      <c r="H3419" t="s">
        <v>2079</v>
      </c>
      <c r="I3419" t="s">
        <v>21</v>
      </c>
    </row>
    <row r="3420" spans="1:9" x14ac:dyDescent="0.25">
      <c r="A3420">
        <v>20131107</v>
      </c>
      <c r="B3420" t="str">
        <f t="shared" si="235"/>
        <v>112557</v>
      </c>
      <c r="C3420" t="str">
        <f t="shared" si="236"/>
        <v>80825</v>
      </c>
      <c r="D3420" t="s">
        <v>747</v>
      </c>
      <c r="E3420">
        <v>0</v>
      </c>
      <c r="F3420">
        <v>20131104</v>
      </c>
      <c r="G3420" t="s">
        <v>753</v>
      </c>
      <c r="H3420" t="s">
        <v>2079</v>
      </c>
      <c r="I3420" t="s">
        <v>21</v>
      </c>
    </row>
    <row r="3421" spans="1:9" x14ac:dyDescent="0.25">
      <c r="A3421">
        <v>20131107</v>
      </c>
      <c r="B3421" t="str">
        <f t="shared" si="235"/>
        <v>112557</v>
      </c>
      <c r="C3421" t="str">
        <f t="shared" si="236"/>
        <v>80825</v>
      </c>
      <c r="D3421" t="s">
        <v>747</v>
      </c>
      <c r="E3421">
        <v>0</v>
      </c>
      <c r="F3421">
        <v>20131104</v>
      </c>
      <c r="G3421" t="s">
        <v>754</v>
      </c>
      <c r="H3421" t="s">
        <v>2079</v>
      </c>
      <c r="I3421" t="s">
        <v>21</v>
      </c>
    </row>
    <row r="3422" spans="1:9" x14ac:dyDescent="0.25">
      <c r="A3422">
        <v>20131107</v>
      </c>
      <c r="B3422" t="str">
        <f t="shared" si="235"/>
        <v>112557</v>
      </c>
      <c r="C3422" t="str">
        <f t="shared" si="236"/>
        <v>80825</v>
      </c>
      <c r="D3422" t="s">
        <v>747</v>
      </c>
      <c r="E3422">
        <v>0</v>
      </c>
      <c r="F3422">
        <v>20131104</v>
      </c>
      <c r="G3422" t="s">
        <v>754</v>
      </c>
      <c r="H3422" t="s">
        <v>2079</v>
      </c>
      <c r="I3422" t="s">
        <v>21</v>
      </c>
    </row>
    <row r="3423" spans="1:9" x14ac:dyDescent="0.25">
      <c r="A3423">
        <v>20131107</v>
      </c>
      <c r="B3423" t="str">
        <f t="shared" si="235"/>
        <v>112557</v>
      </c>
      <c r="C3423" t="str">
        <f t="shared" si="236"/>
        <v>80825</v>
      </c>
      <c r="D3423" t="s">
        <v>747</v>
      </c>
      <c r="E3423">
        <v>0</v>
      </c>
      <c r="F3423">
        <v>20131104</v>
      </c>
      <c r="G3423" t="s">
        <v>990</v>
      </c>
      <c r="H3423" t="s">
        <v>2079</v>
      </c>
      <c r="I3423" t="s">
        <v>21</v>
      </c>
    </row>
    <row r="3424" spans="1:9" x14ac:dyDescent="0.25">
      <c r="A3424">
        <v>20131107</v>
      </c>
      <c r="B3424" t="str">
        <f t="shared" si="235"/>
        <v>112557</v>
      </c>
      <c r="C3424" t="str">
        <f t="shared" si="236"/>
        <v>80825</v>
      </c>
      <c r="D3424" t="s">
        <v>747</v>
      </c>
      <c r="E3424">
        <v>0</v>
      </c>
      <c r="F3424">
        <v>20131104</v>
      </c>
      <c r="G3424" t="s">
        <v>990</v>
      </c>
      <c r="H3424" t="s">
        <v>2079</v>
      </c>
      <c r="I3424" t="s">
        <v>21</v>
      </c>
    </row>
    <row r="3425" spans="1:9" x14ac:dyDescent="0.25">
      <c r="A3425">
        <v>20131107</v>
      </c>
      <c r="B3425" t="str">
        <f t="shared" si="235"/>
        <v>112557</v>
      </c>
      <c r="C3425" t="str">
        <f t="shared" si="236"/>
        <v>80825</v>
      </c>
      <c r="D3425" t="s">
        <v>747</v>
      </c>
      <c r="E3425">
        <v>0</v>
      </c>
      <c r="F3425">
        <v>20131104</v>
      </c>
      <c r="G3425" t="s">
        <v>755</v>
      </c>
      <c r="H3425" t="s">
        <v>2079</v>
      </c>
      <c r="I3425" t="s">
        <v>21</v>
      </c>
    </row>
    <row r="3426" spans="1:9" x14ac:dyDescent="0.25">
      <c r="A3426">
        <v>20131107</v>
      </c>
      <c r="B3426" t="str">
        <f t="shared" si="235"/>
        <v>112557</v>
      </c>
      <c r="C3426" t="str">
        <f t="shared" si="236"/>
        <v>80825</v>
      </c>
      <c r="D3426" t="s">
        <v>747</v>
      </c>
      <c r="E3426">
        <v>0</v>
      </c>
      <c r="F3426">
        <v>20131104</v>
      </c>
      <c r="G3426" t="s">
        <v>756</v>
      </c>
      <c r="H3426" t="s">
        <v>2079</v>
      </c>
      <c r="I3426" t="s">
        <v>21</v>
      </c>
    </row>
    <row r="3427" spans="1:9" x14ac:dyDescent="0.25">
      <c r="A3427">
        <v>20131107</v>
      </c>
      <c r="B3427" t="str">
        <f t="shared" si="235"/>
        <v>112557</v>
      </c>
      <c r="C3427" t="str">
        <f t="shared" si="236"/>
        <v>80825</v>
      </c>
      <c r="D3427" t="s">
        <v>747</v>
      </c>
      <c r="E3427">
        <v>0</v>
      </c>
      <c r="F3427">
        <v>20131104</v>
      </c>
      <c r="G3427" t="s">
        <v>756</v>
      </c>
      <c r="H3427" t="s">
        <v>2079</v>
      </c>
      <c r="I3427" t="s">
        <v>21</v>
      </c>
    </row>
    <row r="3428" spans="1:9" x14ac:dyDescent="0.25">
      <c r="A3428">
        <v>20131107</v>
      </c>
      <c r="B3428" t="str">
        <f t="shared" si="235"/>
        <v>112557</v>
      </c>
      <c r="C3428" t="str">
        <f t="shared" si="236"/>
        <v>80825</v>
      </c>
      <c r="D3428" t="s">
        <v>747</v>
      </c>
      <c r="E3428">
        <v>0</v>
      </c>
      <c r="F3428">
        <v>20131104</v>
      </c>
      <c r="G3428" t="s">
        <v>757</v>
      </c>
      <c r="H3428" t="s">
        <v>2080</v>
      </c>
      <c r="I3428" t="s">
        <v>21</v>
      </c>
    </row>
    <row r="3429" spans="1:9" x14ac:dyDescent="0.25">
      <c r="A3429">
        <v>20131107</v>
      </c>
      <c r="B3429" t="str">
        <f t="shared" si="235"/>
        <v>112557</v>
      </c>
      <c r="C3429" t="str">
        <f t="shared" si="236"/>
        <v>80825</v>
      </c>
      <c r="D3429" t="s">
        <v>747</v>
      </c>
      <c r="E3429">
        <v>0</v>
      </c>
      <c r="F3429">
        <v>20131104</v>
      </c>
      <c r="G3429" t="s">
        <v>757</v>
      </c>
      <c r="H3429" t="s">
        <v>2081</v>
      </c>
      <c r="I3429" t="s">
        <v>21</v>
      </c>
    </row>
    <row r="3430" spans="1:9" x14ac:dyDescent="0.25">
      <c r="A3430">
        <v>20131107</v>
      </c>
      <c r="B3430" t="str">
        <f t="shared" si="235"/>
        <v>112557</v>
      </c>
      <c r="C3430" t="str">
        <f t="shared" si="236"/>
        <v>80825</v>
      </c>
      <c r="D3430" t="s">
        <v>747</v>
      </c>
      <c r="E3430">
        <v>0</v>
      </c>
      <c r="F3430">
        <v>20131104</v>
      </c>
      <c r="G3430" t="s">
        <v>758</v>
      </c>
      <c r="H3430" t="s">
        <v>2082</v>
      </c>
      <c r="I3430" t="s">
        <v>21</v>
      </c>
    </row>
    <row r="3431" spans="1:9" x14ac:dyDescent="0.25">
      <c r="A3431">
        <v>20131107</v>
      </c>
      <c r="B3431" t="str">
        <f t="shared" si="235"/>
        <v>112557</v>
      </c>
      <c r="C3431" t="str">
        <f t="shared" si="236"/>
        <v>80825</v>
      </c>
      <c r="D3431" t="s">
        <v>747</v>
      </c>
      <c r="E3431">
        <v>0</v>
      </c>
      <c r="F3431">
        <v>20131104</v>
      </c>
      <c r="G3431" t="s">
        <v>544</v>
      </c>
      <c r="H3431" t="s">
        <v>2083</v>
      </c>
      <c r="I3431" t="s">
        <v>21</v>
      </c>
    </row>
    <row r="3432" spans="1:9" x14ac:dyDescent="0.25">
      <c r="A3432">
        <v>20131107</v>
      </c>
      <c r="B3432" t="str">
        <f t="shared" si="235"/>
        <v>112557</v>
      </c>
      <c r="C3432" t="str">
        <f t="shared" si="236"/>
        <v>80825</v>
      </c>
      <c r="D3432" t="s">
        <v>747</v>
      </c>
      <c r="E3432">
        <v>0</v>
      </c>
      <c r="F3432">
        <v>20131104</v>
      </c>
      <c r="G3432" t="s">
        <v>544</v>
      </c>
      <c r="H3432" t="s">
        <v>2081</v>
      </c>
      <c r="I3432" t="s">
        <v>21</v>
      </c>
    </row>
    <row r="3433" spans="1:9" x14ac:dyDescent="0.25">
      <c r="A3433">
        <v>20131107</v>
      </c>
      <c r="B3433" t="str">
        <f t="shared" si="235"/>
        <v>112557</v>
      </c>
      <c r="C3433" t="str">
        <f t="shared" si="236"/>
        <v>80825</v>
      </c>
      <c r="D3433" t="s">
        <v>747</v>
      </c>
      <c r="E3433">
        <v>0</v>
      </c>
      <c r="F3433">
        <v>20131104</v>
      </c>
      <c r="G3433" t="s">
        <v>545</v>
      </c>
      <c r="H3433" t="s">
        <v>2083</v>
      </c>
      <c r="I3433" t="s">
        <v>21</v>
      </c>
    </row>
    <row r="3434" spans="1:9" x14ac:dyDescent="0.25">
      <c r="A3434">
        <v>20131107</v>
      </c>
      <c r="B3434" t="str">
        <f t="shared" si="235"/>
        <v>112557</v>
      </c>
      <c r="C3434" t="str">
        <f t="shared" si="236"/>
        <v>80825</v>
      </c>
      <c r="D3434" t="s">
        <v>747</v>
      </c>
      <c r="E3434">
        <v>0</v>
      </c>
      <c r="F3434">
        <v>20131104</v>
      </c>
      <c r="G3434" t="s">
        <v>545</v>
      </c>
      <c r="H3434" t="s">
        <v>2084</v>
      </c>
      <c r="I3434" t="s">
        <v>21</v>
      </c>
    </row>
    <row r="3435" spans="1:9" x14ac:dyDescent="0.25">
      <c r="A3435">
        <v>20131107</v>
      </c>
      <c r="B3435" t="str">
        <f t="shared" si="235"/>
        <v>112557</v>
      </c>
      <c r="C3435" t="str">
        <f t="shared" si="236"/>
        <v>80825</v>
      </c>
      <c r="D3435" t="s">
        <v>747</v>
      </c>
      <c r="E3435">
        <v>0</v>
      </c>
      <c r="F3435">
        <v>20131104</v>
      </c>
      <c r="G3435" t="s">
        <v>759</v>
      </c>
      <c r="H3435" t="s">
        <v>2077</v>
      </c>
      <c r="I3435" t="s">
        <v>12</v>
      </c>
    </row>
    <row r="3436" spans="1:9" x14ac:dyDescent="0.25">
      <c r="A3436">
        <v>20131107</v>
      </c>
      <c r="B3436" t="str">
        <f>"112560"</f>
        <v>112560</v>
      </c>
      <c r="C3436" t="str">
        <f>"52518"</f>
        <v>52518</v>
      </c>
      <c r="D3436" t="s">
        <v>647</v>
      </c>
      <c r="E3436">
        <v>636.77</v>
      </c>
      <c r="F3436">
        <v>20131101</v>
      </c>
      <c r="G3436" t="s">
        <v>498</v>
      </c>
      <c r="H3436" t="s">
        <v>499</v>
      </c>
      <c r="I3436" t="s">
        <v>21</v>
      </c>
    </row>
    <row r="3437" spans="1:9" x14ac:dyDescent="0.25">
      <c r="A3437">
        <v>20131107</v>
      </c>
      <c r="B3437" t="str">
        <f>"112560"</f>
        <v>112560</v>
      </c>
      <c r="C3437" t="str">
        <f>"52518"</f>
        <v>52518</v>
      </c>
      <c r="D3437" t="s">
        <v>647</v>
      </c>
      <c r="E3437">
        <v>631.03</v>
      </c>
      <c r="F3437">
        <v>20131101</v>
      </c>
      <c r="G3437" t="s">
        <v>496</v>
      </c>
      <c r="H3437" t="s">
        <v>414</v>
      </c>
      <c r="I3437" t="s">
        <v>21</v>
      </c>
    </row>
    <row r="3438" spans="1:9" x14ac:dyDescent="0.25">
      <c r="A3438">
        <v>20131107</v>
      </c>
      <c r="B3438" t="str">
        <f>"112561"</f>
        <v>112561</v>
      </c>
      <c r="C3438" t="str">
        <f>"53650"</f>
        <v>53650</v>
      </c>
      <c r="D3438" t="s">
        <v>1492</v>
      </c>
      <c r="E3438">
        <v>15.9</v>
      </c>
      <c r="F3438">
        <v>20131106</v>
      </c>
      <c r="G3438" t="s">
        <v>837</v>
      </c>
      <c r="H3438" t="s">
        <v>1493</v>
      </c>
      <c r="I3438" t="s">
        <v>21</v>
      </c>
    </row>
    <row r="3439" spans="1:9" x14ac:dyDescent="0.25">
      <c r="A3439">
        <v>20131107</v>
      </c>
      <c r="B3439" t="str">
        <f>"112562"</f>
        <v>112562</v>
      </c>
      <c r="C3439" t="str">
        <f>"53725"</f>
        <v>53725</v>
      </c>
      <c r="D3439" t="s">
        <v>2017</v>
      </c>
      <c r="E3439">
        <v>300</v>
      </c>
      <c r="F3439">
        <v>20131101</v>
      </c>
      <c r="G3439" t="s">
        <v>347</v>
      </c>
      <c r="H3439" t="s">
        <v>1360</v>
      </c>
      <c r="I3439" t="s">
        <v>61</v>
      </c>
    </row>
    <row r="3440" spans="1:9" x14ac:dyDescent="0.25">
      <c r="A3440">
        <v>20131107</v>
      </c>
      <c r="B3440" t="str">
        <f>"112563"</f>
        <v>112563</v>
      </c>
      <c r="C3440" t="str">
        <f>"00659"</f>
        <v>00659</v>
      </c>
      <c r="D3440" t="s">
        <v>2019</v>
      </c>
      <c r="E3440">
        <v>525</v>
      </c>
      <c r="F3440">
        <v>20131101</v>
      </c>
      <c r="G3440" t="s">
        <v>347</v>
      </c>
      <c r="H3440" t="s">
        <v>1360</v>
      </c>
      <c r="I3440" t="s">
        <v>61</v>
      </c>
    </row>
    <row r="3441" spans="1:9" x14ac:dyDescent="0.25">
      <c r="A3441">
        <v>20131107</v>
      </c>
      <c r="B3441" t="str">
        <f>"112564"</f>
        <v>112564</v>
      </c>
      <c r="C3441" t="str">
        <f>"85114"</f>
        <v>85114</v>
      </c>
      <c r="D3441" t="s">
        <v>1497</v>
      </c>
      <c r="E3441">
        <v>300</v>
      </c>
      <c r="F3441">
        <v>20131101</v>
      </c>
      <c r="G3441" t="s">
        <v>1052</v>
      </c>
      <c r="H3441" t="s">
        <v>357</v>
      </c>
      <c r="I3441" t="s">
        <v>25</v>
      </c>
    </row>
    <row r="3442" spans="1:9" x14ac:dyDescent="0.25">
      <c r="A3442">
        <v>20131107</v>
      </c>
      <c r="B3442" t="str">
        <f>"112565"</f>
        <v>112565</v>
      </c>
      <c r="C3442" t="str">
        <f>"58675"</f>
        <v>58675</v>
      </c>
      <c r="D3442" t="s">
        <v>657</v>
      </c>
      <c r="E3442" s="1">
        <v>1628.2</v>
      </c>
      <c r="F3442">
        <v>20131104</v>
      </c>
      <c r="G3442" t="s">
        <v>498</v>
      </c>
      <c r="H3442" t="s">
        <v>499</v>
      </c>
      <c r="I3442" t="s">
        <v>21</v>
      </c>
    </row>
    <row r="3443" spans="1:9" x14ac:dyDescent="0.25">
      <c r="A3443">
        <v>20131107</v>
      </c>
      <c r="B3443" t="str">
        <f>"112566"</f>
        <v>112566</v>
      </c>
      <c r="C3443" t="str">
        <f>"58784"</f>
        <v>58784</v>
      </c>
      <c r="D3443" t="s">
        <v>658</v>
      </c>
      <c r="E3443">
        <v>768.04</v>
      </c>
      <c r="F3443">
        <v>20131105</v>
      </c>
      <c r="G3443" t="s">
        <v>659</v>
      </c>
      <c r="H3443" t="s">
        <v>2085</v>
      </c>
      <c r="I3443" t="s">
        <v>21</v>
      </c>
    </row>
    <row r="3444" spans="1:9" x14ac:dyDescent="0.25">
      <c r="A3444">
        <v>20131107</v>
      </c>
      <c r="B3444" t="str">
        <f>"112567"</f>
        <v>112567</v>
      </c>
      <c r="C3444" t="str">
        <f>"86746"</f>
        <v>86746</v>
      </c>
      <c r="D3444" t="s">
        <v>380</v>
      </c>
      <c r="E3444" s="1">
        <v>1650</v>
      </c>
      <c r="F3444">
        <v>20131104</v>
      </c>
      <c r="G3444" t="s">
        <v>1504</v>
      </c>
      <c r="H3444" t="s">
        <v>2086</v>
      </c>
      <c r="I3444" t="s">
        <v>21</v>
      </c>
    </row>
    <row r="3445" spans="1:9" x14ac:dyDescent="0.25">
      <c r="A3445">
        <v>20131107</v>
      </c>
      <c r="B3445" t="str">
        <f>"112568"</f>
        <v>112568</v>
      </c>
      <c r="C3445" t="str">
        <f>"62451"</f>
        <v>62451</v>
      </c>
      <c r="D3445" t="s">
        <v>1797</v>
      </c>
      <c r="E3445" s="1">
        <v>2646.4</v>
      </c>
      <c r="F3445">
        <v>20131101</v>
      </c>
      <c r="G3445" t="s">
        <v>39</v>
      </c>
      <c r="H3445" t="s">
        <v>1798</v>
      </c>
      <c r="I3445" t="s">
        <v>38</v>
      </c>
    </row>
    <row r="3446" spans="1:9" x14ac:dyDescent="0.25">
      <c r="A3446">
        <v>20131107</v>
      </c>
      <c r="B3446" t="str">
        <f>"112569"</f>
        <v>112569</v>
      </c>
      <c r="C3446" t="str">
        <f>"86376"</f>
        <v>86376</v>
      </c>
      <c r="D3446" t="s">
        <v>1661</v>
      </c>
      <c r="E3446" s="1">
        <v>1300</v>
      </c>
      <c r="F3446">
        <v>20131101</v>
      </c>
      <c r="G3446" t="s">
        <v>840</v>
      </c>
      <c r="H3446" t="s">
        <v>2087</v>
      </c>
      <c r="I3446" t="s">
        <v>21</v>
      </c>
    </row>
    <row r="3447" spans="1:9" x14ac:dyDescent="0.25">
      <c r="A3447">
        <v>20131107</v>
      </c>
      <c r="B3447" t="str">
        <f>"112570"</f>
        <v>112570</v>
      </c>
      <c r="C3447" t="str">
        <f>"85353"</f>
        <v>85353</v>
      </c>
      <c r="D3447" t="s">
        <v>1814</v>
      </c>
      <c r="E3447">
        <v>713</v>
      </c>
      <c r="F3447">
        <v>20131106</v>
      </c>
      <c r="G3447" t="s">
        <v>119</v>
      </c>
      <c r="H3447" t="s">
        <v>513</v>
      </c>
      <c r="I3447" t="s">
        <v>38</v>
      </c>
    </row>
    <row r="3448" spans="1:9" x14ac:dyDescent="0.25">
      <c r="A3448">
        <v>20131107</v>
      </c>
      <c r="B3448" t="str">
        <f>"112571"</f>
        <v>112571</v>
      </c>
      <c r="C3448" t="str">
        <f>"86853"</f>
        <v>86853</v>
      </c>
      <c r="D3448" t="s">
        <v>1149</v>
      </c>
      <c r="E3448">
        <v>260</v>
      </c>
      <c r="F3448">
        <v>20131106</v>
      </c>
      <c r="G3448" t="s">
        <v>145</v>
      </c>
      <c r="H3448" t="s">
        <v>1535</v>
      </c>
      <c r="I3448" t="s">
        <v>38</v>
      </c>
    </row>
    <row r="3449" spans="1:9" x14ac:dyDescent="0.25">
      <c r="A3449">
        <v>20131107</v>
      </c>
      <c r="B3449" t="str">
        <f>"112572"</f>
        <v>112572</v>
      </c>
      <c r="C3449" t="str">
        <f>"69335"</f>
        <v>69335</v>
      </c>
      <c r="D3449" t="s">
        <v>958</v>
      </c>
      <c r="E3449">
        <v>980</v>
      </c>
      <c r="F3449">
        <v>20131101</v>
      </c>
      <c r="G3449" t="s">
        <v>2028</v>
      </c>
      <c r="H3449" t="s">
        <v>2088</v>
      </c>
      <c r="I3449" t="s">
        <v>66</v>
      </c>
    </row>
    <row r="3450" spans="1:9" x14ac:dyDescent="0.25">
      <c r="A3450">
        <v>20131107</v>
      </c>
      <c r="B3450" t="str">
        <f>"112573"</f>
        <v>112573</v>
      </c>
      <c r="C3450" t="str">
        <f>"69500"</f>
        <v>69500</v>
      </c>
      <c r="D3450" t="s">
        <v>2030</v>
      </c>
      <c r="E3450">
        <v>400</v>
      </c>
      <c r="F3450">
        <v>20131106</v>
      </c>
      <c r="G3450" t="s">
        <v>145</v>
      </c>
      <c r="H3450" t="s">
        <v>2089</v>
      </c>
      <c r="I3450" t="s">
        <v>38</v>
      </c>
    </row>
    <row r="3451" spans="1:9" x14ac:dyDescent="0.25">
      <c r="A3451">
        <v>20131107</v>
      </c>
      <c r="B3451" t="str">
        <f>"112574"</f>
        <v>112574</v>
      </c>
      <c r="C3451" t="str">
        <f>"69575"</f>
        <v>69575</v>
      </c>
      <c r="D3451" t="s">
        <v>2032</v>
      </c>
      <c r="E3451">
        <v>280</v>
      </c>
      <c r="F3451">
        <v>20131101</v>
      </c>
      <c r="G3451" t="s">
        <v>1033</v>
      </c>
      <c r="H3451" t="s">
        <v>1054</v>
      </c>
      <c r="I3451" t="s">
        <v>21</v>
      </c>
    </row>
    <row r="3452" spans="1:9" x14ac:dyDescent="0.25">
      <c r="A3452">
        <v>20131107</v>
      </c>
      <c r="B3452" t="str">
        <f>"112575"</f>
        <v>112575</v>
      </c>
      <c r="C3452" t="str">
        <f>"00222"</f>
        <v>00222</v>
      </c>
      <c r="D3452" t="s">
        <v>2034</v>
      </c>
      <c r="E3452">
        <v>41.2</v>
      </c>
      <c r="F3452">
        <v>20131101</v>
      </c>
      <c r="G3452" t="s">
        <v>1672</v>
      </c>
      <c r="H3452" t="s">
        <v>2090</v>
      </c>
      <c r="I3452" t="s">
        <v>21</v>
      </c>
    </row>
    <row r="3453" spans="1:9" x14ac:dyDescent="0.25">
      <c r="A3453">
        <v>20131107</v>
      </c>
      <c r="B3453" t="str">
        <f>"112576"</f>
        <v>112576</v>
      </c>
      <c r="C3453" t="str">
        <f>"81458"</f>
        <v>81458</v>
      </c>
      <c r="D3453" t="s">
        <v>2036</v>
      </c>
      <c r="E3453">
        <v>105</v>
      </c>
      <c r="F3453">
        <v>20131106</v>
      </c>
      <c r="G3453" t="s">
        <v>2037</v>
      </c>
      <c r="H3453" t="s">
        <v>388</v>
      </c>
      <c r="I3453" t="s">
        <v>21</v>
      </c>
    </row>
    <row r="3454" spans="1:9" x14ac:dyDescent="0.25">
      <c r="A3454">
        <v>20131107</v>
      </c>
      <c r="B3454" t="str">
        <f>"112577"</f>
        <v>112577</v>
      </c>
      <c r="C3454" t="str">
        <f>"71500"</f>
        <v>71500</v>
      </c>
      <c r="D3454" t="s">
        <v>966</v>
      </c>
      <c r="E3454">
        <v>160</v>
      </c>
      <c r="F3454">
        <v>20131101</v>
      </c>
      <c r="G3454" t="s">
        <v>810</v>
      </c>
      <c r="H3454" t="s">
        <v>2091</v>
      </c>
      <c r="I3454" t="s">
        <v>66</v>
      </c>
    </row>
    <row r="3455" spans="1:9" x14ac:dyDescent="0.25">
      <c r="A3455">
        <v>20131107</v>
      </c>
      <c r="B3455" t="str">
        <f>"112578"</f>
        <v>112578</v>
      </c>
      <c r="C3455" t="str">
        <f>"00085"</f>
        <v>00085</v>
      </c>
      <c r="D3455" t="s">
        <v>2040</v>
      </c>
      <c r="E3455">
        <v>125</v>
      </c>
      <c r="F3455">
        <v>20131105</v>
      </c>
      <c r="G3455" t="s">
        <v>1153</v>
      </c>
      <c r="H3455" t="s">
        <v>2092</v>
      </c>
      <c r="I3455" t="s">
        <v>61</v>
      </c>
    </row>
    <row r="3456" spans="1:9" x14ac:dyDescent="0.25">
      <c r="A3456">
        <v>20131107</v>
      </c>
      <c r="B3456" t="str">
        <f>"112579"</f>
        <v>112579</v>
      </c>
      <c r="C3456" t="str">
        <f>"86085"</f>
        <v>86085</v>
      </c>
      <c r="D3456" t="s">
        <v>703</v>
      </c>
      <c r="E3456">
        <v>540</v>
      </c>
      <c r="F3456">
        <v>20131106</v>
      </c>
      <c r="G3456" t="s">
        <v>819</v>
      </c>
      <c r="H3456" t="s">
        <v>357</v>
      </c>
      <c r="I3456" t="s">
        <v>63</v>
      </c>
    </row>
    <row r="3457" spans="1:9" x14ac:dyDescent="0.25">
      <c r="A3457">
        <v>20131107</v>
      </c>
      <c r="B3457" t="str">
        <f>"112579"</f>
        <v>112579</v>
      </c>
      <c r="C3457" t="str">
        <f>"86085"</f>
        <v>86085</v>
      </c>
      <c r="D3457" t="s">
        <v>703</v>
      </c>
      <c r="E3457">
        <v>76</v>
      </c>
      <c r="F3457">
        <v>20131105</v>
      </c>
      <c r="G3457" t="s">
        <v>704</v>
      </c>
      <c r="H3457" t="s">
        <v>357</v>
      </c>
      <c r="I3457" t="s">
        <v>21</v>
      </c>
    </row>
    <row r="3458" spans="1:9" x14ac:dyDescent="0.25">
      <c r="A3458">
        <v>20131107</v>
      </c>
      <c r="B3458" t="str">
        <f>"112580"</f>
        <v>112580</v>
      </c>
      <c r="C3458" t="str">
        <f>"75600"</f>
        <v>75600</v>
      </c>
      <c r="D3458" t="s">
        <v>714</v>
      </c>
      <c r="E3458">
        <v>134.34</v>
      </c>
      <c r="F3458">
        <v>20131101</v>
      </c>
      <c r="G3458" t="s">
        <v>498</v>
      </c>
      <c r="H3458" t="s">
        <v>499</v>
      </c>
      <c r="I3458" t="s">
        <v>21</v>
      </c>
    </row>
    <row r="3459" spans="1:9" x14ac:dyDescent="0.25">
      <c r="A3459">
        <v>20131107</v>
      </c>
      <c r="B3459" t="str">
        <f>"112580"</f>
        <v>112580</v>
      </c>
      <c r="C3459" t="str">
        <f>"75600"</f>
        <v>75600</v>
      </c>
      <c r="D3459" t="s">
        <v>714</v>
      </c>
      <c r="E3459">
        <v>525</v>
      </c>
      <c r="F3459">
        <v>20131101</v>
      </c>
      <c r="G3459" t="s">
        <v>498</v>
      </c>
      <c r="H3459" t="s">
        <v>499</v>
      </c>
      <c r="I3459" t="s">
        <v>21</v>
      </c>
    </row>
    <row r="3460" spans="1:9" x14ac:dyDescent="0.25">
      <c r="A3460">
        <v>20131107</v>
      </c>
      <c r="B3460" t="str">
        <f>"112580"</f>
        <v>112580</v>
      </c>
      <c r="C3460" t="str">
        <f>"75600"</f>
        <v>75600</v>
      </c>
      <c r="D3460" t="s">
        <v>714</v>
      </c>
      <c r="E3460">
        <v>25.34</v>
      </c>
      <c r="F3460">
        <v>20131101</v>
      </c>
      <c r="G3460" t="s">
        <v>498</v>
      </c>
      <c r="H3460" t="s">
        <v>499</v>
      </c>
      <c r="I3460" t="s">
        <v>21</v>
      </c>
    </row>
    <row r="3461" spans="1:9" x14ac:dyDescent="0.25">
      <c r="A3461">
        <v>20131107</v>
      </c>
      <c r="B3461" t="str">
        <f>"112580"</f>
        <v>112580</v>
      </c>
      <c r="C3461" t="str">
        <f>"75600"</f>
        <v>75600</v>
      </c>
      <c r="D3461" t="s">
        <v>714</v>
      </c>
      <c r="E3461">
        <v>177.13</v>
      </c>
      <c r="F3461">
        <v>20131101</v>
      </c>
      <c r="G3461" t="s">
        <v>498</v>
      </c>
      <c r="H3461" t="s">
        <v>499</v>
      </c>
      <c r="I3461" t="s">
        <v>21</v>
      </c>
    </row>
    <row r="3462" spans="1:9" x14ac:dyDescent="0.25">
      <c r="A3462">
        <v>20131107</v>
      </c>
      <c r="B3462" t="str">
        <f t="shared" ref="B3462:B3468" si="237">"112581"</f>
        <v>112581</v>
      </c>
      <c r="C3462" t="str">
        <f t="shared" ref="C3462:C3468" si="238">"69310"</f>
        <v>69310</v>
      </c>
      <c r="D3462" t="s">
        <v>716</v>
      </c>
      <c r="E3462">
        <v>427.29</v>
      </c>
      <c r="F3462">
        <v>20131104</v>
      </c>
      <c r="G3462" t="s">
        <v>718</v>
      </c>
      <c r="H3462" t="s">
        <v>488</v>
      </c>
      <c r="I3462" t="s">
        <v>21</v>
      </c>
    </row>
    <row r="3463" spans="1:9" x14ac:dyDescent="0.25">
      <c r="A3463">
        <v>20131107</v>
      </c>
      <c r="B3463" t="str">
        <f t="shared" si="237"/>
        <v>112581</v>
      </c>
      <c r="C3463" t="str">
        <f t="shared" si="238"/>
        <v>69310</v>
      </c>
      <c r="D3463" t="s">
        <v>716</v>
      </c>
      <c r="E3463">
        <v>101.27</v>
      </c>
      <c r="F3463">
        <v>20131105</v>
      </c>
      <c r="G3463" t="s">
        <v>718</v>
      </c>
      <c r="H3463" t="s">
        <v>488</v>
      </c>
      <c r="I3463" t="s">
        <v>21</v>
      </c>
    </row>
    <row r="3464" spans="1:9" x14ac:dyDescent="0.25">
      <c r="A3464">
        <v>20131107</v>
      </c>
      <c r="B3464" t="str">
        <f t="shared" si="237"/>
        <v>112581</v>
      </c>
      <c r="C3464" t="str">
        <f t="shared" si="238"/>
        <v>69310</v>
      </c>
      <c r="D3464" t="s">
        <v>716</v>
      </c>
      <c r="E3464">
        <v>62.57</v>
      </c>
      <c r="F3464">
        <v>20131104</v>
      </c>
      <c r="G3464" t="s">
        <v>719</v>
      </c>
      <c r="H3464" t="s">
        <v>488</v>
      </c>
      <c r="I3464" t="s">
        <v>21</v>
      </c>
    </row>
    <row r="3465" spans="1:9" x14ac:dyDescent="0.25">
      <c r="A3465">
        <v>20131107</v>
      </c>
      <c r="B3465" t="str">
        <f t="shared" si="237"/>
        <v>112581</v>
      </c>
      <c r="C3465" t="str">
        <f t="shared" si="238"/>
        <v>69310</v>
      </c>
      <c r="D3465" t="s">
        <v>716</v>
      </c>
      <c r="E3465">
        <v>130.16</v>
      </c>
      <c r="F3465">
        <v>20131104</v>
      </c>
      <c r="G3465" t="s">
        <v>720</v>
      </c>
      <c r="H3465" t="s">
        <v>488</v>
      </c>
      <c r="I3465" t="s">
        <v>21</v>
      </c>
    </row>
    <row r="3466" spans="1:9" x14ac:dyDescent="0.25">
      <c r="A3466">
        <v>20131107</v>
      </c>
      <c r="B3466" t="str">
        <f t="shared" si="237"/>
        <v>112581</v>
      </c>
      <c r="C3466" t="str">
        <f t="shared" si="238"/>
        <v>69310</v>
      </c>
      <c r="D3466" t="s">
        <v>716</v>
      </c>
      <c r="E3466">
        <v>27.7</v>
      </c>
      <c r="F3466">
        <v>20131104</v>
      </c>
      <c r="G3466" t="s">
        <v>721</v>
      </c>
      <c r="H3466" t="s">
        <v>488</v>
      </c>
      <c r="I3466" t="s">
        <v>21</v>
      </c>
    </row>
    <row r="3467" spans="1:9" x14ac:dyDescent="0.25">
      <c r="A3467">
        <v>20131107</v>
      </c>
      <c r="B3467" t="str">
        <f t="shared" si="237"/>
        <v>112581</v>
      </c>
      <c r="C3467" t="str">
        <f t="shared" si="238"/>
        <v>69310</v>
      </c>
      <c r="D3467" t="s">
        <v>716</v>
      </c>
      <c r="E3467">
        <v>50.56</v>
      </c>
      <c r="F3467">
        <v>20131104</v>
      </c>
      <c r="G3467" t="s">
        <v>722</v>
      </c>
      <c r="H3467" t="s">
        <v>488</v>
      </c>
      <c r="I3467" t="s">
        <v>21</v>
      </c>
    </row>
    <row r="3468" spans="1:9" x14ac:dyDescent="0.25">
      <c r="A3468">
        <v>20131107</v>
      </c>
      <c r="B3468" t="str">
        <f t="shared" si="237"/>
        <v>112581</v>
      </c>
      <c r="C3468" t="str">
        <f t="shared" si="238"/>
        <v>69310</v>
      </c>
      <c r="D3468" t="s">
        <v>716</v>
      </c>
      <c r="E3468">
        <v>154.76</v>
      </c>
      <c r="F3468">
        <v>20131104</v>
      </c>
      <c r="G3468" t="s">
        <v>725</v>
      </c>
      <c r="H3468" t="s">
        <v>488</v>
      </c>
      <c r="I3468" t="s">
        <v>21</v>
      </c>
    </row>
    <row r="3469" spans="1:9" x14ac:dyDescent="0.25">
      <c r="A3469">
        <v>20131107</v>
      </c>
      <c r="B3469" t="str">
        <f>"112582"</f>
        <v>112582</v>
      </c>
      <c r="C3469" t="str">
        <f>"81358"</f>
        <v>81358</v>
      </c>
      <c r="D3469" t="s">
        <v>736</v>
      </c>
      <c r="E3469" s="1">
        <v>1888.87</v>
      </c>
      <c r="F3469">
        <v>20131104</v>
      </c>
      <c r="G3469" t="s">
        <v>1543</v>
      </c>
      <c r="H3469" t="s">
        <v>738</v>
      </c>
      <c r="I3469" t="s">
        <v>21</v>
      </c>
    </row>
    <row r="3470" spans="1:9" x14ac:dyDescent="0.25">
      <c r="A3470">
        <v>20131107</v>
      </c>
      <c r="B3470" t="str">
        <f>"112582"</f>
        <v>112582</v>
      </c>
      <c r="C3470" t="str">
        <f>"81358"</f>
        <v>81358</v>
      </c>
      <c r="D3470" t="s">
        <v>736</v>
      </c>
      <c r="E3470" s="1">
        <v>4424.93</v>
      </c>
      <c r="F3470">
        <v>20131104</v>
      </c>
      <c r="G3470" t="s">
        <v>737</v>
      </c>
      <c r="H3470" t="s">
        <v>738</v>
      </c>
      <c r="I3470" t="s">
        <v>21</v>
      </c>
    </row>
    <row r="3471" spans="1:9" x14ac:dyDescent="0.25">
      <c r="A3471">
        <v>20131107</v>
      </c>
      <c r="B3471" t="str">
        <f>"112583"</f>
        <v>112583</v>
      </c>
      <c r="C3471" t="str">
        <f>"81358"</f>
        <v>81358</v>
      </c>
      <c r="D3471" t="s">
        <v>736</v>
      </c>
      <c r="E3471">
        <v>314.04000000000002</v>
      </c>
      <c r="F3471">
        <v>20131106</v>
      </c>
      <c r="G3471" t="s">
        <v>737</v>
      </c>
      <c r="H3471" t="s">
        <v>738</v>
      </c>
      <c r="I3471" t="s">
        <v>21</v>
      </c>
    </row>
    <row r="3472" spans="1:9" x14ac:dyDescent="0.25">
      <c r="A3472">
        <v>20131107</v>
      </c>
      <c r="B3472" t="str">
        <f>"112584"</f>
        <v>112584</v>
      </c>
      <c r="C3472" t="str">
        <f>"81358"</f>
        <v>81358</v>
      </c>
      <c r="D3472" t="s">
        <v>736</v>
      </c>
      <c r="E3472">
        <v>108.56</v>
      </c>
      <c r="F3472">
        <v>20131104</v>
      </c>
      <c r="G3472" t="s">
        <v>737</v>
      </c>
      <c r="H3472" t="s">
        <v>738</v>
      </c>
      <c r="I3472" t="s">
        <v>21</v>
      </c>
    </row>
    <row r="3473" spans="1:9" x14ac:dyDescent="0.25">
      <c r="A3473">
        <v>20131107</v>
      </c>
      <c r="B3473" t="str">
        <f>"112585"</f>
        <v>112585</v>
      </c>
      <c r="C3473" t="str">
        <f>"76856"</f>
        <v>76856</v>
      </c>
      <c r="D3473" t="s">
        <v>981</v>
      </c>
      <c r="E3473">
        <v>53.37</v>
      </c>
      <c r="F3473">
        <v>20131105</v>
      </c>
      <c r="G3473" t="s">
        <v>982</v>
      </c>
      <c r="H3473" t="s">
        <v>365</v>
      </c>
      <c r="I3473" t="s">
        <v>21</v>
      </c>
    </row>
    <row r="3474" spans="1:9" x14ac:dyDescent="0.25">
      <c r="A3474">
        <v>20131107</v>
      </c>
      <c r="B3474" t="str">
        <f>"112586"</f>
        <v>112586</v>
      </c>
      <c r="C3474" t="str">
        <f>"76904"</f>
        <v>76904</v>
      </c>
      <c r="D3474" t="s">
        <v>1323</v>
      </c>
      <c r="E3474">
        <v>45</v>
      </c>
      <c r="F3474">
        <v>20131106</v>
      </c>
      <c r="G3474" t="s">
        <v>637</v>
      </c>
      <c r="H3474" t="s">
        <v>783</v>
      </c>
      <c r="I3474" t="s">
        <v>38</v>
      </c>
    </row>
    <row r="3475" spans="1:9" x14ac:dyDescent="0.25">
      <c r="A3475">
        <v>20131107</v>
      </c>
      <c r="B3475" t="str">
        <f>"112587"</f>
        <v>112587</v>
      </c>
      <c r="C3475" t="str">
        <f>"87177"</f>
        <v>87177</v>
      </c>
      <c r="D3475" t="s">
        <v>1326</v>
      </c>
      <c r="E3475">
        <v>54.27</v>
      </c>
      <c r="F3475">
        <v>20131106</v>
      </c>
      <c r="G3475" t="s">
        <v>2060</v>
      </c>
      <c r="H3475" t="s">
        <v>365</v>
      </c>
      <c r="I3475" t="s">
        <v>21</v>
      </c>
    </row>
    <row r="3476" spans="1:9" x14ac:dyDescent="0.25">
      <c r="A3476">
        <v>20131107</v>
      </c>
      <c r="B3476" t="str">
        <f>"112588"</f>
        <v>112588</v>
      </c>
      <c r="C3476" t="str">
        <f>"00068"</f>
        <v>00068</v>
      </c>
      <c r="D3476" t="s">
        <v>1327</v>
      </c>
      <c r="E3476">
        <v>435</v>
      </c>
      <c r="F3476">
        <v>20131105</v>
      </c>
      <c r="G3476" t="s">
        <v>356</v>
      </c>
      <c r="H3476" t="s">
        <v>357</v>
      </c>
      <c r="I3476" t="s">
        <v>61</v>
      </c>
    </row>
    <row r="3477" spans="1:9" x14ac:dyDescent="0.25">
      <c r="A3477">
        <v>20131107</v>
      </c>
      <c r="B3477" t="str">
        <f>"112588"</f>
        <v>112588</v>
      </c>
      <c r="C3477" t="str">
        <f>"00068"</f>
        <v>00068</v>
      </c>
      <c r="D3477" t="s">
        <v>1327</v>
      </c>
      <c r="E3477">
        <v>104.15</v>
      </c>
      <c r="F3477">
        <v>20131105</v>
      </c>
      <c r="G3477" t="s">
        <v>189</v>
      </c>
      <c r="H3477" t="s">
        <v>357</v>
      </c>
      <c r="I3477" t="s">
        <v>25</v>
      </c>
    </row>
    <row r="3478" spans="1:9" x14ac:dyDescent="0.25">
      <c r="A3478">
        <v>20131107</v>
      </c>
      <c r="B3478" t="str">
        <f>"112589"</f>
        <v>112589</v>
      </c>
      <c r="C3478" t="str">
        <f>"00071"</f>
        <v>00071</v>
      </c>
      <c r="D3478" t="s">
        <v>1327</v>
      </c>
      <c r="E3478">
        <v>195.15</v>
      </c>
      <c r="F3478">
        <v>20131101</v>
      </c>
      <c r="G3478" t="s">
        <v>356</v>
      </c>
      <c r="H3478" t="s">
        <v>357</v>
      </c>
      <c r="I3478" t="s">
        <v>61</v>
      </c>
    </row>
    <row r="3479" spans="1:9" x14ac:dyDescent="0.25">
      <c r="A3479">
        <v>20131107</v>
      </c>
      <c r="B3479" t="str">
        <f>"112590"</f>
        <v>112590</v>
      </c>
      <c r="C3479" t="str">
        <f>"81707"</f>
        <v>81707</v>
      </c>
      <c r="D3479" t="s">
        <v>2065</v>
      </c>
      <c r="E3479">
        <v>244</v>
      </c>
      <c r="F3479">
        <v>20131106</v>
      </c>
      <c r="G3479" t="s">
        <v>1359</v>
      </c>
      <c r="H3479" t="s">
        <v>1360</v>
      </c>
      <c r="I3479" t="s">
        <v>21</v>
      </c>
    </row>
    <row r="3480" spans="1:9" x14ac:dyDescent="0.25">
      <c r="A3480">
        <v>20131107</v>
      </c>
      <c r="B3480" t="str">
        <f>"112591"</f>
        <v>112591</v>
      </c>
      <c r="C3480" t="str">
        <f>"79400"</f>
        <v>79400</v>
      </c>
      <c r="D3480" t="s">
        <v>1328</v>
      </c>
      <c r="E3480" s="1">
        <v>31288.31</v>
      </c>
      <c r="F3480">
        <v>20131104</v>
      </c>
      <c r="G3480" t="s">
        <v>1329</v>
      </c>
      <c r="H3480" t="s">
        <v>1330</v>
      </c>
      <c r="I3480" t="s">
        <v>21</v>
      </c>
    </row>
    <row r="3481" spans="1:9" x14ac:dyDescent="0.25">
      <c r="A3481">
        <v>20131107</v>
      </c>
      <c r="B3481" t="str">
        <f>"112592"</f>
        <v>112592</v>
      </c>
      <c r="C3481" t="str">
        <f>"85445"</f>
        <v>85445</v>
      </c>
      <c r="D3481" t="s">
        <v>745</v>
      </c>
      <c r="E3481">
        <v>579</v>
      </c>
      <c r="F3481">
        <v>20131101</v>
      </c>
      <c r="G3481" t="s">
        <v>746</v>
      </c>
      <c r="H3481" t="s">
        <v>555</v>
      </c>
      <c r="I3481" t="s">
        <v>21</v>
      </c>
    </row>
    <row r="3482" spans="1:9" x14ac:dyDescent="0.25">
      <c r="A3482">
        <v>20131107</v>
      </c>
      <c r="B3482" t="str">
        <f>"112593"</f>
        <v>112593</v>
      </c>
      <c r="C3482" t="str">
        <f>"86410"</f>
        <v>86410</v>
      </c>
      <c r="D3482" t="s">
        <v>2069</v>
      </c>
      <c r="E3482">
        <v>360</v>
      </c>
      <c r="F3482">
        <v>20131105</v>
      </c>
      <c r="G3482" t="s">
        <v>1591</v>
      </c>
      <c r="H3482" t="s">
        <v>2093</v>
      </c>
      <c r="I3482" t="s">
        <v>25</v>
      </c>
    </row>
    <row r="3483" spans="1:9" x14ac:dyDescent="0.25">
      <c r="A3483">
        <v>20131107</v>
      </c>
      <c r="B3483" t="str">
        <f>"112594"</f>
        <v>112594</v>
      </c>
      <c r="C3483" t="str">
        <f>"86521"</f>
        <v>86521</v>
      </c>
      <c r="D3483" t="s">
        <v>988</v>
      </c>
      <c r="E3483">
        <v>154.75</v>
      </c>
      <c r="F3483">
        <v>20131101</v>
      </c>
      <c r="G3483" t="s">
        <v>1093</v>
      </c>
      <c r="H3483" t="s">
        <v>765</v>
      </c>
      <c r="I3483" t="s">
        <v>61</v>
      </c>
    </row>
    <row r="3484" spans="1:9" x14ac:dyDescent="0.25">
      <c r="A3484">
        <v>20131107</v>
      </c>
      <c r="B3484" t="str">
        <f>"112595"</f>
        <v>112595</v>
      </c>
      <c r="C3484" t="str">
        <f>"87141"</f>
        <v>87141</v>
      </c>
      <c r="D3484" t="s">
        <v>1332</v>
      </c>
      <c r="E3484" s="1">
        <v>3512.3</v>
      </c>
      <c r="F3484">
        <v>20131104</v>
      </c>
      <c r="G3484" t="s">
        <v>2072</v>
      </c>
      <c r="H3484" t="s">
        <v>2094</v>
      </c>
      <c r="I3484" t="s">
        <v>21</v>
      </c>
    </row>
    <row r="3485" spans="1:9" x14ac:dyDescent="0.25">
      <c r="A3485">
        <v>20131107</v>
      </c>
      <c r="B3485" t="str">
        <f t="shared" ref="B3485:B3509" si="239">"112596"</f>
        <v>112596</v>
      </c>
      <c r="C3485" t="str">
        <f t="shared" ref="C3485:C3509" si="240">"80825"</f>
        <v>80825</v>
      </c>
      <c r="D3485" t="s">
        <v>747</v>
      </c>
      <c r="E3485">
        <v>139.19</v>
      </c>
      <c r="F3485">
        <v>20131104</v>
      </c>
      <c r="G3485" t="s">
        <v>989</v>
      </c>
      <c r="H3485" t="s">
        <v>749</v>
      </c>
      <c r="I3485" t="s">
        <v>61</v>
      </c>
    </row>
    <row r="3486" spans="1:9" x14ac:dyDescent="0.25">
      <c r="A3486">
        <v>20131107</v>
      </c>
      <c r="B3486" t="str">
        <f t="shared" si="239"/>
        <v>112596</v>
      </c>
      <c r="C3486" t="str">
        <f t="shared" si="240"/>
        <v>80825</v>
      </c>
      <c r="D3486" t="s">
        <v>747</v>
      </c>
      <c r="E3486">
        <v>139.19</v>
      </c>
      <c r="F3486">
        <v>20131104</v>
      </c>
      <c r="G3486" t="s">
        <v>989</v>
      </c>
      <c r="H3486" t="s">
        <v>749</v>
      </c>
      <c r="I3486" t="s">
        <v>61</v>
      </c>
    </row>
    <row r="3487" spans="1:9" x14ac:dyDescent="0.25">
      <c r="A3487">
        <v>20131107</v>
      </c>
      <c r="B3487" t="str">
        <f t="shared" si="239"/>
        <v>112596</v>
      </c>
      <c r="C3487" t="str">
        <f t="shared" si="240"/>
        <v>80825</v>
      </c>
      <c r="D3487" t="s">
        <v>747</v>
      </c>
      <c r="E3487" s="1">
        <v>2093.38</v>
      </c>
      <c r="F3487">
        <v>20131104</v>
      </c>
      <c r="G3487" t="s">
        <v>748</v>
      </c>
      <c r="H3487" t="s">
        <v>749</v>
      </c>
      <c r="I3487" t="s">
        <v>21</v>
      </c>
    </row>
    <row r="3488" spans="1:9" x14ac:dyDescent="0.25">
      <c r="A3488">
        <v>20131107</v>
      </c>
      <c r="B3488" t="str">
        <f t="shared" si="239"/>
        <v>112596</v>
      </c>
      <c r="C3488" t="str">
        <f t="shared" si="240"/>
        <v>80825</v>
      </c>
      <c r="D3488" t="s">
        <v>747</v>
      </c>
      <c r="E3488">
        <v>391.37</v>
      </c>
      <c r="F3488">
        <v>20131104</v>
      </c>
      <c r="G3488" t="s">
        <v>748</v>
      </c>
      <c r="H3488" t="s">
        <v>1550</v>
      </c>
      <c r="I3488" t="s">
        <v>21</v>
      </c>
    </row>
    <row r="3489" spans="1:9" x14ac:dyDescent="0.25">
      <c r="A3489">
        <v>20131107</v>
      </c>
      <c r="B3489" t="str">
        <f t="shared" si="239"/>
        <v>112596</v>
      </c>
      <c r="C3489" t="str">
        <f t="shared" si="240"/>
        <v>80825</v>
      </c>
      <c r="D3489" t="s">
        <v>747</v>
      </c>
      <c r="E3489">
        <v>196.46</v>
      </c>
      <c r="F3489">
        <v>20131104</v>
      </c>
      <c r="G3489" t="s">
        <v>1551</v>
      </c>
      <c r="H3489" t="s">
        <v>749</v>
      </c>
      <c r="I3489" t="s">
        <v>21</v>
      </c>
    </row>
    <row r="3490" spans="1:9" x14ac:dyDescent="0.25">
      <c r="A3490">
        <v>20131107</v>
      </c>
      <c r="B3490" t="str">
        <f t="shared" si="239"/>
        <v>112596</v>
      </c>
      <c r="C3490" t="str">
        <f t="shared" si="240"/>
        <v>80825</v>
      </c>
      <c r="D3490" t="s">
        <v>747</v>
      </c>
      <c r="E3490">
        <v>670.6</v>
      </c>
      <c r="F3490">
        <v>20131104</v>
      </c>
      <c r="G3490" t="s">
        <v>750</v>
      </c>
      <c r="H3490" t="s">
        <v>749</v>
      </c>
      <c r="I3490" t="s">
        <v>21</v>
      </c>
    </row>
    <row r="3491" spans="1:9" x14ac:dyDescent="0.25">
      <c r="A3491">
        <v>20131107</v>
      </c>
      <c r="B3491" t="str">
        <f t="shared" si="239"/>
        <v>112596</v>
      </c>
      <c r="C3491" t="str">
        <f t="shared" si="240"/>
        <v>80825</v>
      </c>
      <c r="D3491" t="s">
        <v>747</v>
      </c>
      <c r="E3491">
        <v>670.6</v>
      </c>
      <c r="F3491">
        <v>20131104</v>
      </c>
      <c r="G3491" t="s">
        <v>750</v>
      </c>
      <c r="H3491" t="s">
        <v>749</v>
      </c>
      <c r="I3491" t="s">
        <v>21</v>
      </c>
    </row>
    <row r="3492" spans="1:9" x14ac:dyDescent="0.25">
      <c r="A3492">
        <v>20131107</v>
      </c>
      <c r="B3492" t="str">
        <f t="shared" si="239"/>
        <v>112596</v>
      </c>
      <c r="C3492" t="str">
        <f t="shared" si="240"/>
        <v>80825</v>
      </c>
      <c r="D3492" t="s">
        <v>747</v>
      </c>
      <c r="E3492">
        <v>670.6</v>
      </c>
      <c r="F3492">
        <v>20131104</v>
      </c>
      <c r="G3492" t="s">
        <v>752</v>
      </c>
      <c r="H3492" t="s">
        <v>749</v>
      </c>
      <c r="I3492" t="s">
        <v>21</v>
      </c>
    </row>
    <row r="3493" spans="1:9" x14ac:dyDescent="0.25">
      <c r="A3493">
        <v>20131107</v>
      </c>
      <c r="B3493" t="str">
        <f t="shared" si="239"/>
        <v>112596</v>
      </c>
      <c r="C3493" t="str">
        <f t="shared" si="240"/>
        <v>80825</v>
      </c>
      <c r="D3493" t="s">
        <v>747</v>
      </c>
      <c r="E3493">
        <v>582.95000000000005</v>
      </c>
      <c r="F3493">
        <v>20131104</v>
      </c>
      <c r="G3493" t="s">
        <v>753</v>
      </c>
      <c r="H3493" t="s">
        <v>749</v>
      </c>
      <c r="I3493" t="s">
        <v>21</v>
      </c>
    </row>
    <row r="3494" spans="1:9" x14ac:dyDescent="0.25">
      <c r="A3494">
        <v>20131107</v>
      </c>
      <c r="B3494" t="str">
        <f t="shared" si="239"/>
        <v>112596</v>
      </c>
      <c r="C3494" t="str">
        <f t="shared" si="240"/>
        <v>80825</v>
      </c>
      <c r="D3494" t="s">
        <v>747</v>
      </c>
      <c r="E3494">
        <v>582.95000000000005</v>
      </c>
      <c r="F3494">
        <v>20131104</v>
      </c>
      <c r="G3494" t="s">
        <v>753</v>
      </c>
      <c r="H3494" t="s">
        <v>749</v>
      </c>
      <c r="I3494" t="s">
        <v>21</v>
      </c>
    </row>
    <row r="3495" spans="1:9" x14ac:dyDescent="0.25">
      <c r="A3495">
        <v>20131107</v>
      </c>
      <c r="B3495" t="str">
        <f t="shared" si="239"/>
        <v>112596</v>
      </c>
      <c r="C3495" t="str">
        <f t="shared" si="240"/>
        <v>80825</v>
      </c>
      <c r="D3495" t="s">
        <v>747</v>
      </c>
      <c r="E3495">
        <v>582.95000000000005</v>
      </c>
      <c r="F3495">
        <v>20131104</v>
      </c>
      <c r="G3495" t="s">
        <v>754</v>
      </c>
      <c r="H3495" t="s">
        <v>749</v>
      </c>
      <c r="I3495" t="s">
        <v>21</v>
      </c>
    </row>
    <row r="3496" spans="1:9" x14ac:dyDescent="0.25">
      <c r="A3496">
        <v>20131107</v>
      </c>
      <c r="B3496" t="str">
        <f t="shared" si="239"/>
        <v>112596</v>
      </c>
      <c r="C3496" t="str">
        <f t="shared" si="240"/>
        <v>80825</v>
      </c>
      <c r="D3496" t="s">
        <v>747</v>
      </c>
      <c r="E3496">
        <v>582.95000000000005</v>
      </c>
      <c r="F3496">
        <v>20131104</v>
      </c>
      <c r="G3496" t="s">
        <v>754</v>
      </c>
      <c r="H3496" t="s">
        <v>749</v>
      </c>
      <c r="I3496" t="s">
        <v>21</v>
      </c>
    </row>
    <row r="3497" spans="1:9" x14ac:dyDescent="0.25">
      <c r="A3497">
        <v>20131107</v>
      </c>
      <c r="B3497" t="str">
        <f t="shared" si="239"/>
        <v>112596</v>
      </c>
      <c r="C3497" t="str">
        <f t="shared" si="240"/>
        <v>80825</v>
      </c>
      <c r="D3497" t="s">
        <v>747</v>
      </c>
      <c r="E3497">
        <v>582.95000000000005</v>
      </c>
      <c r="F3497">
        <v>20131104</v>
      </c>
      <c r="G3497" t="s">
        <v>990</v>
      </c>
      <c r="H3497" t="s">
        <v>749</v>
      </c>
      <c r="I3497" t="s">
        <v>21</v>
      </c>
    </row>
    <row r="3498" spans="1:9" x14ac:dyDescent="0.25">
      <c r="A3498">
        <v>20131107</v>
      </c>
      <c r="B3498" t="str">
        <f t="shared" si="239"/>
        <v>112596</v>
      </c>
      <c r="C3498" t="str">
        <f t="shared" si="240"/>
        <v>80825</v>
      </c>
      <c r="D3498" t="s">
        <v>747</v>
      </c>
      <c r="E3498">
        <v>582.95000000000005</v>
      </c>
      <c r="F3498">
        <v>20131104</v>
      </c>
      <c r="G3498" t="s">
        <v>990</v>
      </c>
      <c r="H3498" t="s">
        <v>749</v>
      </c>
      <c r="I3498" t="s">
        <v>21</v>
      </c>
    </row>
    <row r="3499" spans="1:9" x14ac:dyDescent="0.25">
      <c r="A3499">
        <v>20131107</v>
      </c>
      <c r="B3499" t="str">
        <f t="shared" si="239"/>
        <v>112596</v>
      </c>
      <c r="C3499" t="str">
        <f t="shared" si="240"/>
        <v>80825</v>
      </c>
      <c r="D3499" t="s">
        <v>747</v>
      </c>
      <c r="E3499">
        <v>582.95000000000005</v>
      </c>
      <c r="F3499">
        <v>20131104</v>
      </c>
      <c r="G3499" t="s">
        <v>755</v>
      </c>
      <c r="H3499" t="s">
        <v>749</v>
      </c>
      <c r="I3499" t="s">
        <v>21</v>
      </c>
    </row>
    <row r="3500" spans="1:9" x14ac:dyDescent="0.25">
      <c r="A3500">
        <v>20131107</v>
      </c>
      <c r="B3500" t="str">
        <f t="shared" si="239"/>
        <v>112596</v>
      </c>
      <c r="C3500" t="str">
        <f t="shared" si="240"/>
        <v>80825</v>
      </c>
      <c r="D3500" t="s">
        <v>747</v>
      </c>
      <c r="E3500">
        <v>582.95000000000005</v>
      </c>
      <c r="F3500">
        <v>20131104</v>
      </c>
      <c r="G3500" t="s">
        <v>756</v>
      </c>
      <c r="H3500" t="s">
        <v>749</v>
      </c>
      <c r="I3500" t="s">
        <v>21</v>
      </c>
    </row>
    <row r="3501" spans="1:9" x14ac:dyDescent="0.25">
      <c r="A3501">
        <v>20131107</v>
      </c>
      <c r="B3501" t="str">
        <f t="shared" si="239"/>
        <v>112596</v>
      </c>
      <c r="C3501" t="str">
        <f t="shared" si="240"/>
        <v>80825</v>
      </c>
      <c r="D3501" t="s">
        <v>747</v>
      </c>
      <c r="E3501">
        <v>582.95000000000005</v>
      </c>
      <c r="F3501">
        <v>20131104</v>
      </c>
      <c r="G3501" t="s">
        <v>756</v>
      </c>
      <c r="H3501" t="s">
        <v>749</v>
      </c>
      <c r="I3501" t="s">
        <v>21</v>
      </c>
    </row>
    <row r="3502" spans="1:9" x14ac:dyDescent="0.25">
      <c r="A3502">
        <v>20131107</v>
      </c>
      <c r="B3502" t="str">
        <f t="shared" si="239"/>
        <v>112596</v>
      </c>
      <c r="C3502" t="str">
        <f t="shared" si="240"/>
        <v>80825</v>
      </c>
      <c r="D3502" t="s">
        <v>747</v>
      </c>
      <c r="E3502">
        <v>65.5</v>
      </c>
      <c r="F3502">
        <v>20131104</v>
      </c>
      <c r="G3502" t="s">
        <v>757</v>
      </c>
      <c r="H3502" t="s">
        <v>749</v>
      </c>
      <c r="I3502" t="s">
        <v>21</v>
      </c>
    </row>
    <row r="3503" spans="1:9" x14ac:dyDescent="0.25">
      <c r="A3503">
        <v>20131107</v>
      </c>
      <c r="B3503" t="str">
        <f t="shared" si="239"/>
        <v>112596</v>
      </c>
      <c r="C3503" t="str">
        <f t="shared" si="240"/>
        <v>80825</v>
      </c>
      <c r="D3503" t="s">
        <v>747</v>
      </c>
      <c r="E3503">
        <v>133.9</v>
      </c>
      <c r="F3503">
        <v>20131104</v>
      </c>
      <c r="G3503" t="s">
        <v>757</v>
      </c>
      <c r="H3503" t="s">
        <v>749</v>
      </c>
      <c r="I3503" t="s">
        <v>21</v>
      </c>
    </row>
    <row r="3504" spans="1:9" x14ac:dyDescent="0.25">
      <c r="A3504">
        <v>20131107</v>
      </c>
      <c r="B3504" t="str">
        <f t="shared" si="239"/>
        <v>112596</v>
      </c>
      <c r="C3504" t="str">
        <f t="shared" si="240"/>
        <v>80825</v>
      </c>
      <c r="D3504" t="s">
        <v>747</v>
      </c>
      <c r="E3504">
        <v>82.75</v>
      </c>
      <c r="F3504">
        <v>20131104</v>
      </c>
      <c r="G3504" t="s">
        <v>758</v>
      </c>
      <c r="H3504" t="s">
        <v>749</v>
      </c>
      <c r="I3504" t="s">
        <v>21</v>
      </c>
    </row>
    <row r="3505" spans="1:9" x14ac:dyDescent="0.25">
      <c r="A3505">
        <v>20131107</v>
      </c>
      <c r="B3505" t="str">
        <f t="shared" si="239"/>
        <v>112596</v>
      </c>
      <c r="C3505" t="str">
        <f t="shared" si="240"/>
        <v>80825</v>
      </c>
      <c r="D3505" t="s">
        <v>747</v>
      </c>
      <c r="E3505">
        <v>65.48</v>
      </c>
      <c r="F3505">
        <v>20131104</v>
      </c>
      <c r="G3505" t="s">
        <v>544</v>
      </c>
      <c r="H3505" t="s">
        <v>749</v>
      </c>
      <c r="I3505" t="s">
        <v>21</v>
      </c>
    </row>
    <row r="3506" spans="1:9" x14ac:dyDescent="0.25">
      <c r="A3506">
        <v>20131107</v>
      </c>
      <c r="B3506" t="str">
        <f t="shared" si="239"/>
        <v>112596</v>
      </c>
      <c r="C3506" t="str">
        <f t="shared" si="240"/>
        <v>80825</v>
      </c>
      <c r="D3506" t="s">
        <v>747</v>
      </c>
      <c r="E3506">
        <v>133.9</v>
      </c>
      <c r="F3506">
        <v>20131104</v>
      </c>
      <c r="G3506" t="s">
        <v>544</v>
      </c>
      <c r="H3506" t="s">
        <v>749</v>
      </c>
      <c r="I3506" t="s">
        <v>21</v>
      </c>
    </row>
    <row r="3507" spans="1:9" x14ac:dyDescent="0.25">
      <c r="A3507">
        <v>20131107</v>
      </c>
      <c r="B3507" t="str">
        <f t="shared" si="239"/>
        <v>112596</v>
      </c>
      <c r="C3507" t="str">
        <f t="shared" si="240"/>
        <v>80825</v>
      </c>
      <c r="D3507" t="s">
        <v>747</v>
      </c>
      <c r="E3507">
        <v>65.48</v>
      </c>
      <c r="F3507">
        <v>20131104</v>
      </c>
      <c r="G3507" t="s">
        <v>545</v>
      </c>
      <c r="H3507" t="s">
        <v>749</v>
      </c>
      <c r="I3507" t="s">
        <v>21</v>
      </c>
    </row>
    <row r="3508" spans="1:9" x14ac:dyDescent="0.25">
      <c r="A3508">
        <v>20131107</v>
      </c>
      <c r="B3508" t="str">
        <f t="shared" si="239"/>
        <v>112596</v>
      </c>
      <c r="C3508" t="str">
        <f t="shared" si="240"/>
        <v>80825</v>
      </c>
      <c r="D3508" t="s">
        <v>747</v>
      </c>
      <c r="E3508">
        <v>133.91</v>
      </c>
      <c r="F3508">
        <v>20131104</v>
      </c>
      <c r="G3508" t="s">
        <v>545</v>
      </c>
      <c r="H3508" t="s">
        <v>749</v>
      </c>
      <c r="I3508" t="s">
        <v>21</v>
      </c>
    </row>
    <row r="3509" spans="1:9" x14ac:dyDescent="0.25">
      <c r="A3509">
        <v>20131107</v>
      </c>
      <c r="B3509" t="str">
        <f t="shared" si="239"/>
        <v>112596</v>
      </c>
      <c r="C3509" t="str">
        <f t="shared" si="240"/>
        <v>80825</v>
      </c>
      <c r="D3509" t="s">
        <v>747</v>
      </c>
      <c r="E3509">
        <v>196.46</v>
      </c>
      <c r="F3509">
        <v>20131104</v>
      </c>
      <c r="G3509" t="s">
        <v>759</v>
      </c>
      <c r="H3509" t="s">
        <v>749</v>
      </c>
      <c r="I3509" t="s">
        <v>12</v>
      </c>
    </row>
    <row r="3510" spans="1:9" x14ac:dyDescent="0.25">
      <c r="A3510">
        <v>20131114</v>
      </c>
      <c r="B3510" t="str">
        <f>"112597"</f>
        <v>112597</v>
      </c>
      <c r="C3510" t="str">
        <f>"00155"</f>
        <v>00155</v>
      </c>
      <c r="D3510" t="s">
        <v>443</v>
      </c>
      <c r="E3510">
        <v>400</v>
      </c>
      <c r="F3510">
        <v>20131107</v>
      </c>
      <c r="G3510" t="s">
        <v>1270</v>
      </c>
      <c r="H3510" t="s">
        <v>2095</v>
      </c>
      <c r="I3510" t="s">
        <v>21</v>
      </c>
    </row>
    <row r="3511" spans="1:9" x14ac:dyDescent="0.25">
      <c r="A3511">
        <v>20131114</v>
      </c>
      <c r="B3511" t="str">
        <f>"112598"</f>
        <v>112598</v>
      </c>
      <c r="C3511" t="str">
        <f>"84783"</f>
        <v>84783</v>
      </c>
      <c r="D3511" t="s">
        <v>2096</v>
      </c>
      <c r="E3511">
        <v>190</v>
      </c>
      <c r="F3511">
        <v>20131108</v>
      </c>
      <c r="G3511" t="s">
        <v>1672</v>
      </c>
      <c r="H3511" t="s">
        <v>2097</v>
      </c>
      <c r="I3511" t="s">
        <v>21</v>
      </c>
    </row>
    <row r="3512" spans="1:9" x14ac:dyDescent="0.25">
      <c r="A3512">
        <v>20131114</v>
      </c>
      <c r="B3512" t="str">
        <f>"112599"</f>
        <v>112599</v>
      </c>
      <c r="C3512" t="str">
        <f>"86997"</f>
        <v>86997</v>
      </c>
      <c r="D3512" t="s">
        <v>2098</v>
      </c>
      <c r="E3512">
        <v>873.29</v>
      </c>
      <c r="F3512">
        <v>20131107</v>
      </c>
      <c r="G3512" t="s">
        <v>392</v>
      </c>
      <c r="H3512" t="s">
        <v>414</v>
      </c>
      <c r="I3512" t="s">
        <v>21</v>
      </c>
    </row>
    <row r="3513" spans="1:9" x14ac:dyDescent="0.25">
      <c r="A3513">
        <v>20131114</v>
      </c>
      <c r="B3513" t="str">
        <f>"112600"</f>
        <v>112600</v>
      </c>
      <c r="C3513" t="str">
        <f>"00954"</f>
        <v>00954</v>
      </c>
      <c r="D3513" t="s">
        <v>445</v>
      </c>
      <c r="E3513">
        <v>150</v>
      </c>
      <c r="F3513">
        <v>20131107</v>
      </c>
      <c r="G3513" t="s">
        <v>496</v>
      </c>
      <c r="H3513" t="s">
        <v>2099</v>
      </c>
      <c r="I3513" t="s">
        <v>21</v>
      </c>
    </row>
    <row r="3514" spans="1:9" x14ac:dyDescent="0.25">
      <c r="A3514">
        <v>20131114</v>
      </c>
      <c r="B3514" t="str">
        <f>"112600"</f>
        <v>112600</v>
      </c>
      <c r="C3514" t="str">
        <f>"00954"</f>
        <v>00954</v>
      </c>
      <c r="D3514" t="s">
        <v>445</v>
      </c>
      <c r="E3514">
        <v>94</v>
      </c>
      <c r="F3514">
        <v>20131107</v>
      </c>
      <c r="G3514" t="s">
        <v>837</v>
      </c>
      <c r="H3514" t="s">
        <v>2100</v>
      </c>
      <c r="I3514" t="s">
        <v>21</v>
      </c>
    </row>
    <row r="3515" spans="1:9" x14ac:dyDescent="0.25">
      <c r="A3515">
        <v>20131114</v>
      </c>
      <c r="B3515" t="str">
        <f>"112601"</f>
        <v>112601</v>
      </c>
      <c r="C3515" t="str">
        <f>"86517"</f>
        <v>86517</v>
      </c>
      <c r="D3515" t="s">
        <v>2101</v>
      </c>
      <c r="E3515" s="1">
        <v>1867.1</v>
      </c>
      <c r="F3515">
        <v>20131113</v>
      </c>
      <c r="G3515" t="s">
        <v>404</v>
      </c>
      <c r="H3515" t="s">
        <v>2102</v>
      </c>
      <c r="I3515" t="s">
        <v>12</v>
      </c>
    </row>
    <row r="3516" spans="1:9" x14ac:dyDescent="0.25">
      <c r="A3516">
        <v>20131114</v>
      </c>
      <c r="B3516" t="str">
        <f t="shared" ref="B3516:B3524" si="241">"112602"</f>
        <v>112602</v>
      </c>
      <c r="C3516" t="str">
        <f t="shared" ref="C3516:C3524" si="242">"01890"</f>
        <v>01890</v>
      </c>
      <c r="D3516" t="s">
        <v>447</v>
      </c>
      <c r="E3516">
        <v>20.28</v>
      </c>
      <c r="F3516">
        <v>20131107</v>
      </c>
      <c r="G3516" t="s">
        <v>1338</v>
      </c>
      <c r="H3516" t="s">
        <v>414</v>
      </c>
      <c r="I3516" t="s">
        <v>21</v>
      </c>
    </row>
    <row r="3517" spans="1:9" x14ac:dyDescent="0.25">
      <c r="A3517">
        <v>20131114</v>
      </c>
      <c r="B3517" t="str">
        <f t="shared" si="241"/>
        <v>112602</v>
      </c>
      <c r="C3517" t="str">
        <f t="shared" si="242"/>
        <v>01890</v>
      </c>
      <c r="D3517" t="s">
        <v>447</v>
      </c>
      <c r="E3517">
        <v>214.32</v>
      </c>
      <c r="F3517">
        <v>20131108</v>
      </c>
      <c r="G3517" t="s">
        <v>1338</v>
      </c>
      <c r="H3517" t="s">
        <v>414</v>
      </c>
      <c r="I3517" t="s">
        <v>21</v>
      </c>
    </row>
    <row r="3518" spans="1:9" x14ac:dyDescent="0.25">
      <c r="A3518">
        <v>20131114</v>
      </c>
      <c r="B3518" t="str">
        <f t="shared" si="241"/>
        <v>112602</v>
      </c>
      <c r="C3518" t="str">
        <f t="shared" si="242"/>
        <v>01890</v>
      </c>
      <c r="D3518" t="s">
        <v>447</v>
      </c>
      <c r="E3518">
        <v>226.95</v>
      </c>
      <c r="F3518">
        <v>20131108</v>
      </c>
      <c r="G3518" t="s">
        <v>1338</v>
      </c>
      <c r="H3518" t="s">
        <v>414</v>
      </c>
      <c r="I3518" t="s">
        <v>21</v>
      </c>
    </row>
    <row r="3519" spans="1:9" x14ac:dyDescent="0.25">
      <c r="A3519">
        <v>20131114</v>
      </c>
      <c r="B3519" t="str">
        <f t="shared" si="241"/>
        <v>112602</v>
      </c>
      <c r="C3519" t="str">
        <f t="shared" si="242"/>
        <v>01890</v>
      </c>
      <c r="D3519" t="s">
        <v>447</v>
      </c>
      <c r="E3519">
        <v>139.55000000000001</v>
      </c>
      <c r="F3519">
        <v>20131107</v>
      </c>
      <c r="G3519" t="s">
        <v>448</v>
      </c>
      <c r="H3519" t="s">
        <v>414</v>
      </c>
      <c r="I3519" t="s">
        <v>21</v>
      </c>
    </row>
    <row r="3520" spans="1:9" x14ac:dyDescent="0.25">
      <c r="A3520">
        <v>20131114</v>
      </c>
      <c r="B3520" t="str">
        <f t="shared" si="241"/>
        <v>112602</v>
      </c>
      <c r="C3520" t="str">
        <f t="shared" si="242"/>
        <v>01890</v>
      </c>
      <c r="D3520" t="s">
        <v>447</v>
      </c>
      <c r="E3520">
        <v>39.43</v>
      </c>
      <c r="F3520">
        <v>20131107</v>
      </c>
      <c r="G3520" t="s">
        <v>448</v>
      </c>
      <c r="H3520" t="s">
        <v>414</v>
      </c>
      <c r="I3520" t="s">
        <v>21</v>
      </c>
    </row>
    <row r="3521" spans="1:9" x14ac:dyDescent="0.25">
      <c r="A3521">
        <v>20131114</v>
      </c>
      <c r="B3521" t="str">
        <f t="shared" si="241"/>
        <v>112602</v>
      </c>
      <c r="C3521" t="str">
        <f t="shared" si="242"/>
        <v>01890</v>
      </c>
      <c r="D3521" t="s">
        <v>447</v>
      </c>
      <c r="E3521">
        <v>592.23</v>
      </c>
      <c r="F3521">
        <v>20131107</v>
      </c>
      <c r="G3521" t="s">
        <v>448</v>
      </c>
      <c r="H3521" t="s">
        <v>414</v>
      </c>
      <c r="I3521" t="s">
        <v>21</v>
      </c>
    </row>
    <row r="3522" spans="1:9" x14ac:dyDescent="0.25">
      <c r="A3522">
        <v>20131114</v>
      </c>
      <c r="B3522" t="str">
        <f t="shared" si="241"/>
        <v>112602</v>
      </c>
      <c r="C3522" t="str">
        <f t="shared" si="242"/>
        <v>01890</v>
      </c>
      <c r="D3522" t="s">
        <v>447</v>
      </c>
      <c r="E3522" s="1">
        <v>2655.27</v>
      </c>
      <c r="F3522">
        <v>20131113</v>
      </c>
      <c r="G3522" t="s">
        <v>448</v>
      </c>
      <c r="H3522" t="s">
        <v>2103</v>
      </c>
      <c r="I3522" t="s">
        <v>21</v>
      </c>
    </row>
    <row r="3523" spans="1:9" x14ac:dyDescent="0.25">
      <c r="A3523">
        <v>20131114</v>
      </c>
      <c r="B3523" t="str">
        <f t="shared" si="241"/>
        <v>112602</v>
      </c>
      <c r="C3523" t="str">
        <f t="shared" si="242"/>
        <v>01890</v>
      </c>
      <c r="D3523" t="s">
        <v>447</v>
      </c>
      <c r="E3523">
        <v>146.76</v>
      </c>
      <c r="F3523">
        <v>20131107</v>
      </c>
      <c r="G3523" t="s">
        <v>496</v>
      </c>
      <c r="H3523" t="s">
        <v>414</v>
      </c>
      <c r="I3523" t="s">
        <v>21</v>
      </c>
    </row>
    <row r="3524" spans="1:9" x14ac:dyDescent="0.25">
      <c r="A3524">
        <v>20131114</v>
      </c>
      <c r="B3524" t="str">
        <f t="shared" si="241"/>
        <v>112602</v>
      </c>
      <c r="C3524" t="str">
        <f t="shared" si="242"/>
        <v>01890</v>
      </c>
      <c r="D3524" t="s">
        <v>447</v>
      </c>
      <c r="E3524">
        <v>329.28</v>
      </c>
      <c r="F3524">
        <v>20131107</v>
      </c>
      <c r="G3524" t="s">
        <v>392</v>
      </c>
      <c r="H3524" t="s">
        <v>414</v>
      </c>
      <c r="I3524" t="s">
        <v>21</v>
      </c>
    </row>
    <row r="3525" spans="1:9" x14ac:dyDescent="0.25">
      <c r="A3525">
        <v>20131114</v>
      </c>
      <c r="B3525" t="str">
        <f>"112603"</f>
        <v>112603</v>
      </c>
      <c r="C3525" t="str">
        <f>"82045"</f>
        <v>82045</v>
      </c>
      <c r="D3525" t="s">
        <v>1699</v>
      </c>
      <c r="E3525" s="1">
        <v>1578.15</v>
      </c>
      <c r="F3525">
        <v>20131112</v>
      </c>
      <c r="G3525" t="s">
        <v>36</v>
      </c>
      <c r="H3525" t="s">
        <v>2104</v>
      </c>
      <c r="I3525" t="s">
        <v>38</v>
      </c>
    </row>
    <row r="3526" spans="1:9" x14ac:dyDescent="0.25">
      <c r="A3526">
        <v>20131114</v>
      </c>
      <c r="B3526" t="str">
        <f t="shared" ref="B3526:B3539" si="243">"112604"</f>
        <v>112604</v>
      </c>
      <c r="C3526" t="str">
        <f t="shared" ref="C3526:C3541" si="244">"52460"</f>
        <v>52460</v>
      </c>
      <c r="D3526" t="s">
        <v>452</v>
      </c>
      <c r="E3526">
        <v>412.42</v>
      </c>
      <c r="F3526">
        <v>20131108</v>
      </c>
      <c r="G3526" t="s">
        <v>453</v>
      </c>
      <c r="H3526" t="s">
        <v>454</v>
      </c>
      <c r="I3526" t="s">
        <v>21</v>
      </c>
    </row>
    <row r="3527" spans="1:9" x14ac:dyDescent="0.25">
      <c r="A3527">
        <v>20131114</v>
      </c>
      <c r="B3527" t="str">
        <f t="shared" si="243"/>
        <v>112604</v>
      </c>
      <c r="C3527" t="str">
        <f t="shared" si="244"/>
        <v>52460</v>
      </c>
      <c r="D3527" t="s">
        <v>452</v>
      </c>
      <c r="E3527" s="1">
        <v>2295.6</v>
      </c>
      <c r="F3527">
        <v>20131108</v>
      </c>
      <c r="G3527" t="s">
        <v>455</v>
      </c>
      <c r="H3527" t="s">
        <v>454</v>
      </c>
      <c r="I3527" t="s">
        <v>21</v>
      </c>
    </row>
    <row r="3528" spans="1:9" x14ac:dyDescent="0.25">
      <c r="A3528">
        <v>20131114</v>
      </c>
      <c r="B3528" t="str">
        <f t="shared" si="243"/>
        <v>112604</v>
      </c>
      <c r="C3528" t="str">
        <f t="shared" si="244"/>
        <v>52460</v>
      </c>
      <c r="D3528" t="s">
        <v>452</v>
      </c>
      <c r="E3528" s="1">
        <v>1133.54</v>
      </c>
      <c r="F3528">
        <v>20131108</v>
      </c>
      <c r="G3528" t="s">
        <v>456</v>
      </c>
      <c r="H3528" t="s">
        <v>454</v>
      </c>
      <c r="I3528" t="s">
        <v>21</v>
      </c>
    </row>
    <row r="3529" spans="1:9" x14ac:dyDescent="0.25">
      <c r="A3529">
        <v>20131114</v>
      </c>
      <c r="B3529" t="str">
        <f t="shared" si="243"/>
        <v>112604</v>
      </c>
      <c r="C3529" t="str">
        <f t="shared" si="244"/>
        <v>52460</v>
      </c>
      <c r="D3529" t="s">
        <v>452</v>
      </c>
      <c r="E3529" s="1">
        <v>1032.3800000000001</v>
      </c>
      <c r="F3529">
        <v>20131108</v>
      </c>
      <c r="G3529" t="s">
        <v>457</v>
      </c>
      <c r="H3529" t="s">
        <v>454</v>
      </c>
      <c r="I3529" t="s">
        <v>21</v>
      </c>
    </row>
    <row r="3530" spans="1:9" x14ac:dyDescent="0.25">
      <c r="A3530">
        <v>20131114</v>
      </c>
      <c r="B3530" t="str">
        <f t="shared" si="243"/>
        <v>112604</v>
      </c>
      <c r="C3530" t="str">
        <f t="shared" si="244"/>
        <v>52460</v>
      </c>
      <c r="D3530" t="s">
        <v>452</v>
      </c>
      <c r="E3530">
        <v>905.29</v>
      </c>
      <c r="F3530">
        <v>20131108</v>
      </c>
      <c r="G3530" t="s">
        <v>458</v>
      </c>
      <c r="H3530" t="s">
        <v>454</v>
      </c>
      <c r="I3530" t="s">
        <v>21</v>
      </c>
    </row>
    <row r="3531" spans="1:9" x14ac:dyDescent="0.25">
      <c r="A3531">
        <v>20131114</v>
      </c>
      <c r="B3531" t="str">
        <f t="shared" si="243"/>
        <v>112604</v>
      </c>
      <c r="C3531" t="str">
        <f t="shared" si="244"/>
        <v>52460</v>
      </c>
      <c r="D3531" t="s">
        <v>452</v>
      </c>
      <c r="E3531" s="1">
        <v>1032.3800000000001</v>
      </c>
      <c r="F3531">
        <v>20131108</v>
      </c>
      <c r="G3531" t="s">
        <v>459</v>
      </c>
      <c r="H3531" t="s">
        <v>454</v>
      </c>
      <c r="I3531" t="s">
        <v>21</v>
      </c>
    </row>
    <row r="3532" spans="1:9" x14ac:dyDescent="0.25">
      <c r="A3532">
        <v>20131114</v>
      </c>
      <c r="B3532" t="str">
        <f t="shared" si="243"/>
        <v>112604</v>
      </c>
      <c r="C3532" t="str">
        <f t="shared" si="244"/>
        <v>52460</v>
      </c>
      <c r="D3532" t="s">
        <v>452</v>
      </c>
      <c r="E3532">
        <v>962.36</v>
      </c>
      <c r="F3532">
        <v>20131108</v>
      </c>
      <c r="G3532" t="s">
        <v>460</v>
      </c>
      <c r="H3532" t="s">
        <v>454</v>
      </c>
      <c r="I3532" t="s">
        <v>21</v>
      </c>
    </row>
    <row r="3533" spans="1:9" x14ac:dyDescent="0.25">
      <c r="A3533">
        <v>20131114</v>
      </c>
      <c r="B3533" t="str">
        <f t="shared" si="243"/>
        <v>112604</v>
      </c>
      <c r="C3533" t="str">
        <f t="shared" si="244"/>
        <v>52460</v>
      </c>
      <c r="D3533" t="s">
        <v>452</v>
      </c>
      <c r="E3533">
        <v>594.04</v>
      </c>
      <c r="F3533">
        <v>20131108</v>
      </c>
      <c r="G3533" t="s">
        <v>461</v>
      </c>
      <c r="H3533" t="s">
        <v>454</v>
      </c>
      <c r="I3533" t="s">
        <v>21</v>
      </c>
    </row>
    <row r="3534" spans="1:9" x14ac:dyDescent="0.25">
      <c r="A3534">
        <v>20131114</v>
      </c>
      <c r="B3534" t="str">
        <f t="shared" si="243"/>
        <v>112604</v>
      </c>
      <c r="C3534" t="str">
        <f t="shared" si="244"/>
        <v>52460</v>
      </c>
      <c r="D3534" t="s">
        <v>452</v>
      </c>
      <c r="E3534" s="1">
        <v>1032.3800000000001</v>
      </c>
      <c r="F3534">
        <v>20131108</v>
      </c>
      <c r="G3534" t="s">
        <v>462</v>
      </c>
      <c r="H3534" t="s">
        <v>454</v>
      </c>
      <c r="I3534" t="s">
        <v>21</v>
      </c>
    </row>
    <row r="3535" spans="1:9" x14ac:dyDescent="0.25">
      <c r="A3535">
        <v>20131114</v>
      </c>
      <c r="B3535" t="str">
        <f t="shared" si="243"/>
        <v>112604</v>
      </c>
      <c r="C3535" t="str">
        <f t="shared" si="244"/>
        <v>52460</v>
      </c>
      <c r="D3535" t="s">
        <v>452</v>
      </c>
      <c r="E3535">
        <v>272.37</v>
      </c>
      <c r="F3535">
        <v>20131108</v>
      </c>
      <c r="G3535" t="s">
        <v>463</v>
      </c>
      <c r="H3535" t="s">
        <v>454</v>
      </c>
      <c r="I3535" t="s">
        <v>21</v>
      </c>
    </row>
    <row r="3536" spans="1:9" x14ac:dyDescent="0.25">
      <c r="A3536">
        <v>20131114</v>
      </c>
      <c r="B3536" t="str">
        <f t="shared" si="243"/>
        <v>112604</v>
      </c>
      <c r="C3536" t="str">
        <f t="shared" si="244"/>
        <v>52460</v>
      </c>
      <c r="D3536" t="s">
        <v>452</v>
      </c>
      <c r="E3536">
        <v>412.42</v>
      </c>
      <c r="F3536">
        <v>20131108</v>
      </c>
      <c r="G3536" t="s">
        <v>464</v>
      </c>
      <c r="H3536" t="s">
        <v>454</v>
      </c>
      <c r="I3536" t="s">
        <v>21</v>
      </c>
    </row>
    <row r="3537" spans="1:9" x14ac:dyDescent="0.25">
      <c r="A3537">
        <v>20131114</v>
      </c>
      <c r="B3537" t="str">
        <f t="shared" si="243"/>
        <v>112604</v>
      </c>
      <c r="C3537" t="str">
        <f t="shared" si="244"/>
        <v>52460</v>
      </c>
      <c r="D3537" t="s">
        <v>452</v>
      </c>
      <c r="E3537">
        <v>459.12</v>
      </c>
      <c r="F3537">
        <v>20131108</v>
      </c>
      <c r="G3537" t="s">
        <v>465</v>
      </c>
      <c r="H3537" t="s">
        <v>454</v>
      </c>
      <c r="I3537" t="s">
        <v>21</v>
      </c>
    </row>
    <row r="3538" spans="1:9" x14ac:dyDescent="0.25">
      <c r="A3538">
        <v>20131114</v>
      </c>
      <c r="B3538" t="str">
        <f t="shared" si="243"/>
        <v>112604</v>
      </c>
      <c r="C3538" t="str">
        <f t="shared" si="244"/>
        <v>52460</v>
      </c>
      <c r="D3538" t="s">
        <v>452</v>
      </c>
      <c r="E3538">
        <v>701.7</v>
      </c>
      <c r="F3538">
        <v>20131108</v>
      </c>
      <c r="G3538" t="s">
        <v>466</v>
      </c>
      <c r="H3538" t="s">
        <v>454</v>
      </c>
      <c r="I3538" t="s">
        <v>21</v>
      </c>
    </row>
    <row r="3539" spans="1:9" x14ac:dyDescent="0.25">
      <c r="A3539">
        <v>20131114</v>
      </c>
      <c r="B3539" t="str">
        <f t="shared" si="243"/>
        <v>112604</v>
      </c>
      <c r="C3539" t="str">
        <f t="shared" si="244"/>
        <v>52460</v>
      </c>
      <c r="D3539" t="s">
        <v>452</v>
      </c>
      <c r="E3539">
        <v>272.37</v>
      </c>
      <c r="F3539">
        <v>20131108</v>
      </c>
      <c r="G3539" t="s">
        <v>467</v>
      </c>
      <c r="H3539" t="s">
        <v>454</v>
      </c>
      <c r="I3539" t="s">
        <v>21</v>
      </c>
    </row>
    <row r="3540" spans="1:9" x14ac:dyDescent="0.25">
      <c r="A3540">
        <v>20131114</v>
      </c>
      <c r="B3540" t="str">
        <f>"112605"</f>
        <v>112605</v>
      </c>
      <c r="C3540" t="str">
        <f t="shared" si="244"/>
        <v>52460</v>
      </c>
      <c r="D3540" t="s">
        <v>452</v>
      </c>
      <c r="E3540">
        <v>83.86</v>
      </c>
      <c r="F3540">
        <v>20131108</v>
      </c>
      <c r="G3540" t="s">
        <v>23</v>
      </c>
      <c r="H3540" t="s">
        <v>997</v>
      </c>
      <c r="I3540" t="s">
        <v>25</v>
      </c>
    </row>
    <row r="3541" spans="1:9" x14ac:dyDescent="0.25">
      <c r="A3541">
        <v>20131114</v>
      </c>
      <c r="B3541" t="str">
        <f>"112606"</f>
        <v>112606</v>
      </c>
      <c r="C3541" t="str">
        <f t="shared" si="244"/>
        <v>52460</v>
      </c>
      <c r="D3541" t="s">
        <v>452</v>
      </c>
      <c r="E3541">
        <v>29.67</v>
      </c>
      <c r="F3541">
        <v>20131113</v>
      </c>
      <c r="G3541" t="s">
        <v>145</v>
      </c>
      <c r="H3541" t="s">
        <v>997</v>
      </c>
      <c r="I3541" t="s">
        <v>38</v>
      </c>
    </row>
    <row r="3542" spans="1:9" x14ac:dyDescent="0.25">
      <c r="A3542">
        <v>20131114</v>
      </c>
      <c r="B3542" t="str">
        <f>"112607"</f>
        <v>112607</v>
      </c>
      <c r="C3542" t="str">
        <f>"87574"</f>
        <v>87574</v>
      </c>
      <c r="D3542" t="s">
        <v>2105</v>
      </c>
      <c r="E3542">
        <v>990</v>
      </c>
      <c r="F3542">
        <v>20131107</v>
      </c>
      <c r="G3542" t="s">
        <v>734</v>
      </c>
      <c r="H3542" t="s">
        <v>2106</v>
      </c>
      <c r="I3542" t="s">
        <v>21</v>
      </c>
    </row>
    <row r="3543" spans="1:9" x14ac:dyDescent="0.25">
      <c r="A3543">
        <v>20131114</v>
      </c>
      <c r="B3543" t="str">
        <f>"112607"</f>
        <v>112607</v>
      </c>
      <c r="C3543" t="str">
        <f>"87574"</f>
        <v>87574</v>
      </c>
      <c r="D3543" t="s">
        <v>2105</v>
      </c>
      <c r="E3543">
        <v>990</v>
      </c>
      <c r="F3543">
        <v>20131107</v>
      </c>
      <c r="G3543" t="s">
        <v>734</v>
      </c>
      <c r="H3543" t="s">
        <v>2106</v>
      </c>
      <c r="I3543" t="s">
        <v>21</v>
      </c>
    </row>
    <row r="3544" spans="1:9" x14ac:dyDescent="0.25">
      <c r="A3544">
        <v>20131114</v>
      </c>
      <c r="B3544" t="str">
        <f>"112608"</f>
        <v>112608</v>
      </c>
      <c r="C3544" t="str">
        <f>"05800"</f>
        <v>05800</v>
      </c>
      <c r="D3544" t="s">
        <v>998</v>
      </c>
      <c r="E3544" s="1">
        <v>9456.08</v>
      </c>
      <c r="F3544">
        <v>20131108</v>
      </c>
      <c r="G3544" t="s">
        <v>2107</v>
      </c>
      <c r="H3544" t="s">
        <v>2108</v>
      </c>
      <c r="I3544" t="s">
        <v>131</v>
      </c>
    </row>
    <row r="3545" spans="1:9" x14ac:dyDescent="0.25">
      <c r="A3545">
        <v>20131114</v>
      </c>
      <c r="B3545" t="str">
        <f>"112609"</f>
        <v>112609</v>
      </c>
      <c r="C3545" t="str">
        <f>"00500"</f>
        <v>00500</v>
      </c>
      <c r="D3545" t="s">
        <v>486</v>
      </c>
      <c r="E3545" s="1">
        <v>10437.26</v>
      </c>
      <c r="F3545">
        <v>20131108</v>
      </c>
      <c r="G3545" t="s">
        <v>487</v>
      </c>
      <c r="H3545" t="s">
        <v>488</v>
      </c>
      <c r="I3545" t="s">
        <v>21</v>
      </c>
    </row>
    <row r="3546" spans="1:9" x14ac:dyDescent="0.25">
      <c r="A3546">
        <v>20131114</v>
      </c>
      <c r="B3546" t="str">
        <f>"112610"</f>
        <v>112610</v>
      </c>
      <c r="C3546" t="str">
        <f>"00130"</f>
        <v>00130</v>
      </c>
      <c r="D3546" t="s">
        <v>1005</v>
      </c>
      <c r="E3546">
        <v>70</v>
      </c>
      <c r="F3546">
        <v>20131113</v>
      </c>
      <c r="G3546" t="s">
        <v>1359</v>
      </c>
      <c r="H3546" t="s">
        <v>361</v>
      </c>
      <c r="I3546" t="s">
        <v>21</v>
      </c>
    </row>
    <row r="3547" spans="1:9" x14ac:dyDescent="0.25">
      <c r="A3547">
        <v>20131114</v>
      </c>
      <c r="B3547" t="str">
        <f>"112611"</f>
        <v>112611</v>
      </c>
      <c r="C3547" t="str">
        <f>"00255"</f>
        <v>00255</v>
      </c>
      <c r="D3547" t="s">
        <v>489</v>
      </c>
      <c r="E3547">
        <v>512.30999999999995</v>
      </c>
      <c r="F3547">
        <v>20131108</v>
      </c>
      <c r="G3547" t="s">
        <v>491</v>
      </c>
      <c r="H3547" t="s">
        <v>488</v>
      </c>
      <c r="I3547" t="s">
        <v>21</v>
      </c>
    </row>
    <row r="3548" spans="1:9" x14ac:dyDescent="0.25">
      <c r="A3548">
        <v>20131114</v>
      </c>
      <c r="B3548" t="str">
        <f>"112611"</f>
        <v>112611</v>
      </c>
      <c r="C3548" t="str">
        <f>"00255"</f>
        <v>00255</v>
      </c>
      <c r="D3548" t="s">
        <v>489</v>
      </c>
      <c r="E3548">
        <v>270.77</v>
      </c>
      <c r="F3548">
        <v>20131108</v>
      </c>
      <c r="G3548" t="s">
        <v>493</v>
      </c>
      <c r="H3548" t="s">
        <v>488</v>
      </c>
      <c r="I3548" t="s">
        <v>21</v>
      </c>
    </row>
    <row r="3549" spans="1:9" x14ac:dyDescent="0.25">
      <c r="A3549">
        <v>20131114</v>
      </c>
      <c r="B3549" t="str">
        <f>"112611"</f>
        <v>112611</v>
      </c>
      <c r="C3549" t="str">
        <f>"00255"</f>
        <v>00255</v>
      </c>
      <c r="D3549" t="s">
        <v>489</v>
      </c>
      <c r="E3549">
        <v>187.48</v>
      </c>
      <c r="F3549">
        <v>20131108</v>
      </c>
      <c r="G3549" t="s">
        <v>494</v>
      </c>
      <c r="H3549" t="s">
        <v>488</v>
      </c>
      <c r="I3549" t="s">
        <v>21</v>
      </c>
    </row>
    <row r="3550" spans="1:9" x14ac:dyDescent="0.25">
      <c r="A3550">
        <v>20131114</v>
      </c>
      <c r="B3550" t="str">
        <f>"112612"</f>
        <v>112612</v>
      </c>
      <c r="C3550" t="str">
        <f>"09575"</f>
        <v>09575</v>
      </c>
      <c r="D3550" t="s">
        <v>2109</v>
      </c>
      <c r="E3550">
        <v>774</v>
      </c>
      <c r="F3550">
        <v>20131113</v>
      </c>
      <c r="G3550" t="s">
        <v>1017</v>
      </c>
      <c r="H3550" t="s">
        <v>2110</v>
      </c>
      <c r="I3550" t="s">
        <v>63</v>
      </c>
    </row>
    <row r="3551" spans="1:9" x14ac:dyDescent="0.25">
      <c r="A3551">
        <v>20131114</v>
      </c>
      <c r="B3551" t="str">
        <f>"112613"</f>
        <v>112613</v>
      </c>
      <c r="C3551" t="str">
        <f>"00728"</f>
        <v>00728</v>
      </c>
      <c r="D3551" t="s">
        <v>1557</v>
      </c>
      <c r="E3551" s="1">
        <v>1776.96</v>
      </c>
      <c r="F3551">
        <v>20131108</v>
      </c>
      <c r="G3551" t="s">
        <v>1772</v>
      </c>
      <c r="H3551" t="s">
        <v>2111</v>
      </c>
      <c r="I3551" t="s">
        <v>21</v>
      </c>
    </row>
    <row r="3552" spans="1:9" x14ac:dyDescent="0.25">
      <c r="A3552">
        <v>20131114</v>
      </c>
      <c r="B3552" t="str">
        <f>"112614"</f>
        <v>112614</v>
      </c>
      <c r="C3552" t="str">
        <f>"86854"</f>
        <v>86854</v>
      </c>
      <c r="D3552" t="s">
        <v>2112</v>
      </c>
      <c r="E3552">
        <v>372.38</v>
      </c>
      <c r="F3552">
        <v>20131113</v>
      </c>
      <c r="G3552" t="s">
        <v>828</v>
      </c>
      <c r="H3552" t="s">
        <v>2113</v>
      </c>
      <c r="I3552" t="s">
        <v>21</v>
      </c>
    </row>
    <row r="3553" spans="1:9" x14ac:dyDescent="0.25">
      <c r="A3553">
        <v>20131114</v>
      </c>
      <c r="B3553" t="str">
        <f>"112615"</f>
        <v>112615</v>
      </c>
      <c r="C3553" t="str">
        <f>"87555"</f>
        <v>87555</v>
      </c>
      <c r="D3553" t="s">
        <v>1560</v>
      </c>
      <c r="E3553">
        <v>27</v>
      </c>
      <c r="F3553">
        <v>20131107</v>
      </c>
      <c r="G3553" t="s">
        <v>562</v>
      </c>
      <c r="H3553" t="s">
        <v>563</v>
      </c>
      <c r="I3553" t="s">
        <v>21</v>
      </c>
    </row>
    <row r="3554" spans="1:9" x14ac:dyDescent="0.25">
      <c r="A3554">
        <v>20131114</v>
      </c>
      <c r="B3554" t="str">
        <f>"112616"</f>
        <v>112616</v>
      </c>
      <c r="C3554" t="str">
        <f>"84323"</f>
        <v>84323</v>
      </c>
      <c r="D3554" t="s">
        <v>2114</v>
      </c>
      <c r="E3554">
        <v>69.39</v>
      </c>
      <c r="F3554">
        <v>20131113</v>
      </c>
      <c r="G3554" t="s">
        <v>1112</v>
      </c>
      <c r="H3554" t="s">
        <v>365</v>
      </c>
      <c r="I3554" t="s">
        <v>66</v>
      </c>
    </row>
    <row r="3555" spans="1:9" x14ac:dyDescent="0.25">
      <c r="A3555">
        <v>20131114</v>
      </c>
      <c r="B3555" t="str">
        <f>"112617"</f>
        <v>112617</v>
      </c>
      <c r="C3555" t="str">
        <f>"11570"</f>
        <v>11570</v>
      </c>
      <c r="D3555" t="s">
        <v>1354</v>
      </c>
      <c r="E3555">
        <v>55</v>
      </c>
      <c r="F3555">
        <v>20131107</v>
      </c>
      <c r="G3555" t="s">
        <v>621</v>
      </c>
      <c r="H3555" t="s">
        <v>1355</v>
      </c>
      <c r="I3555" t="s">
        <v>21</v>
      </c>
    </row>
    <row r="3556" spans="1:9" x14ac:dyDescent="0.25">
      <c r="A3556">
        <v>20131114</v>
      </c>
      <c r="B3556" t="str">
        <f>"112617"</f>
        <v>112617</v>
      </c>
      <c r="C3556" t="str">
        <f>"11570"</f>
        <v>11570</v>
      </c>
      <c r="D3556" t="s">
        <v>1354</v>
      </c>
      <c r="E3556">
        <v>50</v>
      </c>
      <c r="F3556">
        <v>20131107</v>
      </c>
      <c r="G3556" t="s">
        <v>526</v>
      </c>
      <c r="H3556" t="s">
        <v>1355</v>
      </c>
      <c r="I3556" t="s">
        <v>21</v>
      </c>
    </row>
    <row r="3557" spans="1:9" x14ac:dyDescent="0.25">
      <c r="A3557">
        <v>20131114</v>
      </c>
      <c r="B3557" t="str">
        <f>"112617"</f>
        <v>112617</v>
      </c>
      <c r="C3557" t="str">
        <f>"11570"</f>
        <v>11570</v>
      </c>
      <c r="D3557" t="s">
        <v>1354</v>
      </c>
      <c r="E3557" s="1">
        <v>4800</v>
      </c>
      <c r="F3557">
        <v>20131107</v>
      </c>
      <c r="G3557" t="s">
        <v>1271</v>
      </c>
      <c r="H3557" t="s">
        <v>1355</v>
      </c>
      <c r="I3557" t="s">
        <v>21</v>
      </c>
    </row>
    <row r="3558" spans="1:9" x14ac:dyDescent="0.25">
      <c r="A3558">
        <v>20131114</v>
      </c>
      <c r="B3558" t="str">
        <f>"112617"</f>
        <v>112617</v>
      </c>
      <c r="C3558" t="str">
        <f>"11570"</f>
        <v>11570</v>
      </c>
      <c r="D3558" t="s">
        <v>1354</v>
      </c>
      <c r="E3558">
        <v>45</v>
      </c>
      <c r="F3558">
        <v>20131107</v>
      </c>
      <c r="G3558" t="s">
        <v>1273</v>
      </c>
      <c r="H3558" t="s">
        <v>1355</v>
      </c>
      <c r="I3558" t="s">
        <v>21</v>
      </c>
    </row>
    <row r="3559" spans="1:9" x14ac:dyDescent="0.25">
      <c r="A3559">
        <v>20131114</v>
      </c>
      <c r="B3559" t="str">
        <f>"112617"</f>
        <v>112617</v>
      </c>
      <c r="C3559" t="str">
        <f>"11570"</f>
        <v>11570</v>
      </c>
      <c r="D3559" t="s">
        <v>1354</v>
      </c>
      <c r="E3559">
        <v>45</v>
      </c>
      <c r="F3559">
        <v>20131107</v>
      </c>
      <c r="G3559" t="s">
        <v>1464</v>
      </c>
      <c r="H3559" t="s">
        <v>1355</v>
      </c>
      <c r="I3559" t="s">
        <v>21</v>
      </c>
    </row>
    <row r="3560" spans="1:9" x14ac:dyDescent="0.25">
      <c r="A3560">
        <v>20131114</v>
      </c>
      <c r="B3560" t="str">
        <f>"112618"</f>
        <v>112618</v>
      </c>
      <c r="C3560" t="str">
        <f>"81301"</f>
        <v>81301</v>
      </c>
      <c r="D3560" t="s">
        <v>779</v>
      </c>
      <c r="E3560">
        <v>35.64</v>
      </c>
      <c r="F3560">
        <v>20131107</v>
      </c>
      <c r="G3560" t="s">
        <v>892</v>
      </c>
      <c r="H3560" t="s">
        <v>563</v>
      </c>
      <c r="I3560" t="s">
        <v>79</v>
      </c>
    </row>
    <row r="3561" spans="1:9" x14ac:dyDescent="0.25">
      <c r="A3561">
        <v>20131114</v>
      </c>
      <c r="B3561" t="str">
        <f>"112619"</f>
        <v>112619</v>
      </c>
      <c r="C3561" t="str">
        <f>"82560"</f>
        <v>82560</v>
      </c>
      <c r="D3561" t="s">
        <v>403</v>
      </c>
      <c r="E3561" s="1">
        <v>4844.2</v>
      </c>
      <c r="F3561">
        <v>20131113</v>
      </c>
      <c r="G3561" t="s">
        <v>404</v>
      </c>
      <c r="H3561" t="s">
        <v>405</v>
      </c>
      <c r="I3561" t="s">
        <v>12</v>
      </c>
    </row>
    <row r="3562" spans="1:9" x14ac:dyDescent="0.25">
      <c r="A3562">
        <v>20131114</v>
      </c>
      <c r="B3562" t="str">
        <f>"112620"</f>
        <v>112620</v>
      </c>
      <c r="C3562" t="str">
        <f>"11851"</f>
        <v>11851</v>
      </c>
      <c r="D3562" t="s">
        <v>342</v>
      </c>
      <c r="E3562">
        <v>52.5</v>
      </c>
      <c r="F3562">
        <v>20131113</v>
      </c>
      <c r="G3562" t="s">
        <v>145</v>
      </c>
      <c r="H3562" t="s">
        <v>1357</v>
      </c>
      <c r="I3562" t="s">
        <v>38</v>
      </c>
    </row>
    <row r="3563" spans="1:9" x14ac:dyDescent="0.25">
      <c r="A3563">
        <v>20131114</v>
      </c>
      <c r="B3563" t="str">
        <f>"112620"</f>
        <v>112620</v>
      </c>
      <c r="C3563" t="str">
        <f>"11851"</f>
        <v>11851</v>
      </c>
      <c r="D3563" t="s">
        <v>342</v>
      </c>
      <c r="E3563">
        <v>190</v>
      </c>
      <c r="F3563">
        <v>20131112</v>
      </c>
      <c r="G3563" t="s">
        <v>171</v>
      </c>
      <c r="H3563" t="s">
        <v>2115</v>
      </c>
      <c r="I3563" t="s">
        <v>38</v>
      </c>
    </row>
    <row r="3564" spans="1:9" x14ac:dyDescent="0.25">
      <c r="A3564">
        <v>20131114</v>
      </c>
      <c r="B3564" t="str">
        <f>"112620"</f>
        <v>112620</v>
      </c>
      <c r="C3564" t="str">
        <f>"11851"</f>
        <v>11851</v>
      </c>
      <c r="D3564" t="s">
        <v>342</v>
      </c>
      <c r="E3564">
        <v>87.95</v>
      </c>
      <c r="F3564">
        <v>20131108</v>
      </c>
      <c r="G3564" t="s">
        <v>119</v>
      </c>
      <c r="H3564" t="s">
        <v>1357</v>
      </c>
      <c r="I3564" t="s">
        <v>38</v>
      </c>
    </row>
    <row r="3565" spans="1:9" x14ac:dyDescent="0.25">
      <c r="A3565">
        <v>20131114</v>
      </c>
      <c r="B3565" t="str">
        <f>"112621"</f>
        <v>112621</v>
      </c>
      <c r="C3565" t="str">
        <f>"11805"</f>
        <v>11805</v>
      </c>
      <c r="D3565" t="s">
        <v>1358</v>
      </c>
      <c r="E3565" s="1">
        <v>6747.12</v>
      </c>
      <c r="F3565">
        <v>20131113</v>
      </c>
      <c r="G3565" t="s">
        <v>404</v>
      </c>
      <c r="H3565" t="s">
        <v>133</v>
      </c>
      <c r="I3565" t="s">
        <v>12</v>
      </c>
    </row>
    <row r="3566" spans="1:9" x14ac:dyDescent="0.25">
      <c r="A3566">
        <v>20131114</v>
      </c>
      <c r="B3566" t="str">
        <f>"112622"</f>
        <v>112622</v>
      </c>
      <c r="C3566" t="str">
        <f>"86965"</f>
        <v>86965</v>
      </c>
      <c r="D3566" t="s">
        <v>2116</v>
      </c>
      <c r="E3566">
        <v>98.31</v>
      </c>
      <c r="F3566">
        <v>20131107</v>
      </c>
      <c r="G3566" t="s">
        <v>1003</v>
      </c>
      <c r="H3566" t="s">
        <v>765</v>
      </c>
      <c r="I3566" t="s">
        <v>61</v>
      </c>
    </row>
    <row r="3567" spans="1:9" x14ac:dyDescent="0.25">
      <c r="A3567">
        <v>20131114</v>
      </c>
      <c r="B3567" t="str">
        <f>"112623"</f>
        <v>112623</v>
      </c>
      <c r="C3567" t="str">
        <f>"87004"</f>
        <v>87004</v>
      </c>
      <c r="D3567" t="s">
        <v>787</v>
      </c>
      <c r="E3567">
        <v>5</v>
      </c>
      <c r="F3567">
        <v>20131108</v>
      </c>
      <c r="G3567" t="s">
        <v>1079</v>
      </c>
      <c r="H3567" t="s">
        <v>2117</v>
      </c>
      <c r="I3567" t="s">
        <v>21</v>
      </c>
    </row>
    <row r="3568" spans="1:9" x14ac:dyDescent="0.25">
      <c r="A3568">
        <v>20131114</v>
      </c>
      <c r="B3568" t="str">
        <f>"112624"</f>
        <v>112624</v>
      </c>
      <c r="C3568" t="str">
        <f>"12392"</f>
        <v>12392</v>
      </c>
      <c r="D3568" t="s">
        <v>1196</v>
      </c>
      <c r="E3568">
        <v>57.57</v>
      </c>
      <c r="F3568">
        <v>20131113</v>
      </c>
      <c r="G3568" t="s">
        <v>1197</v>
      </c>
      <c r="H3568" t="s">
        <v>365</v>
      </c>
      <c r="I3568" t="s">
        <v>21</v>
      </c>
    </row>
    <row r="3569" spans="1:9" x14ac:dyDescent="0.25">
      <c r="A3569">
        <v>20131114</v>
      </c>
      <c r="B3569" t="str">
        <f t="shared" ref="B3569:B3585" si="245">"112625"</f>
        <v>112625</v>
      </c>
      <c r="C3569" t="str">
        <f t="shared" ref="C3569:C3585" si="246">"86533"</f>
        <v>86533</v>
      </c>
      <c r="D3569" t="s">
        <v>505</v>
      </c>
      <c r="E3569">
        <v>115.25</v>
      </c>
      <c r="F3569">
        <v>20131113</v>
      </c>
      <c r="G3569" t="s">
        <v>794</v>
      </c>
      <c r="H3569" t="s">
        <v>525</v>
      </c>
      <c r="I3569" t="s">
        <v>21</v>
      </c>
    </row>
    <row r="3570" spans="1:9" x14ac:dyDescent="0.25">
      <c r="A3570">
        <v>20131114</v>
      </c>
      <c r="B3570" t="str">
        <f t="shared" si="245"/>
        <v>112625</v>
      </c>
      <c r="C3570" t="str">
        <f t="shared" si="246"/>
        <v>86533</v>
      </c>
      <c r="D3570" t="s">
        <v>505</v>
      </c>
      <c r="E3570">
        <v>90</v>
      </c>
      <c r="F3570">
        <v>20131113</v>
      </c>
      <c r="G3570" t="s">
        <v>794</v>
      </c>
      <c r="H3570" t="s">
        <v>525</v>
      </c>
      <c r="I3570" t="s">
        <v>21</v>
      </c>
    </row>
    <row r="3571" spans="1:9" x14ac:dyDescent="0.25">
      <c r="A3571">
        <v>20131114</v>
      </c>
      <c r="B3571" t="str">
        <f t="shared" si="245"/>
        <v>112625</v>
      </c>
      <c r="C3571" t="str">
        <f t="shared" si="246"/>
        <v>86533</v>
      </c>
      <c r="D3571" t="s">
        <v>505</v>
      </c>
      <c r="E3571">
        <v>35</v>
      </c>
      <c r="F3571">
        <v>20131113</v>
      </c>
      <c r="G3571" t="s">
        <v>794</v>
      </c>
      <c r="H3571" t="s">
        <v>525</v>
      </c>
      <c r="I3571" t="s">
        <v>21</v>
      </c>
    </row>
    <row r="3572" spans="1:9" x14ac:dyDescent="0.25">
      <c r="A3572">
        <v>20131114</v>
      </c>
      <c r="B3572" t="str">
        <f t="shared" si="245"/>
        <v>112625</v>
      </c>
      <c r="C3572" t="str">
        <f t="shared" si="246"/>
        <v>86533</v>
      </c>
      <c r="D3572" t="s">
        <v>505</v>
      </c>
      <c r="E3572">
        <v>679.48</v>
      </c>
      <c r="F3572">
        <v>20131113</v>
      </c>
      <c r="G3572" t="s">
        <v>506</v>
      </c>
      <c r="H3572" t="s">
        <v>2118</v>
      </c>
      <c r="I3572" t="s">
        <v>21</v>
      </c>
    </row>
    <row r="3573" spans="1:9" x14ac:dyDescent="0.25">
      <c r="A3573">
        <v>20131114</v>
      </c>
      <c r="B3573" t="str">
        <f t="shared" si="245"/>
        <v>112625</v>
      </c>
      <c r="C3573" t="str">
        <f t="shared" si="246"/>
        <v>86533</v>
      </c>
      <c r="D3573" t="s">
        <v>505</v>
      </c>
      <c r="E3573" s="1">
        <v>1432.03</v>
      </c>
      <c r="F3573">
        <v>20131113</v>
      </c>
      <c r="G3573" t="s">
        <v>506</v>
      </c>
      <c r="H3573" t="s">
        <v>2119</v>
      </c>
      <c r="I3573" t="s">
        <v>21</v>
      </c>
    </row>
    <row r="3574" spans="1:9" x14ac:dyDescent="0.25">
      <c r="A3574">
        <v>20131114</v>
      </c>
      <c r="B3574" t="str">
        <f t="shared" si="245"/>
        <v>112625</v>
      </c>
      <c r="C3574" t="str">
        <f t="shared" si="246"/>
        <v>86533</v>
      </c>
      <c r="D3574" t="s">
        <v>505</v>
      </c>
      <c r="E3574">
        <v>80</v>
      </c>
      <c r="F3574">
        <v>20131113</v>
      </c>
      <c r="G3574" t="s">
        <v>506</v>
      </c>
      <c r="H3574" t="s">
        <v>414</v>
      </c>
      <c r="I3574" t="s">
        <v>21</v>
      </c>
    </row>
    <row r="3575" spans="1:9" x14ac:dyDescent="0.25">
      <c r="A3575">
        <v>20131114</v>
      </c>
      <c r="B3575" t="str">
        <f t="shared" si="245"/>
        <v>112625</v>
      </c>
      <c r="C3575" t="str">
        <f t="shared" si="246"/>
        <v>86533</v>
      </c>
      <c r="D3575" t="s">
        <v>505</v>
      </c>
      <c r="E3575">
        <v>97.28</v>
      </c>
      <c r="F3575">
        <v>20131113</v>
      </c>
      <c r="G3575" t="s">
        <v>506</v>
      </c>
      <c r="H3575" t="s">
        <v>414</v>
      </c>
      <c r="I3575" t="s">
        <v>21</v>
      </c>
    </row>
    <row r="3576" spans="1:9" x14ac:dyDescent="0.25">
      <c r="A3576">
        <v>20131114</v>
      </c>
      <c r="B3576" t="str">
        <f t="shared" si="245"/>
        <v>112625</v>
      </c>
      <c r="C3576" t="str">
        <f t="shared" si="246"/>
        <v>86533</v>
      </c>
      <c r="D3576" t="s">
        <v>505</v>
      </c>
      <c r="E3576">
        <v>117.09</v>
      </c>
      <c r="F3576">
        <v>20131113</v>
      </c>
      <c r="G3576" t="s">
        <v>506</v>
      </c>
      <c r="H3576" t="s">
        <v>414</v>
      </c>
      <c r="I3576" t="s">
        <v>21</v>
      </c>
    </row>
    <row r="3577" spans="1:9" x14ac:dyDescent="0.25">
      <c r="A3577">
        <v>20131114</v>
      </c>
      <c r="B3577" t="str">
        <f t="shared" si="245"/>
        <v>112625</v>
      </c>
      <c r="C3577" t="str">
        <f t="shared" si="246"/>
        <v>86533</v>
      </c>
      <c r="D3577" t="s">
        <v>505</v>
      </c>
      <c r="E3577">
        <v>36.72</v>
      </c>
      <c r="F3577">
        <v>20131113</v>
      </c>
      <c r="G3577" t="s">
        <v>506</v>
      </c>
      <c r="H3577" t="s">
        <v>414</v>
      </c>
      <c r="I3577" t="s">
        <v>21</v>
      </c>
    </row>
    <row r="3578" spans="1:9" x14ac:dyDescent="0.25">
      <c r="A3578">
        <v>20131114</v>
      </c>
      <c r="B3578" t="str">
        <f t="shared" si="245"/>
        <v>112625</v>
      </c>
      <c r="C3578" t="str">
        <f t="shared" si="246"/>
        <v>86533</v>
      </c>
      <c r="D3578" t="s">
        <v>505</v>
      </c>
      <c r="E3578">
        <v>312.22000000000003</v>
      </c>
      <c r="F3578">
        <v>20131113</v>
      </c>
      <c r="G3578" t="s">
        <v>506</v>
      </c>
      <c r="H3578" t="s">
        <v>414</v>
      </c>
      <c r="I3578" t="s">
        <v>21</v>
      </c>
    </row>
    <row r="3579" spans="1:9" x14ac:dyDescent="0.25">
      <c r="A3579">
        <v>20131114</v>
      </c>
      <c r="B3579" t="str">
        <f t="shared" si="245"/>
        <v>112625</v>
      </c>
      <c r="C3579" t="str">
        <f t="shared" si="246"/>
        <v>86533</v>
      </c>
      <c r="D3579" t="s">
        <v>505</v>
      </c>
      <c r="E3579">
        <v>-97.28</v>
      </c>
      <c r="F3579">
        <v>20131114</v>
      </c>
      <c r="G3579" t="s">
        <v>506</v>
      </c>
      <c r="H3579" t="s">
        <v>414</v>
      </c>
      <c r="I3579" t="s">
        <v>21</v>
      </c>
    </row>
    <row r="3580" spans="1:9" x14ac:dyDescent="0.25">
      <c r="A3580">
        <v>20131114</v>
      </c>
      <c r="B3580" t="str">
        <f t="shared" si="245"/>
        <v>112625</v>
      </c>
      <c r="C3580" t="str">
        <f t="shared" si="246"/>
        <v>86533</v>
      </c>
      <c r="D3580" t="s">
        <v>505</v>
      </c>
      <c r="E3580">
        <v>-80</v>
      </c>
      <c r="F3580">
        <v>20131114</v>
      </c>
      <c r="G3580" t="s">
        <v>506</v>
      </c>
      <c r="H3580" t="s">
        <v>414</v>
      </c>
      <c r="I3580" t="s">
        <v>21</v>
      </c>
    </row>
    <row r="3581" spans="1:9" x14ac:dyDescent="0.25">
      <c r="A3581">
        <v>20131114</v>
      </c>
      <c r="B3581" t="str">
        <f t="shared" si="245"/>
        <v>112625</v>
      </c>
      <c r="C3581" t="str">
        <f t="shared" si="246"/>
        <v>86533</v>
      </c>
      <c r="D3581" t="s">
        <v>505</v>
      </c>
      <c r="E3581">
        <v>6</v>
      </c>
      <c r="F3581">
        <v>20131113</v>
      </c>
      <c r="G3581" t="s">
        <v>1640</v>
      </c>
      <c r="H3581" t="s">
        <v>2120</v>
      </c>
      <c r="I3581" t="s">
        <v>21</v>
      </c>
    </row>
    <row r="3582" spans="1:9" x14ac:dyDescent="0.25">
      <c r="A3582">
        <v>20131114</v>
      </c>
      <c r="B3582" t="str">
        <f t="shared" si="245"/>
        <v>112625</v>
      </c>
      <c r="C3582" t="str">
        <f t="shared" si="246"/>
        <v>86533</v>
      </c>
      <c r="D3582" t="s">
        <v>505</v>
      </c>
      <c r="E3582">
        <v>36</v>
      </c>
      <c r="F3582">
        <v>20131113</v>
      </c>
      <c r="G3582" t="s">
        <v>1640</v>
      </c>
      <c r="H3582" t="s">
        <v>2120</v>
      </c>
      <c r="I3582" t="s">
        <v>21</v>
      </c>
    </row>
    <row r="3583" spans="1:9" x14ac:dyDescent="0.25">
      <c r="A3583">
        <v>20131114</v>
      </c>
      <c r="B3583" t="str">
        <f t="shared" si="245"/>
        <v>112625</v>
      </c>
      <c r="C3583" t="str">
        <f t="shared" si="246"/>
        <v>86533</v>
      </c>
      <c r="D3583" t="s">
        <v>505</v>
      </c>
      <c r="E3583">
        <v>19.2</v>
      </c>
      <c r="F3583">
        <v>20131113</v>
      </c>
      <c r="G3583" t="s">
        <v>1640</v>
      </c>
      <c r="H3583" t="s">
        <v>2121</v>
      </c>
      <c r="I3583" t="s">
        <v>21</v>
      </c>
    </row>
    <row r="3584" spans="1:9" x14ac:dyDescent="0.25">
      <c r="A3584">
        <v>20131114</v>
      </c>
      <c r="B3584" t="str">
        <f t="shared" si="245"/>
        <v>112625</v>
      </c>
      <c r="C3584" t="str">
        <f t="shared" si="246"/>
        <v>86533</v>
      </c>
      <c r="D3584" t="s">
        <v>505</v>
      </c>
      <c r="E3584">
        <v>109.74</v>
      </c>
      <c r="F3584">
        <v>20131113</v>
      </c>
      <c r="G3584" t="s">
        <v>1640</v>
      </c>
      <c r="H3584" t="s">
        <v>414</v>
      </c>
      <c r="I3584" t="s">
        <v>21</v>
      </c>
    </row>
    <row r="3585" spans="1:9" x14ac:dyDescent="0.25">
      <c r="A3585">
        <v>20131114</v>
      </c>
      <c r="B3585" t="str">
        <f t="shared" si="245"/>
        <v>112625</v>
      </c>
      <c r="C3585" t="str">
        <f t="shared" si="246"/>
        <v>86533</v>
      </c>
      <c r="D3585" t="s">
        <v>505</v>
      </c>
      <c r="E3585">
        <v>173.79</v>
      </c>
      <c r="F3585">
        <v>20131113</v>
      </c>
      <c r="G3585" t="s">
        <v>2122</v>
      </c>
      <c r="H3585" t="s">
        <v>414</v>
      </c>
      <c r="I3585" t="s">
        <v>21</v>
      </c>
    </row>
    <row r="3586" spans="1:9" x14ac:dyDescent="0.25">
      <c r="A3586">
        <v>20131114</v>
      </c>
      <c r="B3586" t="str">
        <f>"112626"</f>
        <v>112626</v>
      </c>
      <c r="C3586" t="str">
        <f>"83519"</f>
        <v>83519</v>
      </c>
      <c r="D3586" t="s">
        <v>2123</v>
      </c>
      <c r="E3586">
        <v>107.46</v>
      </c>
      <c r="F3586">
        <v>20131112</v>
      </c>
      <c r="G3586" t="s">
        <v>1846</v>
      </c>
      <c r="H3586" t="s">
        <v>765</v>
      </c>
      <c r="I3586" t="s">
        <v>63</v>
      </c>
    </row>
    <row r="3587" spans="1:9" x14ac:dyDescent="0.25">
      <c r="A3587">
        <v>20131114</v>
      </c>
      <c r="B3587" t="str">
        <f>"112627"</f>
        <v>112627</v>
      </c>
      <c r="C3587" t="str">
        <f>"13257"</f>
        <v>13257</v>
      </c>
      <c r="D3587" t="s">
        <v>1198</v>
      </c>
      <c r="E3587">
        <v>20.88</v>
      </c>
      <c r="F3587">
        <v>20131107</v>
      </c>
      <c r="G3587" t="s">
        <v>562</v>
      </c>
      <c r="H3587" t="s">
        <v>563</v>
      </c>
      <c r="I3587" t="s">
        <v>21</v>
      </c>
    </row>
    <row r="3588" spans="1:9" x14ac:dyDescent="0.25">
      <c r="A3588">
        <v>20131114</v>
      </c>
      <c r="B3588" t="str">
        <f>"112628"</f>
        <v>112628</v>
      </c>
      <c r="C3588" t="str">
        <f>"87078"</f>
        <v>87078</v>
      </c>
      <c r="D3588" t="s">
        <v>2124</v>
      </c>
      <c r="E3588">
        <v>142.27000000000001</v>
      </c>
      <c r="F3588">
        <v>20131112</v>
      </c>
      <c r="G3588" t="s">
        <v>1846</v>
      </c>
      <c r="H3588" t="s">
        <v>765</v>
      </c>
      <c r="I3588" t="s">
        <v>63</v>
      </c>
    </row>
    <row r="3589" spans="1:9" x14ac:dyDescent="0.25">
      <c r="A3589">
        <v>20131114</v>
      </c>
      <c r="B3589" t="str">
        <f>"112629"</f>
        <v>112629</v>
      </c>
      <c r="C3589" t="str">
        <f>"10075"</f>
        <v>10075</v>
      </c>
      <c r="D3589" t="s">
        <v>1199</v>
      </c>
      <c r="E3589">
        <v>840</v>
      </c>
      <c r="F3589">
        <v>20131112</v>
      </c>
      <c r="G3589" t="s">
        <v>1209</v>
      </c>
      <c r="H3589" t="s">
        <v>2125</v>
      </c>
      <c r="I3589" t="s">
        <v>25</v>
      </c>
    </row>
    <row r="3590" spans="1:9" x14ac:dyDescent="0.25">
      <c r="A3590">
        <v>20131114</v>
      </c>
      <c r="B3590" t="str">
        <f>"112630"</f>
        <v>112630</v>
      </c>
      <c r="C3590" t="str">
        <f>"83493"</f>
        <v>83493</v>
      </c>
      <c r="D3590" t="s">
        <v>509</v>
      </c>
      <c r="E3590">
        <v>675</v>
      </c>
      <c r="F3590">
        <v>20131112</v>
      </c>
      <c r="G3590" t="s">
        <v>1969</v>
      </c>
      <c r="H3590" t="s">
        <v>2126</v>
      </c>
      <c r="I3590" t="s">
        <v>21</v>
      </c>
    </row>
    <row r="3591" spans="1:9" x14ac:dyDescent="0.25">
      <c r="A3591">
        <v>20131114</v>
      </c>
      <c r="B3591" t="str">
        <f>"112631"</f>
        <v>112631</v>
      </c>
      <c r="C3591" t="str">
        <f>"86576"</f>
        <v>86576</v>
      </c>
      <c r="D3591" t="s">
        <v>409</v>
      </c>
      <c r="E3591">
        <v>46.8</v>
      </c>
      <c r="F3591">
        <v>20131113</v>
      </c>
      <c r="G3591" t="s">
        <v>410</v>
      </c>
      <c r="H3591" t="s">
        <v>411</v>
      </c>
      <c r="I3591" t="s">
        <v>12</v>
      </c>
    </row>
    <row r="3592" spans="1:9" x14ac:dyDescent="0.25">
      <c r="A3592">
        <v>20131114</v>
      </c>
      <c r="B3592" t="str">
        <f>"112632"</f>
        <v>112632</v>
      </c>
      <c r="C3592" t="str">
        <f>"16500"</f>
        <v>16500</v>
      </c>
      <c r="D3592" t="s">
        <v>798</v>
      </c>
      <c r="E3592">
        <v>80</v>
      </c>
      <c r="F3592">
        <v>20131112</v>
      </c>
      <c r="G3592" t="s">
        <v>159</v>
      </c>
      <c r="H3592" t="s">
        <v>784</v>
      </c>
      <c r="I3592" t="s">
        <v>25</v>
      </c>
    </row>
    <row r="3593" spans="1:9" x14ac:dyDescent="0.25">
      <c r="A3593">
        <v>20131114</v>
      </c>
      <c r="B3593" t="str">
        <f>"112633"</f>
        <v>112633</v>
      </c>
      <c r="C3593" t="str">
        <f>"84575"</f>
        <v>84575</v>
      </c>
      <c r="D3593" t="s">
        <v>1568</v>
      </c>
      <c r="E3593">
        <v>324</v>
      </c>
      <c r="F3593">
        <v>20131108</v>
      </c>
      <c r="G3593" t="s">
        <v>562</v>
      </c>
      <c r="H3593" t="s">
        <v>563</v>
      </c>
      <c r="I3593" t="s">
        <v>21</v>
      </c>
    </row>
    <row r="3594" spans="1:9" x14ac:dyDescent="0.25">
      <c r="A3594">
        <v>20131114</v>
      </c>
      <c r="B3594" t="str">
        <f>"112634"</f>
        <v>112634</v>
      </c>
      <c r="C3594" t="str">
        <f>"87611"</f>
        <v>87611</v>
      </c>
      <c r="D3594" t="s">
        <v>2127</v>
      </c>
      <c r="E3594">
        <v>200</v>
      </c>
      <c r="F3594">
        <v>20131113</v>
      </c>
      <c r="G3594" t="s">
        <v>982</v>
      </c>
      <c r="H3594" t="s">
        <v>2128</v>
      </c>
      <c r="I3594" t="s">
        <v>21</v>
      </c>
    </row>
    <row r="3595" spans="1:9" x14ac:dyDescent="0.25">
      <c r="A3595">
        <v>20131114</v>
      </c>
      <c r="B3595" t="str">
        <f>"112635"</f>
        <v>112635</v>
      </c>
      <c r="C3595" t="str">
        <f>"87611"</f>
        <v>87611</v>
      </c>
      <c r="D3595" t="s">
        <v>2127</v>
      </c>
      <c r="E3595">
        <v>200</v>
      </c>
      <c r="F3595">
        <v>20131113</v>
      </c>
      <c r="G3595" t="s">
        <v>982</v>
      </c>
      <c r="H3595" t="s">
        <v>2128</v>
      </c>
      <c r="I3595" t="s">
        <v>21</v>
      </c>
    </row>
    <row r="3596" spans="1:9" x14ac:dyDescent="0.25">
      <c r="A3596">
        <v>20131114</v>
      </c>
      <c r="B3596" t="str">
        <f>"112636"</f>
        <v>112636</v>
      </c>
      <c r="C3596" t="str">
        <f>"16988"</f>
        <v>16988</v>
      </c>
      <c r="D3596" t="s">
        <v>510</v>
      </c>
      <c r="E3596">
        <v>623.48</v>
      </c>
      <c r="F3596">
        <v>20131107</v>
      </c>
      <c r="G3596" t="s">
        <v>496</v>
      </c>
      <c r="H3596" t="s">
        <v>414</v>
      </c>
      <c r="I3596" t="s">
        <v>21</v>
      </c>
    </row>
    <row r="3597" spans="1:9" x14ac:dyDescent="0.25">
      <c r="A3597">
        <v>20131114</v>
      </c>
      <c r="B3597" t="str">
        <f>"112636"</f>
        <v>112636</v>
      </c>
      <c r="C3597" t="str">
        <f>"16988"</f>
        <v>16988</v>
      </c>
      <c r="D3597" t="s">
        <v>510</v>
      </c>
      <c r="E3597">
        <v>725</v>
      </c>
      <c r="F3597">
        <v>20131107</v>
      </c>
      <c r="G3597" t="s">
        <v>511</v>
      </c>
      <c r="H3597" t="s">
        <v>2129</v>
      </c>
      <c r="I3597" t="s">
        <v>21</v>
      </c>
    </row>
    <row r="3598" spans="1:9" x14ac:dyDescent="0.25">
      <c r="A3598">
        <v>20131114</v>
      </c>
      <c r="B3598" t="str">
        <f>"112636"</f>
        <v>112636</v>
      </c>
      <c r="C3598" t="str">
        <f>"16988"</f>
        <v>16988</v>
      </c>
      <c r="D3598" t="s">
        <v>510</v>
      </c>
      <c r="E3598">
        <v>927.94</v>
      </c>
      <c r="F3598">
        <v>20131107</v>
      </c>
      <c r="G3598" t="s">
        <v>511</v>
      </c>
      <c r="H3598" t="s">
        <v>512</v>
      </c>
      <c r="I3598" t="s">
        <v>21</v>
      </c>
    </row>
    <row r="3599" spans="1:9" x14ac:dyDescent="0.25">
      <c r="A3599">
        <v>20131114</v>
      </c>
      <c r="B3599" t="str">
        <f>"112636"</f>
        <v>112636</v>
      </c>
      <c r="C3599" t="str">
        <f>"16988"</f>
        <v>16988</v>
      </c>
      <c r="D3599" t="s">
        <v>510</v>
      </c>
      <c r="E3599">
        <v>453.14</v>
      </c>
      <c r="F3599">
        <v>20131107</v>
      </c>
      <c r="G3599" t="s">
        <v>413</v>
      </c>
      <c r="H3599" t="s">
        <v>414</v>
      </c>
      <c r="I3599" t="s">
        <v>21</v>
      </c>
    </row>
    <row r="3600" spans="1:9" x14ac:dyDescent="0.25">
      <c r="A3600">
        <v>20131114</v>
      </c>
      <c r="B3600" t="str">
        <f t="shared" ref="B3600:B3613" si="247">"112637"</f>
        <v>112637</v>
      </c>
      <c r="C3600" t="str">
        <f t="shared" ref="C3600:C3613" si="248">"16998"</f>
        <v>16998</v>
      </c>
      <c r="D3600" t="s">
        <v>1372</v>
      </c>
      <c r="E3600">
        <v>705.11</v>
      </c>
      <c r="F3600">
        <v>20131107</v>
      </c>
      <c r="G3600" t="s">
        <v>1270</v>
      </c>
      <c r="H3600" t="s">
        <v>525</v>
      </c>
      <c r="I3600" t="s">
        <v>21</v>
      </c>
    </row>
    <row r="3601" spans="1:9" x14ac:dyDescent="0.25">
      <c r="A3601">
        <v>20131114</v>
      </c>
      <c r="B3601" t="str">
        <f t="shared" si="247"/>
        <v>112637</v>
      </c>
      <c r="C3601" t="str">
        <f t="shared" si="248"/>
        <v>16998</v>
      </c>
      <c r="D3601" t="s">
        <v>1372</v>
      </c>
      <c r="E3601">
        <v>311.10000000000002</v>
      </c>
      <c r="F3601">
        <v>20131107</v>
      </c>
      <c r="G3601" t="s">
        <v>950</v>
      </c>
      <c r="H3601" t="s">
        <v>525</v>
      </c>
      <c r="I3601" t="s">
        <v>21</v>
      </c>
    </row>
    <row r="3602" spans="1:9" x14ac:dyDescent="0.25">
      <c r="A3602">
        <v>20131114</v>
      </c>
      <c r="B3602" t="str">
        <f t="shared" si="247"/>
        <v>112637</v>
      </c>
      <c r="C3602" t="str">
        <f t="shared" si="248"/>
        <v>16998</v>
      </c>
      <c r="D3602" t="s">
        <v>1372</v>
      </c>
      <c r="E3602">
        <v>611.75</v>
      </c>
      <c r="F3602">
        <v>20131107</v>
      </c>
      <c r="G3602" t="s">
        <v>524</v>
      </c>
      <c r="H3602" t="s">
        <v>1375</v>
      </c>
      <c r="I3602" t="s">
        <v>21</v>
      </c>
    </row>
    <row r="3603" spans="1:9" x14ac:dyDescent="0.25">
      <c r="A3603">
        <v>20131114</v>
      </c>
      <c r="B3603" t="str">
        <f t="shared" si="247"/>
        <v>112637</v>
      </c>
      <c r="C3603" t="str">
        <f t="shared" si="248"/>
        <v>16998</v>
      </c>
      <c r="D3603" t="s">
        <v>1372</v>
      </c>
      <c r="E3603">
        <v>897.31</v>
      </c>
      <c r="F3603">
        <v>20131107</v>
      </c>
      <c r="G3603" t="s">
        <v>450</v>
      </c>
      <c r="H3603" t="s">
        <v>1375</v>
      </c>
      <c r="I3603" t="s">
        <v>21</v>
      </c>
    </row>
    <row r="3604" spans="1:9" x14ac:dyDescent="0.25">
      <c r="A3604">
        <v>20131114</v>
      </c>
      <c r="B3604" t="str">
        <f t="shared" si="247"/>
        <v>112637</v>
      </c>
      <c r="C3604" t="str">
        <f t="shared" si="248"/>
        <v>16998</v>
      </c>
      <c r="D3604" t="s">
        <v>1372</v>
      </c>
      <c r="E3604">
        <v>624.95000000000005</v>
      </c>
      <c r="F3604">
        <v>20131107</v>
      </c>
      <c r="G3604" t="s">
        <v>450</v>
      </c>
      <c r="H3604" t="s">
        <v>1375</v>
      </c>
      <c r="I3604" t="s">
        <v>21</v>
      </c>
    </row>
    <row r="3605" spans="1:9" x14ac:dyDescent="0.25">
      <c r="A3605">
        <v>20131114</v>
      </c>
      <c r="B3605" t="str">
        <f t="shared" si="247"/>
        <v>112637</v>
      </c>
      <c r="C3605" t="str">
        <f t="shared" si="248"/>
        <v>16998</v>
      </c>
      <c r="D3605" t="s">
        <v>1372</v>
      </c>
      <c r="E3605" s="1">
        <v>1595</v>
      </c>
      <c r="F3605">
        <v>20131107</v>
      </c>
      <c r="G3605" t="s">
        <v>450</v>
      </c>
      <c r="H3605" t="s">
        <v>2130</v>
      </c>
      <c r="I3605" t="s">
        <v>21</v>
      </c>
    </row>
    <row r="3606" spans="1:9" x14ac:dyDescent="0.25">
      <c r="A3606">
        <v>20131114</v>
      </c>
      <c r="B3606" t="str">
        <f t="shared" si="247"/>
        <v>112637</v>
      </c>
      <c r="C3606" t="str">
        <f t="shared" si="248"/>
        <v>16998</v>
      </c>
      <c r="D3606" t="s">
        <v>1372</v>
      </c>
      <c r="E3606">
        <v>75</v>
      </c>
      <c r="F3606">
        <v>20131107</v>
      </c>
      <c r="G3606" t="s">
        <v>450</v>
      </c>
      <c r="H3606" t="s">
        <v>1375</v>
      </c>
      <c r="I3606" t="s">
        <v>21</v>
      </c>
    </row>
    <row r="3607" spans="1:9" x14ac:dyDescent="0.25">
      <c r="A3607">
        <v>20131114</v>
      </c>
      <c r="B3607" t="str">
        <f t="shared" si="247"/>
        <v>112637</v>
      </c>
      <c r="C3607" t="str">
        <f t="shared" si="248"/>
        <v>16998</v>
      </c>
      <c r="D3607" t="s">
        <v>1372</v>
      </c>
      <c r="E3607">
        <v>967.3</v>
      </c>
      <c r="F3607">
        <v>20131107</v>
      </c>
      <c r="G3607" t="s">
        <v>1464</v>
      </c>
      <c r="H3607" t="s">
        <v>1375</v>
      </c>
      <c r="I3607" t="s">
        <v>21</v>
      </c>
    </row>
    <row r="3608" spans="1:9" x14ac:dyDescent="0.25">
      <c r="A3608">
        <v>20131114</v>
      </c>
      <c r="B3608" t="str">
        <f t="shared" si="247"/>
        <v>112637</v>
      </c>
      <c r="C3608" t="str">
        <f t="shared" si="248"/>
        <v>16998</v>
      </c>
      <c r="D3608" t="s">
        <v>1372</v>
      </c>
      <c r="E3608" s="1">
        <v>1136.6400000000001</v>
      </c>
      <c r="F3608">
        <v>20131107</v>
      </c>
      <c r="G3608" t="s">
        <v>1380</v>
      </c>
      <c r="H3608" t="s">
        <v>525</v>
      </c>
      <c r="I3608" t="s">
        <v>21</v>
      </c>
    </row>
    <row r="3609" spans="1:9" x14ac:dyDescent="0.25">
      <c r="A3609">
        <v>20131114</v>
      </c>
      <c r="B3609" t="str">
        <f t="shared" si="247"/>
        <v>112637</v>
      </c>
      <c r="C3609" t="str">
        <f t="shared" si="248"/>
        <v>16998</v>
      </c>
      <c r="D3609" t="s">
        <v>1372</v>
      </c>
      <c r="E3609">
        <v>375</v>
      </c>
      <c r="F3609">
        <v>20131107</v>
      </c>
      <c r="G3609" t="s">
        <v>1380</v>
      </c>
      <c r="H3609" t="s">
        <v>1375</v>
      </c>
      <c r="I3609" t="s">
        <v>21</v>
      </c>
    </row>
    <row r="3610" spans="1:9" x14ac:dyDescent="0.25">
      <c r="A3610">
        <v>20131114</v>
      </c>
      <c r="B3610" t="str">
        <f t="shared" si="247"/>
        <v>112637</v>
      </c>
      <c r="C3610" t="str">
        <f t="shared" si="248"/>
        <v>16998</v>
      </c>
      <c r="D3610" t="s">
        <v>1372</v>
      </c>
      <c r="E3610">
        <v>302.61</v>
      </c>
      <c r="F3610">
        <v>20131107</v>
      </c>
      <c r="G3610" t="s">
        <v>1222</v>
      </c>
      <c r="H3610" t="s">
        <v>2131</v>
      </c>
      <c r="I3610" t="s">
        <v>21</v>
      </c>
    </row>
    <row r="3611" spans="1:9" x14ac:dyDescent="0.25">
      <c r="A3611">
        <v>20131114</v>
      </c>
      <c r="B3611" t="str">
        <f t="shared" si="247"/>
        <v>112637</v>
      </c>
      <c r="C3611" t="str">
        <f t="shared" si="248"/>
        <v>16998</v>
      </c>
      <c r="D3611" t="s">
        <v>1372</v>
      </c>
      <c r="E3611">
        <v>712.04</v>
      </c>
      <c r="F3611">
        <v>20131107</v>
      </c>
      <c r="G3611" t="s">
        <v>530</v>
      </c>
      <c r="H3611" t="s">
        <v>2132</v>
      </c>
      <c r="I3611" t="s">
        <v>21</v>
      </c>
    </row>
    <row r="3612" spans="1:9" x14ac:dyDescent="0.25">
      <c r="A3612">
        <v>20131114</v>
      </c>
      <c r="B3612" t="str">
        <f t="shared" si="247"/>
        <v>112637</v>
      </c>
      <c r="C3612" t="str">
        <f t="shared" si="248"/>
        <v>16998</v>
      </c>
      <c r="D3612" t="s">
        <v>1372</v>
      </c>
      <c r="E3612">
        <v>624.36</v>
      </c>
      <c r="F3612">
        <v>20131107</v>
      </c>
      <c r="G3612" t="s">
        <v>392</v>
      </c>
      <c r="H3612" t="s">
        <v>2133</v>
      </c>
      <c r="I3612" t="s">
        <v>21</v>
      </c>
    </row>
    <row r="3613" spans="1:9" x14ac:dyDescent="0.25">
      <c r="A3613">
        <v>20131114</v>
      </c>
      <c r="B3613" t="str">
        <f t="shared" si="247"/>
        <v>112637</v>
      </c>
      <c r="C3613" t="str">
        <f t="shared" si="248"/>
        <v>16998</v>
      </c>
      <c r="D3613" t="s">
        <v>1372</v>
      </c>
      <c r="E3613">
        <v>57.6</v>
      </c>
      <c r="F3613">
        <v>20131107</v>
      </c>
      <c r="G3613" t="s">
        <v>1224</v>
      </c>
      <c r="H3613" t="s">
        <v>2134</v>
      </c>
      <c r="I3613" t="s">
        <v>21</v>
      </c>
    </row>
    <row r="3614" spans="1:9" x14ac:dyDescent="0.25">
      <c r="A3614">
        <v>20131114</v>
      </c>
      <c r="B3614" t="str">
        <f>"112638"</f>
        <v>112638</v>
      </c>
      <c r="C3614" t="str">
        <f>"87549"</f>
        <v>87549</v>
      </c>
      <c r="D3614" t="s">
        <v>1382</v>
      </c>
      <c r="E3614">
        <v>149.97</v>
      </c>
      <c r="F3614">
        <v>20131113</v>
      </c>
      <c r="G3614" t="s">
        <v>99</v>
      </c>
      <c r="H3614" t="s">
        <v>2135</v>
      </c>
      <c r="I3614" t="s">
        <v>21</v>
      </c>
    </row>
    <row r="3615" spans="1:9" x14ac:dyDescent="0.25">
      <c r="A3615">
        <v>20131114</v>
      </c>
      <c r="B3615" t="str">
        <f>"112639"</f>
        <v>112639</v>
      </c>
      <c r="C3615" t="str">
        <f>"83876"</f>
        <v>83876</v>
      </c>
      <c r="D3615" t="s">
        <v>1211</v>
      </c>
      <c r="E3615">
        <v>37.549999999999997</v>
      </c>
      <c r="F3615">
        <v>20131107</v>
      </c>
      <c r="G3615" t="s">
        <v>415</v>
      </c>
      <c r="H3615" t="s">
        <v>414</v>
      </c>
      <c r="I3615" t="s">
        <v>21</v>
      </c>
    </row>
    <row r="3616" spans="1:9" x14ac:dyDescent="0.25">
      <c r="A3616">
        <v>20131114</v>
      </c>
      <c r="B3616" t="str">
        <f>"112640"</f>
        <v>112640</v>
      </c>
      <c r="C3616" t="str">
        <f>"19178"</f>
        <v>19178</v>
      </c>
      <c r="D3616" t="s">
        <v>1293</v>
      </c>
      <c r="E3616">
        <v>454.21</v>
      </c>
      <c r="F3616">
        <v>20131113</v>
      </c>
      <c r="G3616" t="s">
        <v>1241</v>
      </c>
      <c r="H3616" t="s">
        <v>2136</v>
      </c>
      <c r="I3616" t="s">
        <v>21</v>
      </c>
    </row>
    <row r="3617" spans="1:9" x14ac:dyDescent="0.25">
      <c r="A3617">
        <v>20131114</v>
      </c>
      <c r="B3617" t="str">
        <f>"112641"</f>
        <v>112641</v>
      </c>
      <c r="C3617" t="str">
        <f>"19192"</f>
        <v>19192</v>
      </c>
      <c r="D3617" t="s">
        <v>2137</v>
      </c>
      <c r="E3617">
        <v>10</v>
      </c>
      <c r="F3617">
        <v>20131112</v>
      </c>
      <c r="G3617" t="s">
        <v>2138</v>
      </c>
      <c r="H3617" t="s">
        <v>354</v>
      </c>
      <c r="I3617" t="s">
        <v>21</v>
      </c>
    </row>
    <row r="3618" spans="1:9" x14ac:dyDescent="0.25">
      <c r="A3618">
        <v>20131114</v>
      </c>
      <c r="B3618" t="str">
        <f>"112642"</f>
        <v>112642</v>
      </c>
      <c r="C3618" t="str">
        <f>"87577"</f>
        <v>87577</v>
      </c>
      <c r="D3618" t="s">
        <v>2139</v>
      </c>
      <c r="E3618">
        <v>162.93</v>
      </c>
      <c r="F3618">
        <v>20131107</v>
      </c>
      <c r="G3618" t="s">
        <v>1224</v>
      </c>
      <c r="H3618" t="s">
        <v>414</v>
      </c>
      <c r="I3618" t="s">
        <v>21</v>
      </c>
    </row>
    <row r="3619" spans="1:9" x14ac:dyDescent="0.25">
      <c r="A3619">
        <v>20131114</v>
      </c>
      <c r="B3619" t="str">
        <f t="shared" ref="B3619:B3625" si="249">"112643"</f>
        <v>112643</v>
      </c>
      <c r="C3619" t="str">
        <f t="shared" ref="C3619:C3625" si="250">"87566"</f>
        <v>87566</v>
      </c>
      <c r="D3619" t="s">
        <v>2139</v>
      </c>
      <c r="E3619">
        <v>96.13</v>
      </c>
      <c r="F3619">
        <v>20131107</v>
      </c>
      <c r="G3619" t="s">
        <v>392</v>
      </c>
      <c r="H3619" t="s">
        <v>414</v>
      </c>
      <c r="I3619" t="s">
        <v>21</v>
      </c>
    </row>
    <row r="3620" spans="1:9" x14ac:dyDescent="0.25">
      <c r="A3620">
        <v>20131114</v>
      </c>
      <c r="B3620" t="str">
        <f t="shared" si="249"/>
        <v>112643</v>
      </c>
      <c r="C3620" t="str">
        <f t="shared" si="250"/>
        <v>87566</v>
      </c>
      <c r="D3620" t="s">
        <v>2139</v>
      </c>
      <c r="E3620" s="1">
        <v>1471.89</v>
      </c>
      <c r="F3620">
        <v>20131107</v>
      </c>
      <c r="G3620" t="s">
        <v>1224</v>
      </c>
      <c r="H3620" t="s">
        <v>414</v>
      </c>
      <c r="I3620" t="s">
        <v>21</v>
      </c>
    </row>
    <row r="3621" spans="1:9" x14ac:dyDescent="0.25">
      <c r="A3621">
        <v>20131114</v>
      </c>
      <c r="B3621" t="str">
        <f t="shared" si="249"/>
        <v>112643</v>
      </c>
      <c r="C3621" t="str">
        <f t="shared" si="250"/>
        <v>87566</v>
      </c>
      <c r="D3621" t="s">
        <v>2139</v>
      </c>
      <c r="E3621">
        <v>828.5</v>
      </c>
      <c r="F3621">
        <v>20131107</v>
      </c>
      <c r="G3621" t="s">
        <v>1224</v>
      </c>
      <c r="H3621" t="s">
        <v>414</v>
      </c>
      <c r="I3621" t="s">
        <v>21</v>
      </c>
    </row>
    <row r="3622" spans="1:9" x14ac:dyDescent="0.25">
      <c r="A3622">
        <v>20131114</v>
      </c>
      <c r="B3622" t="str">
        <f t="shared" si="249"/>
        <v>112643</v>
      </c>
      <c r="C3622" t="str">
        <f t="shared" si="250"/>
        <v>87566</v>
      </c>
      <c r="D3622" t="s">
        <v>2139</v>
      </c>
      <c r="E3622">
        <v>909.51</v>
      </c>
      <c r="F3622">
        <v>20131107</v>
      </c>
      <c r="G3622" t="s">
        <v>1224</v>
      </c>
      <c r="H3622" t="s">
        <v>414</v>
      </c>
      <c r="I3622" t="s">
        <v>21</v>
      </c>
    </row>
    <row r="3623" spans="1:9" x14ac:dyDescent="0.25">
      <c r="A3623">
        <v>20131114</v>
      </c>
      <c r="B3623" t="str">
        <f t="shared" si="249"/>
        <v>112643</v>
      </c>
      <c r="C3623" t="str">
        <f t="shared" si="250"/>
        <v>87566</v>
      </c>
      <c r="D3623" t="s">
        <v>2139</v>
      </c>
      <c r="E3623">
        <v>644.26</v>
      </c>
      <c r="F3623">
        <v>20131107</v>
      </c>
      <c r="G3623" t="s">
        <v>1224</v>
      </c>
      <c r="H3623" t="s">
        <v>414</v>
      </c>
      <c r="I3623" t="s">
        <v>21</v>
      </c>
    </row>
    <row r="3624" spans="1:9" x14ac:dyDescent="0.25">
      <c r="A3624">
        <v>20131114</v>
      </c>
      <c r="B3624" t="str">
        <f t="shared" si="249"/>
        <v>112643</v>
      </c>
      <c r="C3624" t="str">
        <f t="shared" si="250"/>
        <v>87566</v>
      </c>
      <c r="D3624" t="s">
        <v>2139</v>
      </c>
      <c r="E3624">
        <v>100.62</v>
      </c>
      <c r="F3624">
        <v>20131107</v>
      </c>
      <c r="G3624" t="s">
        <v>1224</v>
      </c>
      <c r="H3624" t="s">
        <v>414</v>
      </c>
      <c r="I3624" t="s">
        <v>21</v>
      </c>
    </row>
    <row r="3625" spans="1:9" x14ac:dyDescent="0.25">
      <c r="A3625">
        <v>20131114</v>
      </c>
      <c r="B3625" t="str">
        <f t="shared" si="249"/>
        <v>112643</v>
      </c>
      <c r="C3625" t="str">
        <f t="shared" si="250"/>
        <v>87566</v>
      </c>
      <c r="D3625" t="s">
        <v>2139</v>
      </c>
      <c r="E3625">
        <v>182</v>
      </c>
      <c r="F3625">
        <v>20131107</v>
      </c>
      <c r="G3625" t="s">
        <v>417</v>
      </c>
      <c r="H3625" t="s">
        <v>414</v>
      </c>
      <c r="I3625" t="s">
        <v>21</v>
      </c>
    </row>
    <row r="3626" spans="1:9" x14ac:dyDescent="0.25">
      <c r="A3626">
        <v>20131114</v>
      </c>
      <c r="B3626" t="str">
        <f>"112644"</f>
        <v>112644</v>
      </c>
      <c r="C3626" t="str">
        <f>"87150"</f>
        <v>87150</v>
      </c>
      <c r="D3626" t="s">
        <v>1386</v>
      </c>
      <c r="E3626" s="1">
        <v>1786.7</v>
      </c>
      <c r="F3626">
        <v>20131113</v>
      </c>
      <c r="G3626" t="s">
        <v>404</v>
      </c>
      <c r="H3626" t="s">
        <v>2140</v>
      </c>
      <c r="I3626" t="s">
        <v>12</v>
      </c>
    </row>
    <row r="3627" spans="1:9" x14ac:dyDescent="0.25">
      <c r="A3627">
        <v>20131114</v>
      </c>
      <c r="B3627" t="str">
        <f>"112644"</f>
        <v>112644</v>
      </c>
      <c r="C3627" t="str">
        <f>"87150"</f>
        <v>87150</v>
      </c>
      <c r="D3627" t="s">
        <v>1386</v>
      </c>
      <c r="E3627">
        <v>58.4</v>
      </c>
      <c r="F3627">
        <v>20131113</v>
      </c>
      <c r="G3627" t="s">
        <v>202</v>
      </c>
      <c r="H3627" t="s">
        <v>2141</v>
      </c>
      <c r="I3627" t="s">
        <v>12</v>
      </c>
    </row>
    <row r="3628" spans="1:9" x14ac:dyDescent="0.25">
      <c r="A3628">
        <v>20131114</v>
      </c>
      <c r="B3628" t="str">
        <f>"112645"</f>
        <v>112645</v>
      </c>
      <c r="C3628" t="str">
        <f>"81580"</f>
        <v>81580</v>
      </c>
      <c r="D3628" t="s">
        <v>2142</v>
      </c>
      <c r="E3628">
        <v>57.57</v>
      </c>
      <c r="F3628">
        <v>20131107</v>
      </c>
      <c r="G3628" t="s">
        <v>1033</v>
      </c>
      <c r="H3628" t="s">
        <v>365</v>
      </c>
      <c r="I3628" t="s">
        <v>21</v>
      </c>
    </row>
    <row r="3629" spans="1:9" x14ac:dyDescent="0.25">
      <c r="A3629">
        <v>20131114</v>
      </c>
      <c r="B3629" t="str">
        <f>"112646"</f>
        <v>112646</v>
      </c>
      <c r="C3629" t="str">
        <f>"87084"</f>
        <v>87084</v>
      </c>
      <c r="D3629" t="s">
        <v>1036</v>
      </c>
      <c r="E3629">
        <v>95.85</v>
      </c>
      <c r="F3629">
        <v>20131112</v>
      </c>
      <c r="G3629" t="s">
        <v>810</v>
      </c>
      <c r="H3629" t="s">
        <v>365</v>
      </c>
      <c r="I3629" t="s">
        <v>66</v>
      </c>
    </row>
    <row r="3630" spans="1:9" x14ac:dyDescent="0.25">
      <c r="A3630">
        <v>20131114</v>
      </c>
      <c r="B3630" t="str">
        <f>"112647"</f>
        <v>112647</v>
      </c>
      <c r="C3630" t="str">
        <f>"21325"</f>
        <v>21325</v>
      </c>
      <c r="D3630" t="s">
        <v>1216</v>
      </c>
      <c r="E3630">
        <v>713.57</v>
      </c>
      <c r="F3630">
        <v>20131108</v>
      </c>
      <c r="G3630" t="s">
        <v>2143</v>
      </c>
      <c r="H3630" t="s">
        <v>2144</v>
      </c>
      <c r="I3630" t="s">
        <v>21</v>
      </c>
    </row>
    <row r="3631" spans="1:9" x14ac:dyDescent="0.25">
      <c r="A3631">
        <v>20131114</v>
      </c>
      <c r="B3631" t="str">
        <f>"112648"</f>
        <v>112648</v>
      </c>
      <c r="C3631" t="str">
        <f>"22200"</f>
        <v>22200</v>
      </c>
      <c r="D3631" t="s">
        <v>519</v>
      </c>
      <c r="E3631">
        <v>256.99</v>
      </c>
      <c r="F3631">
        <v>20131107</v>
      </c>
      <c r="G3631" t="s">
        <v>2145</v>
      </c>
      <c r="H3631" t="s">
        <v>520</v>
      </c>
      <c r="I3631" t="s">
        <v>21</v>
      </c>
    </row>
    <row r="3632" spans="1:9" x14ac:dyDescent="0.25">
      <c r="A3632">
        <v>20131114</v>
      </c>
      <c r="B3632" t="str">
        <f>"112649"</f>
        <v>112649</v>
      </c>
      <c r="C3632" t="str">
        <f>"21600"</f>
        <v>21600</v>
      </c>
      <c r="D3632" t="s">
        <v>1735</v>
      </c>
      <c r="E3632">
        <v>11.49</v>
      </c>
      <c r="F3632">
        <v>20131108</v>
      </c>
      <c r="G3632" t="s">
        <v>1486</v>
      </c>
      <c r="H3632" t="s">
        <v>414</v>
      </c>
      <c r="I3632" t="s">
        <v>38</v>
      </c>
    </row>
    <row r="3633" spans="1:9" x14ac:dyDescent="0.25">
      <c r="A3633">
        <v>20131114</v>
      </c>
      <c r="B3633" t="str">
        <f>"112649"</f>
        <v>112649</v>
      </c>
      <c r="C3633" t="str">
        <f>"21600"</f>
        <v>21600</v>
      </c>
      <c r="D3633" t="s">
        <v>1735</v>
      </c>
      <c r="E3633">
        <v>25.8</v>
      </c>
      <c r="F3633">
        <v>20131108</v>
      </c>
      <c r="G3633" t="s">
        <v>1486</v>
      </c>
      <c r="H3633" t="s">
        <v>414</v>
      </c>
      <c r="I3633" t="s">
        <v>38</v>
      </c>
    </row>
    <row r="3634" spans="1:9" x14ac:dyDescent="0.25">
      <c r="A3634">
        <v>20131114</v>
      </c>
      <c r="B3634" t="str">
        <f>"112649"</f>
        <v>112649</v>
      </c>
      <c r="C3634" t="str">
        <f>"21600"</f>
        <v>21600</v>
      </c>
      <c r="D3634" t="s">
        <v>1735</v>
      </c>
      <c r="E3634">
        <v>32.58</v>
      </c>
      <c r="F3634">
        <v>20131108</v>
      </c>
      <c r="G3634" t="s">
        <v>1486</v>
      </c>
      <c r="H3634" t="s">
        <v>414</v>
      </c>
      <c r="I3634" t="s">
        <v>38</v>
      </c>
    </row>
    <row r="3635" spans="1:9" x14ac:dyDescent="0.25">
      <c r="A3635">
        <v>20131114</v>
      </c>
      <c r="B3635" t="str">
        <f t="shared" ref="B3635:B3654" si="251">"112650"</f>
        <v>112650</v>
      </c>
      <c r="C3635" t="str">
        <f t="shared" ref="C3635:C3654" si="252">"23168"</f>
        <v>23168</v>
      </c>
      <c r="D3635" t="s">
        <v>1396</v>
      </c>
      <c r="E3635">
        <v>652.15</v>
      </c>
      <c r="F3635">
        <v>20131107</v>
      </c>
      <c r="G3635" t="s">
        <v>621</v>
      </c>
      <c r="H3635" t="s">
        <v>623</v>
      </c>
      <c r="I3635" t="s">
        <v>21</v>
      </c>
    </row>
    <row r="3636" spans="1:9" x14ac:dyDescent="0.25">
      <c r="A3636">
        <v>20131114</v>
      </c>
      <c r="B3636" t="str">
        <f t="shared" si="251"/>
        <v>112650</v>
      </c>
      <c r="C3636" t="str">
        <f t="shared" si="252"/>
        <v>23168</v>
      </c>
      <c r="D3636" t="s">
        <v>1396</v>
      </c>
      <c r="E3636" s="1">
        <v>1313.5</v>
      </c>
      <c r="F3636">
        <v>20131107</v>
      </c>
      <c r="G3636" t="s">
        <v>621</v>
      </c>
      <c r="H3636" t="s">
        <v>2146</v>
      </c>
      <c r="I3636" t="s">
        <v>21</v>
      </c>
    </row>
    <row r="3637" spans="1:9" x14ac:dyDescent="0.25">
      <c r="A3637">
        <v>20131114</v>
      </c>
      <c r="B3637" t="str">
        <f t="shared" si="251"/>
        <v>112650</v>
      </c>
      <c r="C3637" t="str">
        <f t="shared" si="252"/>
        <v>23168</v>
      </c>
      <c r="D3637" t="s">
        <v>1396</v>
      </c>
      <c r="E3637">
        <v>468.58</v>
      </c>
      <c r="F3637">
        <v>20131107</v>
      </c>
      <c r="G3637" t="s">
        <v>2147</v>
      </c>
      <c r="H3637" t="s">
        <v>2148</v>
      </c>
      <c r="I3637" t="s">
        <v>21</v>
      </c>
    </row>
    <row r="3638" spans="1:9" x14ac:dyDescent="0.25">
      <c r="A3638">
        <v>20131114</v>
      </c>
      <c r="B3638" t="str">
        <f t="shared" si="251"/>
        <v>112650</v>
      </c>
      <c r="C3638" t="str">
        <f t="shared" si="252"/>
        <v>23168</v>
      </c>
      <c r="D3638" t="s">
        <v>1396</v>
      </c>
      <c r="E3638">
        <v>275.7</v>
      </c>
      <c r="F3638">
        <v>20131107</v>
      </c>
      <c r="G3638" t="s">
        <v>2147</v>
      </c>
      <c r="H3638" t="s">
        <v>2148</v>
      </c>
      <c r="I3638" t="s">
        <v>21</v>
      </c>
    </row>
    <row r="3639" spans="1:9" x14ac:dyDescent="0.25">
      <c r="A3639">
        <v>20131114</v>
      </c>
      <c r="B3639" t="str">
        <f t="shared" si="251"/>
        <v>112650</v>
      </c>
      <c r="C3639" t="str">
        <f t="shared" si="252"/>
        <v>23168</v>
      </c>
      <c r="D3639" t="s">
        <v>1396</v>
      </c>
      <c r="E3639">
        <v>396.19</v>
      </c>
      <c r="F3639">
        <v>20131107</v>
      </c>
      <c r="G3639" t="s">
        <v>2147</v>
      </c>
      <c r="H3639" t="s">
        <v>2148</v>
      </c>
      <c r="I3639" t="s">
        <v>21</v>
      </c>
    </row>
    <row r="3640" spans="1:9" x14ac:dyDescent="0.25">
      <c r="A3640">
        <v>20131114</v>
      </c>
      <c r="B3640" t="str">
        <f t="shared" si="251"/>
        <v>112650</v>
      </c>
      <c r="C3640" t="str">
        <f t="shared" si="252"/>
        <v>23168</v>
      </c>
      <c r="D3640" t="s">
        <v>1396</v>
      </c>
      <c r="E3640">
        <v>388.32</v>
      </c>
      <c r="F3640">
        <v>20131107</v>
      </c>
      <c r="G3640" t="s">
        <v>2147</v>
      </c>
      <c r="H3640" t="s">
        <v>2148</v>
      </c>
      <c r="I3640" t="s">
        <v>21</v>
      </c>
    </row>
    <row r="3641" spans="1:9" x14ac:dyDescent="0.25">
      <c r="A3641">
        <v>20131114</v>
      </c>
      <c r="B3641" t="str">
        <f t="shared" si="251"/>
        <v>112650</v>
      </c>
      <c r="C3641" t="str">
        <f t="shared" si="252"/>
        <v>23168</v>
      </c>
      <c r="D3641" t="s">
        <v>1396</v>
      </c>
      <c r="E3641">
        <v>305.68</v>
      </c>
      <c r="F3641">
        <v>20131107</v>
      </c>
      <c r="G3641" t="s">
        <v>2147</v>
      </c>
      <c r="H3641" t="s">
        <v>2148</v>
      </c>
      <c r="I3641" t="s">
        <v>21</v>
      </c>
    </row>
    <row r="3642" spans="1:9" x14ac:dyDescent="0.25">
      <c r="A3642">
        <v>20131114</v>
      </c>
      <c r="B3642" t="str">
        <f t="shared" si="251"/>
        <v>112650</v>
      </c>
      <c r="C3642" t="str">
        <f t="shared" si="252"/>
        <v>23168</v>
      </c>
      <c r="D3642" t="s">
        <v>1396</v>
      </c>
      <c r="E3642">
        <v>330.68</v>
      </c>
      <c r="F3642">
        <v>20131107</v>
      </c>
      <c r="G3642" t="s">
        <v>2147</v>
      </c>
      <c r="H3642" t="s">
        <v>2148</v>
      </c>
      <c r="I3642" t="s">
        <v>21</v>
      </c>
    </row>
    <row r="3643" spans="1:9" x14ac:dyDescent="0.25">
      <c r="A3643">
        <v>20131114</v>
      </c>
      <c r="B3643" t="str">
        <f t="shared" si="251"/>
        <v>112650</v>
      </c>
      <c r="C3643" t="str">
        <f t="shared" si="252"/>
        <v>23168</v>
      </c>
      <c r="D3643" t="s">
        <v>1396</v>
      </c>
      <c r="E3643">
        <v>387.02</v>
      </c>
      <c r="F3643">
        <v>20131107</v>
      </c>
      <c r="G3643" t="s">
        <v>2147</v>
      </c>
      <c r="H3643" t="s">
        <v>2148</v>
      </c>
      <c r="I3643" t="s">
        <v>21</v>
      </c>
    </row>
    <row r="3644" spans="1:9" x14ac:dyDescent="0.25">
      <c r="A3644">
        <v>20131114</v>
      </c>
      <c r="B3644" t="str">
        <f t="shared" si="251"/>
        <v>112650</v>
      </c>
      <c r="C3644" t="str">
        <f t="shared" si="252"/>
        <v>23168</v>
      </c>
      <c r="D3644" t="s">
        <v>1396</v>
      </c>
      <c r="E3644">
        <v>215.41</v>
      </c>
      <c r="F3644">
        <v>20131107</v>
      </c>
      <c r="G3644" t="s">
        <v>2147</v>
      </c>
      <c r="H3644" t="s">
        <v>2148</v>
      </c>
      <c r="I3644" t="s">
        <v>21</v>
      </c>
    </row>
    <row r="3645" spans="1:9" x14ac:dyDescent="0.25">
      <c r="A3645">
        <v>20131114</v>
      </c>
      <c r="B3645" t="str">
        <f t="shared" si="251"/>
        <v>112650</v>
      </c>
      <c r="C3645" t="str">
        <f t="shared" si="252"/>
        <v>23168</v>
      </c>
      <c r="D3645" t="s">
        <v>1396</v>
      </c>
      <c r="E3645">
        <v>255.86</v>
      </c>
      <c r="F3645">
        <v>20131107</v>
      </c>
      <c r="G3645" t="s">
        <v>2147</v>
      </c>
      <c r="H3645" t="s">
        <v>2148</v>
      </c>
      <c r="I3645" t="s">
        <v>21</v>
      </c>
    </row>
    <row r="3646" spans="1:9" x14ac:dyDescent="0.25">
      <c r="A3646">
        <v>20131114</v>
      </c>
      <c r="B3646" t="str">
        <f t="shared" si="251"/>
        <v>112650</v>
      </c>
      <c r="C3646" t="str">
        <f t="shared" si="252"/>
        <v>23168</v>
      </c>
      <c r="D3646" t="s">
        <v>1396</v>
      </c>
      <c r="E3646">
        <v>277.67</v>
      </c>
      <c r="F3646">
        <v>20131107</v>
      </c>
      <c r="G3646" t="s">
        <v>2147</v>
      </c>
      <c r="H3646" t="s">
        <v>2148</v>
      </c>
      <c r="I3646" t="s">
        <v>21</v>
      </c>
    </row>
    <row r="3647" spans="1:9" x14ac:dyDescent="0.25">
      <c r="A3647">
        <v>20131114</v>
      </c>
      <c r="B3647" t="str">
        <f t="shared" si="251"/>
        <v>112650</v>
      </c>
      <c r="C3647" t="str">
        <f t="shared" si="252"/>
        <v>23168</v>
      </c>
      <c r="D3647" t="s">
        <v>1396</v>
      </c>
      <c r="E3647">
        <v>392.48</v>
      </c>
      <c r="F3647">
        <v>20131107</v>
      </c>
      <c r="G3647" t="s">
        <v>2147</v>
      </c>
      <c r="H3647" t="s">
        <v>2148</v>
      </c>
      <c r="I3647" t="s">
        <v>21</v>
      </c>
    </row>
    <row r="3648" spans="1:9" x14ac:dyDescent="0.25">
      <c r="A3648">
        <v>20131114</v>
      </c>
      <c r="B3648" t="str">
        <f t="shared" si="251"/>
        <v>112650</v>
      </c>
      <c r="C3648" t="str">
        <f t="shared" si="252"/>
        <v>23168</v>
      </c>
      <c r="D3648" t="s">
        <v>1396</v>
      </c>
      <c r="E3648">
        <v>219.35</v>
      </c>
      <c r="F3648">
        <v>20131107</v>
      </c>
      <c r="G3648" t="s">
        <v>2147</v>
      </c>
      <c r="H3648" t="s">
        <v>2148</v>
      </c>
      <c r="I3648" t="s">
        <v>21</v>
      </c>
    </row>
    <row r="3649" spans="1:9" x14ac:dyDescent="0.25">
      <c r="A3649">
        <v>20131114</v>
      </c>
      <c r="B3649" t="str">
        <f t="shared" si="251"/>
        <v>112650</v>
      </c>
      <c r="C3649" t="str">
        <f t="shared" si="252"/>
        <v>23168</v>
      </c>
      <c r="D3649" t="s">
        <v>1396</v>
      </c>
      <c r="E3649">
        <v>232.35</v>
      </c>
      <c r="F3649">
        <v>20131107</v>
      </c>
      <c r="G3649" t="s">
        <v>2147</v>
      </c>
      <c r="H3649" t="s">
        <v>2148</v>
      </c>
      <c r="I3649" t="s">
        <v>21</v>
      </c>
    </row>
    <row r="3650" spans="1:9" x14ac:dyDescent="0.25">
      <c r="A3650">
        <v>20131114</v>
      </c>
      <c r="B3650" t="str">
        <f t="shared" si="251"/>
        <v>112650</v>
      </c>
      <c r="C3650" t="str">
        <f t="shared" si="252"/>
        <v>23168</v>
      </c>
      <c r="D3650" t="s">
        <v>1396</v>
      </c>
      <c r="E3650">
        <v>306.88</v>
      </c>
      <c r="F3650">
        <v>20131107</v>
      </c>
      <c r="G3650" t="s">
        <v>2147</v>
      </c>
      <c r="H3650" t="s">
        <v>2148</v>
      </c>
      <c r="I3650" t="s">
        <v>21</v>
      </c>
    </row>
    <row r="3651" spans="1:9" x14ac:dyDescent="0.25">
      <c r="A3651">
        <v>20131114</v>
      </c>
      <c r="B3651" t="str">
        <f t="shared" si="251"/>
        <v>112650</v>
      </c>
      <c r="C3651" t="str">
        <f t="shared" si="252"/>
        <v>23168</v>
      </c>
      <c r="D3651" t="s">
        <v>1396</v>
      </c>
      <c r="E3651">
        <v>194.42</v>
      </c>
      <c r="F3651">
        <v>20131107</v>
      </c>
      <c r="G3651" t="s">
        <v>2147</v>
      </c>
      <c r="H3651" t="s">
        <v>2148</v>
      </c>
      <c r="I3651" t="s">
        <v>21</v>
      </c>
    </row>
    <row r="3652" spans="1:9" x14ac:dyDescent="0.25">
      <c r="A3652">
        <v>20131114</v>
      </c>
      <c r="B3652" t="str">
        <f t="shared" si="251"/>
        <v>112650</v>
      </c>
      <c r="C3652" t="str">
        <f t="shared" si="252"/>
        <v>23168</v>
      </c>
      <c r="D3652" t="s">
        <v>1396</v>
      </c>
      <c r="E3652">
        <v>397.72</v>
      </c>
      <c r="F3652">
        <v>20131107</v>
      </c>
      <c r="G3652" t="s">
        <v>2147</v>
      </c>
      <c r="H3652" t="s">
        <v>2148</v>
      </c>
      <c r="I3652" t="s">
        <v>21</v>
      </c>
    </row>
    <row r="3653" spans="1:9" x14ac:dyDescent="0.25">
      <c r="A3653">
        <v>20131114</v>
      </c>
      <c r="B3653" t="str">
        <f t="shared" si="251"/>
        <v>112650</v>
      </c>
      <c r="C3653" t="str">
        <f t="shared" si="252"/>
        <v>23168</v>
      </c>
      <c r="D3653" t="s">
        <v>1396</v>
      </c>
      <c r="E3653">
        <v>346.33</v>
      </c>
      <c r="F3653">
        <v>20131107</v>
      </c>
      <c r="G3653" t="s">
        <v>2147</v>
      </c>
      <c r="H3653" t="s">
        <v>2148</v>
      </c>
      <c r="I3653" t="s">
        <v>21</v>
      </c>
    </row>
    <row r="3654" spans="1:9" x14ac:dyDescent="0.25">
      <c r="A3654">
        <v>20131114</v>
      </c>
      <c r="B3654" t="str">
        <f t="shared" si="251"/>
        <v>112650</v>
      </c>
      <c r="C3654" t="str">
        <f t="shared" si="252"/>
        <v>23168</v>
      </c>
      <c r="D3654" t="s">
        <v>1396</v>
      </c>
      <c r="E3654">
        <v>394.24</v>
      </c>
      <c r="F3654">
        <v>20131107</v>
      </c>
      <c r="G3654" t="s">
        <v>2147</v>
      </c>
      <c r="H3654" t="s">
        <v>2148</v>
      </c>
      <c r="I3654" t="s">
        <v>21</v>
      </c>
    </row>
    <row r="3655" spans="1:9" x14ac:dyDescent="0.25">
      <c r="A3655">
        <v>20131114</v>
      </c>
      <c r="B3655" t="str">
        <f>"112651"</f>
        <v>112651</v>
      </c>
      <c r="C3655" t="str">
        <f>"23827"</f>
        <v>23827</v>
      </c>
      <c r="D3655" t="s">
        <v>528</v>
      </c>
      <c r="E3655">
        <v>520.4</v>
      </c>
      <c r="F3655">
        <v>20131112</v>
      </c>
      <c r="G3655" t="s">
        <v>2149</v>
      </c>
      <c r="H3655" t="s">
        <v>513</v>
      </c>
      <c r="I3655" t="s">
        <v>25</v>
      </c>
    </row>
    <row r="3656" spans="1:9" x14ac:dyDescent="0.25">
      <c r="A3656">
        <v>20131114</v>
      </c>
      <c r="B3656" t="str">
        <f>"112651"</f>
        <v>112651</v>
      </c>
      <c r="C3656" t="str">
        <f>"23827"</f>
        <v>23827</v>
      </c>
      <c r="D3656" t="s">
        <v>528</v>
      </c>
      <c r="E3656">
        <v>251.8</v>
      </c>
      <c r="F3656">
        <v>20131112</v>
      </c>
      <c r="G3656" t="s">
        <v>2150</v>
      </c>
      <c r="H3656" t="s">
        <v>513</v>
      </c>
      <c r="I3656" t="s">
        <v>25</v>
      </c>
    </row>
    <row r="3657" spans="1:9" x14ac:dyDescent="0.25">
      <c r="A3657">
        <v>20131114</v>
      </c>
      <c r="B3657" t="str">
        <f>"112652"</f>
        <v>112652</v>
      </c>
      <c r="C3657" t="str">
        <f>"23915"</f>
        <v>23915</v>
      </c>
      <c r="D3657" t="s">
        <v>2151</v>
      </c>
      <c r="E3657">
        <v>500</v>
      </c>
      <c r="F3657">
        <v>20131107</v>
      </c>
      <c r="G3657" t="s">
        <v>1271</v>
      </c>
      <c r="H3657" t="s">
        <v>2152</v>
      </c>
      <c r="I3657" t="s">
        <v>21</v>
      </c>
    </row>
    <row r="3658" spans="1:9" x14ac:dyDescent="0.25">
      <c r="A3658">
        <v>20131114</v>
      </c>
      <c r="B3658" t="str">
        <f>"112653"</f>
        <v>112653</v>
      </c>
      <c r="C3658" t="str">
        <f>"81683"</f>
        <v>81683</v>
      </c>
      <c r="D3658" t="s">
        <v>2153</v>
      </c>
      <c r="E3658">
        <v>55.32</v>
      </c>
      <c r="F3658">
        <v>20131113</v>
      </c>
      <c r="G3658" t="s">
        <v>442</v>
      </c>
      <c r="H3658" t="s">
        <v>365</v>
      </c>
      <c r="I3658" t="s">
        <v>66</v>
      </c>
    </row>
    <row r="3659" spans="1:9" x14ac:dyDescent="0.25">
      <c r="A3659">
        <v>20131114</v>
      </c>
      <c r="B3659" t="str">
        <f>"112654"</f>
        <v>112654</v>
      </c>
      <c r="C3659" t="str">
        <f>"87599"</f>
        <v>87599</v>
      </c>
      <c r="D3659" t="s">
        <v>2154</v>
      </c>
      <c r="E3659">
        <v>27.45</v>
      </c>
      <c r="F3659">
        <v>20131113</v>
      </c>
      <c r="G3659" t="s">
        <v>410</v>
      </c>
      <c r="H3659" t="s">
        <v>411</v>
      </c>
      <c r="I3659" t="s">
        <v>12</v>
      </c>
    </row>
    <row r="3660" spans="1:9" x14ac:dyDescent="0.25">
      <c r="A3660">
        <v>20131114</v>
      </c>
      <c r="B3660" t="str">
        <f>"112655"</f>
        <v>112655</v>
      </c>
      <c r="C3660" t="str">
        <f>"83518"</f>
        <v>83518</v>
      </c>
      <c r="D3660" t="s">
        <v>2155</v>
      </c>
      <c r="E3660" s="1">
        <v>2238.11</v>
      </c>
      <c r="F3660">
        <v>20131113</v>
      </c>
      <c r="G3660" t="s">
        <v>1304</v>
      </c>
      <c r="H3660" t="s">
        <v>2156</v>
      </c>
      <c r="I3660" t="s">
        <v>21</v>
      </c>
    </row>
    <row r="3661" spans="1:9" x14ac:dyDescent="0.25">
      <c r="A3661">
        <v>20131114</v>
      </c>
      <c r="B3661" t="str">
        <f>"112656"</f>
        <v>112656</v>
      </c>
      <c r="C3661" t="str">
        <f>"24700"</f>
        <v>24700</v>
      </c>
      <c r="D3661" t="s">
        <v>2157</v>
      </c>
      <c r="E3661">
        <v>194.81</v>
      </c>
      <c r="F3661">
        <v>20131108</v>
      </c>
      <c r="G3661" t="s">
        <v>1773</v>
      </c>
      <c r="H3661" t="s">
        <v>2158</v>
      </c>
      <c r="I3661" t="s">
        <v>21</v>
      </c>
    </row>
    <row r="3662" spans="1:9" x14ac:dyDescent="0.25">
      <c r="A3662">
        <v>20131114</v>
      </c>
      <c r="B3662" t="str">
        <f>"112656"</f>
        <v>112656</v>
      </c>
      <c r="C3662" t="str">
        <f>"24700"</f>
        <v>24700</v>
      </c>
      <c r="D3662" t="s">
        <v>2157</v>
      </c>
      <c r="E3662">
        <v>216.82</v>
      </c>
      <c r="F3662">
        <v>20131108</v>
      </c>
      <c r="G3662" t="s">
        <v>1424</v>
      </c>
      <c r="H3662" t="s">
        <v>2159</v>
      </c>
      <c r="I3662" t="s">
        <v>21</v>
      </c>
    </row>
    <row r="3663" spans="1:9" x14ac:dyDescent="0.25">
      <c r="A3663">
        <v>20131114</v>
      </c>
      <c r="B3663" t="str">
        <f>"112657"</f>
        <v>112657</v>
      </c>
      <c r="C3663" t="str">
        <f>"87607"</f>
        <v>87607</v>
      </c>
      <c r="D3663" t="s">
        <v>2160</v>
      </c>
      <c r="E3663">
        <v>78.52</v>
      </c>
      <c r="F3663">
        <v>20131112</v>
      </c>
      <c r="G3663" t="s">
        <v>1846</v>
      </c>
      <c r="H3663" t="s">
        <v>765</v>
      </c>
      <c r="I3663" t="s">
        <v>63</v>
      </c>
    </row>
    <row r="3664" spans="1:9" x14ac:dyDescent="0.25">
      <c r="A3664">
        <v>20131114</v>
      </c>
      <c r="B3664" t="str">
        <f>"112658"</f>
        <v>112658</v>
      </c>
      <c r="C3664" t="str">
        <f>"87528"</f>
        <v>87528</v>
      </c>
      <c r="D3664" t="s">
        <v>1048</v>
      </c>
      <c r="E3664" s="1">
        <v>1050</v>
      </c>
      <c r="F3664">
        <v>20131107</v>
      </c>
      <c r="G3664" t="s">
        <v>1049</v>
      </c>
      <c r="H3664" t="s">
        <v>1050</v>
      </c>
      <c r="I3664" t="s">
        <v>21</v>
      </c>
    </row>
    <row r="3665" spans="1:9" x14ac:dyDescent="0.25">
      <c r="A3665">
        <v>20131114</v>
      </c>
      <c r="B3665" t="str">
        <f t="shared" ref="B3665:B3676" si="253">"112659"</f>
        <v>112659</v>
      </c>
      <c r="C3665" t="str">
        <f t="shared" ref="C3665:C3677" si="254">"25516"</f>
        <v>25516</v>
      </c>
      <c r="D3665" t="s">
        <v>529</v>
      </c>
      <c r="E3665" s="1">
        <v>1951.06</v>
      </c>
      <c r="F3665">
        <v>20131108</v>
      </c>
      <c r="G3665" t="s">
        <v>473</v>
      </c>
      <c r="H3665" t="s">
        <v>414</v>
      </c>
      <c r="I3665" t="s">
        <v>21</v>
      </c>
    </row>
    <row r="3666" spans="1:9" x14ac:dyDescent="0.25">
      <c r="A3666">
        <v>20131114</v>
      </c>
      <c r="B3666" t="str">
        <f t="shared" si="253"/>
        <v>112659</v>
      </c>
      <c r="C3666" t="str">
        <f t="shared" si="254"/>
        <v>25516</v>
      </c>
      <c r="D3666" t="s">
        <v>529</v>
      </c>
      <c r="E3666">
        <v>815.49</v>
      </c>
      <c r="F3666">
        <v>20131108</v>
      </c>
      <c r="G3666" t="s">
        <v>475</v>
      </c>
      <c r="H3666" t="s">
        <v>414</v>
      </c>
      <c r="I3666" t="s">
        <v>21</v>
      </c>
    </row>
    <row r="3667" spans="1:9" x14ac:dyDescent="0.25">
      <c r="A3667">
        <v>20131114</v>
      </c>
      <c r="B3667" t="str">
        <f t="shared" si="253"/>
        <v>112659</v>
      </c>
      <c r="C3667" t="str">
        <f t="shared" si="254"/>
        <v>25516</v>
      </c>
      <c r="D3667" t="s">
        <v>529</v>
      </c>
      <c r="E3667">
        <v>435.2</v>
      </c>
      <c r="F3667">
        <v>20131108</v>
      </c>
      <c r="G3667" t="s">
        <v>476</v>
      </c>
      <c r="H3667" t="s">
        <v>414</v>
      </c>
      <c r="I3667" t="s">
        <v>21</v>
      </c>
    </row>
    <row r="3668" spans="1:9" x14ac:dyDescent="0.25">
      <c r="A3668">
        <v>20131114</v>
      </c>
      <c r="B3668" t="str">
        <f t="shared" si="253"/>
        <v>112659</v>
      </c>
      <c r="C3668" t="str">
        <f t="shared" si="254"/>
        <v>25516</v>
      </c>
      <c r="D3668" t="s">
        <v>529</v>
      </c>
      <c r="E3668">
        <v>749.91</v>
      </c>
      <c r="F3668">
        <v>20131108</v>
      </c>
      <c r="G3668" t="s">
        <v>477</v>
      </c>
      <c r="H3668" t="s">
        <v>414</v>
      </c>
      <c r="I3668" t="s">
        <v>21</v>
      </c>
    </row>
    <row r="3669" spans="1:9" x14ac:dyDescent="0.25">
      <c r="A3669">
        <v>20131114</v>
      </c>
      <c r="B3669" t="str">
        <f t="shared" si="253"/>
        <v>112659</v>
      </c>
      <c r="C3669" t="str">
        <f t="shared" si="254"/>
        <v>25516</v>
      </c>
      <c r="D3669" t="s">
        <v>529</v>
      </c>
      <c r="E3669" s="1">
        <v>1547.92</v>
      </c>
      <c r="F3669">
        <v>20131108</v>
      </c>
      <c r="G3669" t="s">
        <v>478</v>
      </c>
      <c r="H3669" t="s">
        <v>414</v>
      </c>
      <c r="I3669" t="s">
        <v>21</v>
      </c>
    </row>
    <row r="3670" spans="1:9" x14ac:dyDescent="0.25">
      <c r="A3670">
        <v>20131114</v>
      </c>
      <c r="B3670" t="str">
        <f t="shared" si="253"/>
        <v>112659</v>
      </c>
      <c r="C3670" t="str">
        <f t="shared" si="254"/>
        <v>25516</v>
      </c>
      <c r="D3670" t="s">
        <v>529</v>
      </c>
      <c r="E3670">
        <v>647.72</v>
      </c>
      <c r="F3670">
        <v>20131108</v>
      </c>
      <c r="G3670" t="s">
        <v>479</v>
      </c>
      <c r="H3670" t="s">
        <v>414</v>
      </c>
      <c r="I3670" t="s">
        <v>21</v>
      </c>
    </row>
    <row r="3671" spans="1:9" x14ac:dyDescent="0.25">
      <c r="A3671">
        <v>20131114</v>
      </c>
      <c r="B3671" t="str">
        <f t="shared" si="253"/>
        <v>112659</v>
      </c>
      <c r="C3671" t="str">
        <f t="shared" si="254"/>
        <v>25516</v>
      </c>
      <c r="D3671" t="s">
        <v>529</v>
      </c>
      <c r="E3671">
        <v>953.64</v>
      </c>
      <c r="F3671">
        <v>20131108</v>
      </c>
      <c r="G3671" t="s">
        <v>480</v>
      </c>
      <c r="H3671" t="s">
        <v>414</v>
      </c>
      <c r="I3671" t="s">
        <v>21</v>
      </c>
    </row>
    <row r="3672" spans="1:9" x14ac:dyDescent="0.25">
      <c r="A3672">
        <v>20131114</v>
      </c>
      <c r="B3672" t="str">
        <f t="shared" si="253"/>
        <v>112659</v>
      </c>
      <c r="C3672" t="str">
        <f t="shared" si="254"/>
        <v>25516</v>
      </c>
      <c r="D3672" t="s">
        <v>529</v>
      </c>
      <c r="E3672" s="1">
        <v>1737.56</v>
      </c>
      <c r="F3672">
        <v>20131108</v>
      </c>
      <c r="G3672" t="s">
        <v>481</v>
      </c>
      <c r="H3672" t="s">
        <v>414</v>
      </c>
      <c r="I3672" t="s">
        <v>21</v>
      </c>
    </row>
    <row r="3673" spans="1:9" x14ac:dyDescent="0.25">
      <c r="A3673">
        <v>20131114</v>
      </c>
      <c r="B3673" t="str">
        <f t="shared" si="253"/>
        <v>112659</v>
      </c>
      <c r="C3673" t="str">
        <f t="shared" si="254"/>
        <v>25516</v>
      </c>
      <c r="D3673" t="s">
        <v>529</v>
      </c>
      <c r="E3673" s="1">
        <v>3328.17</v>
      </c>
      <c r="F3673">
        <v>20131108</v>
      </c>
      <c r="G3673" t="s">
        <v>482</v>
      </c>
      <c r="H3673" t="s">
        <v>414</v>
      </c>
      <c r="I3673" t="s">
        <v>21</v>
      </c>
    </row>
    <row r="3674" spans="1:9" x14ac:dyDescent="0.25">
      <c r="A3674">
        <v>20131114</v>
      </c>
      <c r="B3674" t="str">
        <f t="shared" si="253"/>
        <v>112659</v>
      </c>
      <c r="C3674" t="str">
        <f t="shared" si="254"/>
        <v>25516</v>
      </c>
      <c r="D3674" t="s">
        <v>529</v>
      </c>
      <c r="E3674">
        <v>236.77</v>
      </c>
      <c r="F3674">
        <v>20131108</v>
      </c>
      <c r="G3674" t="s">
        <v>484</v>
      </c>
      <c r="H3674" t="s">
        <v>414</v>
      </c>
      <c r="I3674" t="s">
        <v>21</v>
      </c>
    </row>
    <row r="3675" spans="1:9" x14ac:dyDescent="0.25">
      <c r="A3675">
        <v>20131114</v>
      </c>
      <c r="B3675" t="str">
        <f t="shared" si="253"/>
        <v>112659</v>
      </c>
      <c r="C3675" t="str">
        <f t="shared" si="254"/>
        <v>25516</v>
      </c>
      <c r="D3675" t="s">
        <v>529</v>
      </c>
      <c r="E3675" s="1">
        <v>1164.79</v>
      </c>
      <c r="F3675">
        <v>20131108</v>
      </c>
      <c r="G3675" t="s">
        <v>485</v>
      </c>
      <c r="H3675" t="s">
        <v>414</v>
      </c>
      <c r="I3675" t="s">
        <v>21</v>
      </c>
    </row>
    <row r="3676" spans="1:9" x14ac:dyDescent="0.25">
      <c r="A3676">
        <v>20131114</v>
      </c>
      <c r="B3676" t="str">
        <f t="shared" si="253"/>
        <v>112659</v>
      </c>
      <c r="C3676" t="str">
        <f t="shared" si="254"/>
        <v>25516</v>
      </c>
      <c r="D3676" t="s">
        <v>529</v>
      </c>
      <c r="E3676">
        <v>311.20999999999998</v>
      </c>
      <c r="F3676">
        <v>20131108</v>
      </c>
      <c r="G3676" t="s">
        <v>531</v>
      </c>
      <c r="H3676" t="s">
        <v>414</v>
      </c>
      <c r="I3676" t="s">
        <v>21</v>
      </c>
    </row>
    <row r="3677" spans="1:9" x14ac:dyDescent="0.25">
      <c r="A3677">
        <v>20131114</v>
      </c>
      <c r="B3677" t="str">
        <f>"112660"</f>
        <v>112660</v>
      </c>
      <c r="C3677" t="str">
        <f t="shared" si="254"/>
        <v>25516</v>
      </c>
      <c r="D3677" t="s">
        <v>529</v>
      </c>
      <c r="E3677" s="1">
        <v>1375.63</v>
      </c>
      <c r="F3677">
        <v>20131113</v>
      </c>
      <c r="G3677" t="s">
        <v>1404</v>
      </c>
      <c r="H3677" t="s">
        <v>2161</v>
      </c>
      <c r="I3677" t="s">
        <v>12</v>
      </c>
    </row>
    <row r="3678" spans="1:9" x14ac:dyDescent="0.25">
      <c r="A3678">
        <v>20131114</v>
      </c>
      <c r="B3678" t="str">
        <f>"112661"</f>
        <v>112661</v>
      </c>
      <c r="C3678" t="str">
        <f>"87608"</f>
        <v>87608</v>
      </c>
      <c r="D3678" t="s">
        <v>2162</v>
      </c>
      <c r="E3678">
        <v>35</v>
      </c>
      <c r="F3678">
        <v>20131112</v>
      </c>
      <c r="G3678" t="s">
        <v>1846</v>
      </c>
      <c r="H3678" t="s">
        <v>765</v>
      </c>
      <c r="I3678" t="s">
        <v>63</v>
      </c>
    </row>
    <row r="3679" spans="1:9" x14ac:dyDescent="0.25">
      <c r="A3679">
        <v>20131114</v>
      </c>
      <c r="B3679" t="str">
        <f>"112662"</f>
        <v>112662</v>
      </c>
      <c r="C3679" t="str">
        <f>"86299"</f>
        <v>86299</v>
      </c>
      <c r="D3679" t="s">
        <v>2163</v>
      </c>
      <c r="E3679">
        <v>123.75</v>
      </c>
      <c r="F3679">
        <v>20131112</v>
      </c>
      <c r="G3679" t="s">
        <v>577</v>
      </c>
      <c r="H3679" t="s">
        <v>2164</v>
      </c>
      <c r="I3679" t="s">
        <v>21</v>
      </c>
    </row>
    <row r="3680" spans="1:9" x14ac:dyDescent="0.25">
      <c r="A3680">
        <v>20131114</v>
      </c>
      <c r="B3680" t="str">
        <f>"112662"</f>
        <v>112662</v>
      </c>
      <c r="C3680" t="str">
        <f>"86299"</f>
        <v>86299</v>
      </c>
      <c r="D3680" t="s">
        <v>2163</v>
      </c>
      <c r="E3680">
        <v>-123.75</v>
      </c>
      <c r="F3680">
        <v>20140424</v>
      </c>
      <c r="G3680" t="s">
        <v>577</v>
      </c>
      <c r="H3680" t="s">
        <v>1965</v>
      </c>
      <c r="I3680" t="s">
        <v>21</v>
      </c>
    </row>
    <row r="3681" spans="1:9" x14ac:dyDescent="0.25">
      <c r="A3681">
        <v>20131114</v>
      </c>
      <c r="B3681" t="str">
        <f>"112663"</f>
        <v>112663</v>
      </c>
      <c r="C3681" t="str">
        <f>"84351"</f>
        <v>84351</v>
      </c>
      <c r="D3681" t="s">
        <v>2165</v>
      </c>
      <c r="E3681">
        <v>85</v>
      </c>
      <c r="F3681">
        <v>20131112</v>
      </c>
      <c r="G3681" t="s">
        <v>764</v>
      </c>
      <c r="H3681" t="s">
        <v>765</v>
      </c>
      <c r="I3681" t="s">
        <v>61</v>
      </c>
    </row>
    <row r="3682" spans="1:9" x14ac:dyDescent="0.25">
      <c r="A3682">
        <v>20131114</v>
      </c>
      <c r="B3682" t="str">
        <f>"112664"</f>
        <v>112664</v>
      </c>
      <c r="C3682" t="str">
        <f>"82613"</f>
        <v>82613</v>
      </c>
      <c r="D3682" t="s">
        <v>546</v>
      </c>
      <c r="E3682">
        <v>198</v>
      </c>
      <c r="F3682">
        <v>20131108</v>
      </c>
      <c r="G3682" t="s">
        <v>337</v>
      </c>
      <c r="H3682" t="s">
        <v>2166</v>
      </c>
      <c r="I3682" t="s">
        <v>21</v>
      </c>
    </row>
    <row r="3683" spans="1:9" x14ac:dyDescent="0.25">
      <c r="A3683">
        <v>20131114</v>
      </c>
      <c r="B3683" t="str">
        <f>"112665"</f>
        <v>112665</v>
      </c>
      <c r="C3683" t="str">
        <f>"83464"</f>
        <v>83464</v>
      </c>
      <c r="D3683" t="s">
        <v>2167</v>
      </c>
      <c r="E3683" s="1">
        <v>1280</v>
      </c>
      <c r="F3683">
        <v>20131112</v>
      </c>
      <c r="G3683" t="s">
        <v>2168</v>
      </c>
      <c r="H3683" t="s">
        <v>2169</v>
      </c>
      <c r="I3683" t="s">
        <v>21</v>
      </c>
    </row>
    <row r="3684" spans="1:9" x14ac:dyDescent="0.25">
      <c r="A3684">
        <v>20131114</v>
      </c>
      <c r="B3684" t="str">
        <f>"112666"</f>
        <v>112666</v>
      </c>
      <c r="C3684" t="str">
        <f>"26425"</f>
        <v>26425</v>
      </c>
      <c r="D3684" t="s">
        <v>822</v>
      </c>
      <c r="E3684">
        <v>387.28</v>
      </c>
      <c r="F3684">
        <v>20131113</v>
      </c>
      <c r="G3684" t="s">
        <v>1408</v>
      </c>
      <c r="H3684" t="s">
        <v>525</v>
      </c>
      <c r="I3684" t="s">
        <v>12</v>
      </c>
    </row>
    <row r="3685" spans="1:9" x14ac:dyDescent="0.25">
      <c r="A3685">
        <v>20131114</v>
      </c>
      <c r="B3685" t="str">
        <f>"112666"</f>
        <v>112666</v>
      </c>
      <c r="C3685" t="str">
        <f>"26425"</f>
        <v>26425</v>
      </c>
      <c r="D3685" t="s">
        <v>822</v>
      </c>
      <c r="E3685">
        <v>498.92</v>
      </c>
      <c r="F3685">
        <v>20131113</v>
      </c>
      <c r="G3685" t="s">
        <v>331</v>
      </c>
      <c r="H3685" t="s">
        <v>2170</v>
      </c>
      <c r="I3685" t="s">
        <v>12</v>
      </c>
    </row>
    <row r="3686" spans="1:9" x14ac:dyDescent="0.25">
      <c r="A3686">
        <v>20131114</v>
      </c>
      <c r="B3686" t="str">
        <f>"112667"</f>
        <v>112667</v>
      </c>
      <c r="C3686" t="str">
        <f>"27981"</f>
        <v>27981</v>
      </c>
      <c r="D3686" t="s">
        <v>551</v>
      </c>
      <c r="E3686">
        <v>74.290000000000006</v>
      </c>
      <c r="F3686">
        <v>20131107</v>
      </c>
      <c r="G3686" t="s">
        <v>628</v>
      </c>
      <c r="H3686" t="s">
        <v>414</v>
      </c>
      <c r="I3686" t="s">
        <v>21</v>
      </c>
    </row>
    <row r="3687" spans="1:9" x14ac:dyDescent="0.25">
      <c r="A3687">
        <v>20131114</v>
      </c>
      <c r="B3687" t="str">
        <f>"112667"</f>
        <v>112667</v>
      </c>
      <c r="C3687" t="str">
        <f>"27981"</f>
        <v>27981</v>
      </c>
      <c r="D3687" t="s">
        <v>551</v>
      </c>
      <c r="E3687">
        <v>24.05</v>
      </c>
      <c r="F3687">
        <v>20131107</v>
      </c>
      <c r="G3687" t="s">
        <v>392</v>
      </c>
      <c r="H3687" t="s">
        <v>414</v>
      </c>
      <c r="I3687" t="s">
        <v>21</v>
      </c>
    </row>
    <row r="3688" spans="1:9" x14ac:dyDescent="0.25">
      <c r="A3688">
        <v>20131114</v>
      </c>
      <c r="B3688" t="str">
        <f>"112667"</f>
        <v>112667</v>
      </c>
      <c r="C3688" t="str">
        <f>"27981"</f>
        <v>27981</v>
      </c>
      <c r="D3688" t="s">
        <v>551</v>
      </c>
      <c r="E3688">
        <v>32.99</v>
      </c>
      <c r="F3688">
        <v>20131107</v>
      </c>
      <c r="G3688" t="s">
        <v>392</v>
      </c>
      <c r="H3688" t="s">
        <v>414</v>
      </c>
      <c r="I3688" t="s">
        <v>21</v>
      </c>
    </row>
    <row r="3689" spans="1:9" x14ac:dyDescent="0.25">
      <c r="A3689">
        <v>20131114</v>
      </c>
      <c r="B3689" t="str">
        <f>"112667"</f>
        <v>112667</v>
      </c>
      <c r="C3689" t="str">
        <f>"27981"</f>
        <v>27981</v>
      </c>
      <c r="D3689" t="s">
        <v>551</v>
      </c>
      <c r="E3689">
        <v>39.4</v>
      </c>
      <c r="F3689">
        <v>20131113</v>
      </c>
      <c r="G3689" t="s">
        <v>392</v>
      </c>
      <c r="H3689" t="s">
        <v>414</v>
      </c>
      <c r="I3689" t="s">
        <v>21</v>
      </c>
    </row>
    <row r="3690" spans="1:9" x14ac:dyDescent="0.25">
      <c r="A3690">
        <v>20131114</v>
      </c>
      <c r="B3690" t="str">
        <f>"112667"</f>
        <v>112667</v>
      </c>
      <c r="C3690" t="str">
        <f>"27981"</f>
        <v>27981</v>
      </c>
      <c r="D3690" t="s">
        <v>551</v>
      </c>
      <c r="E3690">
        <v>20.239999999999998</v>
      </c>
      <c r="F3690">
        <v>20131113</v>
      </c>
      <c r="G3690" t="s">
        <v>417</v>
      </c>
      <c r="H3690" t="s">
        <v>414</v>
      </c>
      <c r="I3690" t="s">
        <v>21</v>
      </c>
    </row>
    <row r="3691" spans="1:9" x14ac:dyDescent="0.25">
      <c r="A3691">
        <v>20131114</v>
      </c>
      <c r="B3691" t="str">
        <f>"112668"</f>
        <v>112668</v>
      </c>
      <c r="C3691" t="str">
        <f>"87371"</f>
        <v>87371</v>
      </c>
      <c r="D3691" t="s">
        <v>2171</v>
      </c>
      <c r="E3691">
        <v>480</v>
      </c>
      <c r="F3691">
        <v>20131113</v>
      </c>
      <c r="G3691" t="s">
        <v>448</v>
      </c>
      <c r="H3691" t="s">
        <v>2172</v>
      </c>
      <c r="I3691" t="s">
        <v>21</v>
      </c>
    </row>
    <row r="3692" spans="1:9" x14ac:dyDescent="0.25">
      <c r="A3692">
        <v>20131114</v>
      </c>
      <c r="B3692" t="str">
        <f t="shared" ref="B3692:B3701" si="255">"112669"</f>
        <v>112669</v>
      </c>
      <c r="C3692" t="str">
        <f t="shared" ref="C3692:C3701" si="256">"81054"</f>
        <v>81054</v>
      </c>
      <c r="D3692" t="s">
        <v>554</v>
      </c>
      <c r="E3692">
        <v>374.5</v>
      </c>
      <c r="F3692">
        <v>20131107</v>
      </c>
      <c r="G3692" t="s">
        <v>746</v>
      </c>
      <c r="H3692" t="s">
        <v>555</v>
      </c>
      <c r="I3692" t="s">
        <v>21</v>
      </c>
    </row>
    <row r="3693" spans="1:9" x14ac:dyDescent="0.25">
      <c r="A3693">
        <v>20131114</v>
      </c>
      <c r="B3693" t="str">
        <f t="shared" si="255"/>
        <v>112669</v>
      </c>
      <c r="C3693" t="str">
        <f t="shared" si="256"/>
        <v>81054</v>
      </c>
      <c r="D3693" t="s">
        <v>554</v>
      </c>
      <c r="E3693">
        <v>374.5</v>
      </c>
      <c r="F3693">
        <v>20131107</v>
      </c>
      <c r="G3693" t="s">
        <v>746</v>
      </c>
      <c r="H3693" t="s">
        <v>555</v>
      </c>
      <c r="I3693" t="s">
        <v>21</v>
      </c>
    </row>
    <row r="3694" spans="1:9" x14ac:dyDescent="0.25">
      <c r="A3694">
        <v>20131114</v>
      </c>
      <c r="B3694" t="str">
        <f t="shared" si="255"/>
        <v>112669</v>
      </c>
      <c r="C3694" t="str">
        <f t="shared" si="256"/>
        <v>81054</v>
      </c>
      <c r="D3694" t="s">
        <v>554</v>
      </c>
      <c r="E3694">
        <v>168.5</v>
      </c>
      <c r="F3694">
        <v>20131107</v>
      </c>
      <c r="G3694" t="s">
        <v>746</v>
      </c>
      <c r="H3694" t="s">
        <v>555</v>
      </c>
      <c r="I3694" t="s">
        <v>21</v>
      </c>
    </row>
    <row r="3695" spans="1:9" x14ac:dyDescent="0.25">
      <c r="A3695">
        <v>20131114</v>
      </c>
      <c r="B3695" t="str">
        <f t="shared" si="255"/>
        <v>112669</v>
      </c>
      <c r="C3695" t="str">
        <f t="shared" si="256"/>
        <v>81054</v>
      </c>
      <c r="D3695" t="s">
        <v>554</v>
      </c>
      <c r="E3695">
        <v>374.5</v>
      </c>
      <c r="F3695">
        <v>20131107</v>
      </c>
      <c r="G3695" t="s">
        <v>746</v>
      </c>
      <c r="H3695" t="s">
        <v>555</v>
      </c>
      <c r="I3695" t="s">
        <v>21</v>
      </c>
    </row>
    <row r="3696" spans="1:9" x14ac:dyDescent="0.25">
      <c r="A3696">
        <v>20131114</v>
      </c>
      <c r="B3696" t="str">
        <f t="shared" si="255"/>
        <v>112669</v>
      </c>
      <c r="C3696" t="str">
        <f t="shared" si="256"/>
        <v>81054</v>
      </c>
      <c r="D3696" t="s">
        <v>554</v>
      </c>
      <c r="E3696">
        <v>374.5</v>
      </c>
      <c r="F3696">
        <v>20131107</v>
      </c>
      <c r="G3696" t="s">
        <v>746</v>
      </c>
      <c r="H3696" t="s">
        <v>555</v>
      </c>
      <c r="I3696" t="s">
        <v>21</v>
      </c>
    </row>
    <row r="3697" spans="1:9" x14ac:dyDescent="0.25">
      <c r="A3697">
        <v>20131114</v>
      </c>
      <c r="B3697" t="str">
        <f t="shared" si="255"/>
        <v>112669</v>
      </c>
      <c r="C3697" t="str">
        <f t="shared" si="256"/>
        <v>81054</v>
      </c>
      <c r="D3697" t="s">
        <v>554</v>
      </c>
      <c r="E3697">
        <v>327.5</v>
      </c>
      <c r="F3697">
        <v>20131107</v>
      </c>
      <c r="G3697" t="s">
        <v>746</v>
      </c>
      <c r="H3697" t="s">
        <v>555</v>
      </c>
      <c r="I3697" t="s">
        <v>21</v>
      </c>
    </row>
    <row r="3698" spans="1:9" x14ac:dyDescent="0.25">
      <c r="A3698">
        <v>20131114</v>
      </c>
      <c r="B3698" t="str">
        <f t="shared" si="255"/>
        <v>112669</v>
      </c>
      <c r="C3698" t="str">
        <f t="shared" si="256"/>
        <v>81054</v>
      </c>
      <c r="D3698" t="s">
        <v>554</v>
      </c>
      <c r="E3698">
        <v>327.5</v>
      </c>
      <c r="F3698">
        <v>20131107</v>
      </c>
      <c r="G3698" t="s">
        <v>746</v>
      </c>
      <c r="H3698" t="s">
        <v>555</v>
      </c>
      <c r="I3698" t="s">
        <v>21</v>
      </c>
    </row>
    <row r="3699" spans="1:9" x14ac:dyDescent="0.25">
      <c r="A3699">
        <v>20131114</v>
      </c>
      <c r="B3699" t="str">
        <f t="shared" si="255"/>
        <v>112669</v>
      </c>
      <c r="C3699" t="str">
        <f t="shared" si="256"/>
        <v>81054</v>
      </c>
      <c r="D3699" t="s">
        <v>554</v>
      </c>
      <c r="E3699">
        <v>148</v>
      </c>
      <c r="F3699">
        <v>20131107</v>
      </c>
      <c r="G3699" t="s">
        <v>746</v>
      </c>
      <c r="H3699" t="s">
        <v>555</v>
      </c>
      <c r="I3699" t="s">
        <v>21</v>
      </c>
    </row>
    <row r="3700" spans="1:9" x14ac:dyDescent="0.25">
      <c r="A3700">
        <v>20131114</v>
      </c>
      <c r="B3700" t="str">
        <f t="shared" si="255"/>
        <v>112669</v>
      </c>
      <c r="C3700" t="str">
        <f t="shared" si="256"/>
        <v>81054</v>
      </c>
      <c r="D3700" t="s">
        <v>554</v>
      </c>
      <c r="E3700">
        <v>327.5</v>
      </c>
      <c r="F3700">
        <v>20131107</v>
      </c>
      <c r="G3700" t="s">
        <v>746</v>
      </c>
      <c r="H3700" t="s">
        <v>555</v>
      </c>
      <c r="I3700" t="s">
        <v>21</v>
      </c>
    </row>
    <row r="3701" spans="1:9" x14ac:dyDescent="0.25">
      <c r="A3701">
        <v>20131114</v>
      </c>
      <c r="B3701" t="str">
        <f t="shared" si="255"/>
        <v>112669</v>
      </c>
      <c r="C3701" t="str">
        <f t="shared" si="256"/>
        <v>81054</v>
      </c>
      <c r="D3701" t="s">
        <v>554</v>
      </c>
      <c r="E3701">
        <v>327.5</v>
      </c>
      <c r="F3701">
        <v>20131107</v>
      </c>
      <c r="G3701" t="s">
        <v>746</v>
      </c>
      <c r="H3701" t="s">
        <v>555</v>
      </c>
      <c r="I3701" t="s">
        <v>21</v>
      </c>
    </row>
    <row r="3702" spans="1:9" x14ac:dyDescent="0.25">
      <c r="A3702">
        <v>20131114</v>
      </c>
      <c r="B3702" t="str">
        <f>"112670"</f>
        <v>112670</v>
      </c>
      <c r="C3702" t="str">
        <f>"81292"</f>
        <v>81292</v>
      </c>
      <c r="D3702" t="s">
        <v>1417</v>
      </c>
      <c r="E3702">
        <v>14.04</v>
      </c>
      <c r="F3702">
        <v>20131107</v>
      </c>
      <c r="G3702" t="s">
        <v>496</v>
      </c>
      <c r="H3702" t="s">
        <v>414</v>
      </c>
      <c r="I3702" t="s">
        <v>21</v>
      </c>
    </row>
    <row r="3703" spans="1:9" x14ac:dyDescent="0.25">
      <c r="A3703">
        <v>20131114</v>
      </c>
      <c r="B3703" t="str">
        <f>"112670"</f>
        <v>112670</v>
      </c>
      <c r="C3703" t="str">
        <f>"81292"</f>
        <v>81292</v>
      </c>
      <c r="D3703" t="s">
        <v>1417</v>
      </c>
      <c r="E3703">
        <v>28.18</v>
      </c>
      <c r="F3703">
        <v>20131112</v>
      </c>
      <c r="G3703" t="s">
        <v>496</v>
      </c>
      <c r="H3703" t="s">
        <v>414</v>
      </c>
      <c r="I3703" t="s">
        <v>21</v>
      </c>
    </row>
    <row r="3704" spans="1:9" x14ac:dyDescent="0.25">
      <c r="A3704">
        <v>20131114</v>
      </c>
      <c r="B3704" t="str">
        <f>"112671"</f>
        <v>112671</v>
      </c>
      <c r="C3704" t="str">
        <f>"86945"</f>
        <v>86945</v>
      </c>
      <c r="D3704" t="s">
        <v>1589</v>
      </c>
      <c r="E3704">
        <v>55.44</v>
      </c>
      <c r="F3704">
        <v>20131113</v>
      </c>
      <c r="G3704" t="s">
        <v>1145</v>
      </c>
      <c r="H3704" t="s">
        <v>365</v>
      </c>
      <c r="I3704" t="s">
        <v>73</v>
      </c>
    </row>
    <row r="3705" spans="1:9" x14ac:dyDescent="0.25">
      <c r="A3705">
        <v>20131114</v>
      </c>
      <c r="B3705" t="str">
        <f>"112672"</f>
        <v>112672</v>
      </c>
      <c r="C3705" t="str">
        <f>"87471"</f>
        <v>87471</v>
      </c>
      <c r="D3705" t="s">
        <v>1418</v>
      </c>
      <c r="E3705">
        <v>65</v>
      </c>
      <c r="F3705">
        <v>20131113</v>
      </c>
      <c r="G3705" t="s">
        <v>950</v>
      </c>
      <c r="H3705" t="s">
        <v>1355</v>
      </c>
      <c r="I3705" t="s">
        <v>21</v>
      </c>
    </row>
    <row r="3706" spans="1:9" x14ac:dyDescent="0.25">
      <c r="A3706">
        <v>20131114</v>
      </c>
      <c r="B3706" t="str">
        <f>"112672"</f>
        <v>112672</v>
      </c>
      <c r="C3706" t="str">
        <f>"87471"</f>
        <v>87471</v>
      </c>
      <c r="D3706" t="s">
        <v>1418</v>
      </c>
      <c r="E3706">
        <v>65</v>
      </c>
      <c r="F3706">
        <v>20131113</v>
      </c>
      <c r="G3706" t="s">
        <v>950</v>
      </c>
      <c r="H3706" t="s">
        <v>1355</v>
      </c>
      <c r="I3706" t="s">
        <v>21</v>
      </c>
    </row>
    <row r="3707" spans="1:9" x14ac:dyDescent="0.25">
      <c r="A3707">
        <v>20131114</v>
      </c>
      <c r="B3707" t="str">
        <f t="shared" ref="B3707:B3715" si="257">"112673"</f>
        <v>112673</v>
      </c>
      <c r="C3707" t="str">
        <f t="shared" ref="C3707:C3715" si="258">"30000"</f>
        <v>30000</v>
      </c>
      <c r="D3707" t="s">
        <v>556</v>
      </c>
      <c r="E3707">
        <v>99.98</v>
      </c>
      <c r="F3707">
        <v>20131108</v>
      </c>
      <c r="G3707" t="s">
        <v>828</v>
      </c>
      <c r="H3707" t="s">
        <v>2173</v>
      </c>
      <c r="I3707" t="s">
        <v>21</v>
      </c>
    </row>
    <row r="3708" spans="1:9" x14ac:dyDescent="0.25">
      <c r="A3708">
        <v>20131114</v>
      </c>
      <c r="B3708" t="str">
        <f t="shared" si="257"/>
        <v>112673</v>
      </c>
      <c r="C3708" t="str">
        <f t="shared" si="258"/>
        <v>30000</v>
      </c>
      <c r="D3708" t="s">
        <v>556</v>
      </c>
      <c r="E3708">
        <v>533.03</v>
      </c>
      <c r="F3708">
        <v>20131108</v>
      </c>
      <c r="G3708" t="s">
        <v>828</v>
      </c>
      <c r="H3708" t="s">
        <v>2174</v>
      </c>
      <c r="I3708" t="s">
        <v>21</v>
      </c>
    </row>
    <row r="3709" spans="1:9" x14ac:dyDescent="0.25">
      <c r="A3709">
        <v>20131114</v>
      </c>
      <c r="B3709" t="str">
        <f t="shared" si="257"/>
        <v>112673</v>
      </c>
      <c r="C3709" t="str">
        <f t="shared" si="258"/>
        <v>30000</v>
      </c>
      <c r="D3709" t="s">
        <v>556</v>
      </c>
      <c r="E3709">
        <v>913.95</v>
      </c>
      <c r="F3709">
        <v>20131108</v>
      </c>
      <c r="G3709" t="s">
        <v>830</v>
      </c>
      <c r="H3709" t="s">
        <v>2175</v>
      </c>
      <c r="I3709" t="s">
        <v>21</v>
      </c>
    </row>
    <row r="3710" spans="1:9" x14ac:dyDescent="0.25">
      <c r="A3710">
        <v>20131114</v>
      </c>
      <c r="B3710" t="str">
        <f t="shared" si="257"/>
        <v>112673</v>
      </c>
      <c r="C3710" t="str">
        <f t="shared" si="258"/>
        <v>30000</v>
      </c>
      <c r="D3710" t="s">
        <v>556</v>
      </c>
      <c r="E3710">
        <v>500</v>
      </c>
      <c r="F3710">
        <v>20131113</v>
      </c>
      <c r="G3710" t="s">
        <v>935</v>
      </c>
      <c r="H3710" t="s">
        <v>2176</v>
      </c>
      <c r="I3710" t="s">
        <v>21</v>
      </c>
    </row>
    <row r="3711" spans="1:9" x14ac:dyDescent="0.25">
      <c r="A3711">
        <v>20131114</v>
      </c>
      <c r="B3711" t="str">
        <f t="shared" si="257"/>
        <v>112673</v>
      </c>
      <c r="C3711" t="str">
        <f t="shared" si="258"/>
        <v>30000</v>
      </c>
      <c r="D3711" t="s">
        <v>556</v>
      </c>
      <c r="E3711">
        <v>373.96</v>
      </c>
      <c r="F3711">
        <v>20131113</v>
      </c>
      <c r="G3711" t="s">
        <v>1304</v>
      </c>
      <c r="H3711" t="s">
        <v>2177</v>
      </c>
      <c r="I3711" t="s">
        <v>21</v>
      </c>
    </row>
    <row r="3712" spans="1:9" x14ac:dyDescent="0.25">
      <c r="A3712">
        <v>20131114</v>
      </c>
      <c r="B3712" t="str">
        <f t="shared" si="257"/>
        <v>112673</v>
      </c>
      <c r="C3712" t="str">
        <f t="shared" si="258"/>
        <v>30000</v>
      </c>
      <c r="D3712" t="s">
        <v>556</v>
      </c>
      <c r="E3712" s="1">
        <v>1518.04</v>
      </c>
      <c r="F3712">
        <v>20131113</v>
      </c>
      <c r="G3712" t="s">
        <v>1605</v>
      </c>
      <c r="H3712" t="s">
        <v>2178</v>
      </c>
      <c r="I3712" t="s">
        <v>21</v>
      </c>
    </row>
    <row r="3713" spans="1:9" x14ac:dyDescent="0.25">
      <c r="A3713">
        <v>20131114</v>
      </c>
      <c r="B3713" t="str">
        <f t="shared" si="257"/>
        <v>112673</v>
      </c>
      <c r="C3713" t="str">
        <f t="shared" si="258"/>
        <v>30000</v>
      </c>
      <c r="D3713" t="s">
        <v>556</v>
      </c>
      <c r="E3713">
        <v>689.84</v>
      </c>
      <c r="F3713">
        <v>20131108</v>
      </c>
      <c r="G3713" t="s">
        <v>1064</v>
      </c>
      <c r="H3713" t="s">
        <v>2179</v>
      </c>
      <c r="I3713" t="s">
        <v>21</v>
      </c>
    </row>
    <row r="3714" spans="1:9" x14ac:dyDescent="0.25">
      <c r="A3714">
        <v>20131114</v>
      </c>
      <c r="B3714" t="str">
        <f t="shared" si="257"/>
        <v>112673</v>
      </c>
      <c r="C3714" t="str">
        <f t="shared" si="258"/>
        <v>30000</v>
      </c>
      <c r="D3714" t="s">
        <v>556</v>
      </c>
      <c r="E3714">
        <v>39.99</v>
      </c>
      <c r="F3714">
        <v>20131113</v>
      </c>
      <c r="G3714" t="s">
        <v>834</v>
      </c>
      <c r="H3714" t="s">
        <v>2180</v>
      </c>
      <c r="I3714" t="s">
        <v>21</v>
      </c>
    </row>
    <row r="3715" spans="1:9" x14ac:dyDescent="0.25">
      <c r="A3715">
        <v>20131114</v>
      </c>
      <c r="B3715" t="str">
        <f t="shared" si="257"/>
        <v>112673</v>
      </c>
      <c r="C3715" t="str">
        <f t="shared" si="258"/>
        <v>30000</v>
      </c>
      <c r="D3715" t="s">
        <v>556</v>
      </c>
      <c r="E3715">
        <v>-49.49</v>
      </c>
      <c r="F3715">
        <v>20131114</v>
      </c>
      <c r="G3715" t="s">
        <v>840</v>
      </c>
      <c r="H3715" t="s">
        <v>2181</v>
      </c>
      <c r="I3715" t="s">
        <v>21</v>
      </c>
    </row>
    <row r="3716" spans="1:9" x14ac:dyDescent="0.25">
      <c r="A3716">
        <v>20131114</v>
      </c>
      <c r="B3716" t="str">
        <f>"112674"</f>
        <v>112674</v>
      </c>
      <c r="C3716" t="str">
        <f>"00287"</f>
        <v>00287</v>
      </c>
      <c r="D3716" t="s">
        <v>558</v>
      </c>
      <c r="E3716" s="1">
        <v>1525.32</v>
      </c>
      <c r="F3716">
        <v>20131108</v>
      </c>
      <c r="G3716" t="s">
        <v>1424</v>
      </c>
      <c r="H3716" t="s">
        <v>2182</v>
      </c>
      <c r="I3716" t="s">
        <v>21</v>
      </c>
    </row>
    <row r="3717" spans="1:9" x14ac:dyDescent="0.25">
      <c r="A3717">
        <v>20131114</v>
      </c>
      <c r="B3717" t="str">
        <f>"112675"</f>
        <v>112675</v>
      </c>
      <c r="C3717" t="str">
        <f>"30142"</f>
        <v>30142</v>
      </c>
      <c r="D3717" t="s">
        <v>2183</v>
      </c>
      <c r="E3717">
        <v>55.44</v>
      </c>
      <c r="F3717">
        <v>20131112</v>
      </c>
      <c r="G3717" t="s">
        <v>1722</v>
      </c>
      <c r="H3717" t="s">
        <v>365</v>
      </c>
      <c r="I3717" t="s">
        <v>66</v>
      </c>
    </row>
    <row r="3718" spans="1:9" x14ac:dyDescent="0.25">
      <c r="A3718">
        <v>20131114</v>
      </c>
      <c r="B3718" t="str">
        <f>"112676"</f>
        <v>112676</v>
      </c>
      <c r="C3718" t="str">
        <f>"87037"</f>
        <v>87037</v>
      </c>
      <c r="D3718" t="s">
        <v>2184</v>
      </c>
      <c r="E3718">
        <v>55.08</v>
      </c>
      <c r="F3718">
        <v>20131107</v>
      </c>
      <c r="G3718" t="s">
        <v>562</v>
      </c>
      <c r="H3718" t="s">
        <v>563</v>
      </c>
      <c r="I3718" t="s">
        <v>21</v>
      </c>
    </row>
    <row r="3719" spans="1:9" x14ac:dyDescent="0.25">
      <c r="A3719">
        <v>20131114</v>
      </c>
      <c r="B3719" t="str">
        <f>"112677"</f>
        <v>112677</v>
      </c>
      <c r="C3719" t="str">
        <f>"85333"</f>
        <v>85333</v>
      </c>
      <c r="D3719" t="s">
        <v>561</v>
      </c>
      <c r="E3719">
        <v>45.51</v>
      </c>
      <c r="F3719">
        <v>20131113</v>
      </c>
      <c r="G3719" t="s">
        <v>1548</v>
      </c>
      <c r="H3719" t="s">
        <v>365</v>
      </c>
      <c r="I3719" t="s">
        <v>21</v>
      </c>
    </row>
    <row r="3720" spans="1:9" x14ac:dyDescent="0.25">
      <c r="A3720">
        <v>20131114</v>
      </c>
      <c r="B3720" t="str">
        <f>"112677"</f>
        <v>112677</v>
      </c>
      <c r="C3720" t="str">
        <f>"85333"</f>
        <v>85333</v>
      </c>
      <c r="D3720" t="s">
        <v>561</v>
      </c>
      <c r="E3720">
        <v>58.23</v>
      </c>
      <c r="F3720">
        <v>20131107</v>
      </c>
      <c r="G3720" t="s">
        <v>562</v>
      </c>
      <c r="H3720" t="s">
        <v>563</v>
      </c>
      <c r="I3720" t="s">
        <v>21</v>
      </c>
    </row>
    <row r="3721" spans="1:9" x14ac:dyDescent="0.25">
      <c r="A3721">
        <v>20131114</v>
      </c>
      <c r="B3721" t="str">
        <f>"112678"</f>
        <v>112678</v>
      </c>
      <c r="C3721" t="str">
        <f>"87024"</f>
        <v>87024</v>
      </c>
      <c r="D3721" t="s">
        <v>566</v>
      </c>
      <c r="E3721">
        <v>26.46</v>
      </c>
      <c r="F3721">
        <v>20131112</v>
      </c>
      <c r="G3721" t="s">
        <v>562</v>
      </c>
      <c r="H3721" t="s">
        <v>563</v>
      </c>
      <c r="I3721" t="s">
        <v>21</v>
      </c>
    </row>
    <row r="3722" spans="1:9" x14ac:dyDescent="0.25">
      <c r="A3722">
        <v>20131114</v>
      </c>
      <c r="B3722" t="str">
        <f>"112679"</f>
        <v>112679</v>
      </c>
      <c r="C3722" t="str">
        <f>"86479"</f>
        <v>86479</v>
      </c>
      <c r="D3722" t="s">
        <v>849</v>
      </c>
      <c r="E3722">
        <v>105.85</v>
      </c>
      <c r="F3722">
        <v>20131107</v>
      </c>
      <c r="G3722" t="s">
        <v>774</v>
      </c>
      <c r="H3722" t="s">
        <v>765</v>
      </c>
      <c r="I3722" t="s">
        <v>61</v>
      </c>
    </row>
    <row r="3723" spans="1:9" x14ac:dyDescent="0.25">
      <c r="A3723">
        <v>20131114</v>
      </c>
      <c r="B3723" t="str">
        <f>"112679"</f>
        <v>112679</v>
      </c>
      <c r="C3723" t="str">
        <f>"86479"</f>
        <v>86479</v>
      </c>
      <c r="D3723" t="s">
        <v>849</v>
      </c>
      <c r="E3723">
        <v>75.430000000000007</v>
      </c>
      <c r="F3723">
        <v>20131107</v>
      </c>
      <c r="G3723" t="s">
        <v>1003</v>
      </c>
      <c r="H3723" t="s">
        <v>765</v>
      </c>
      <c r="I3723" t="s">
        <v>61</v>
      </c>
    </row>
    <row r="3724" spans="1:9" x14ac:dyDescent="0.25">
      <c r="A3724">
        <v>20131114</v>
      </c>
      <c r="B3724" t="str">
        <f>"112680"</f>
        <v>112680</v>
      </c>
      <c r="C3724" t="str">
        <f>"87573"</f>
        <v>87573</v>
      </c>
      <c r="D3724" t="s">
        <v>2185</v>
      </c>
      <c r="E3724">
        <v>181.3</v>
      </c>
      <c r="F3724">
        <v>20131108</v>
      </c>
      <c r="G3724" t="s">
        <v>2143</v>
      </c>
      <c r="H3724" t="s">
        <v>2186</v>
      </c>
      <c r="I3724" t="s">
        <v>21</v>
      </c>
    </row>
    <row r="3725" spans="1:9" x14ac:dyDescent="0.25">
      <c r="A3725">
        <v>20131114</v>
      </c>
      <c r="B3725" t="str">
        <f>"112681"</f>
        <v>112681</v>
      </c>
      <c r="C3725" t="str">
        <f>"87031"</f>
        <v>87031</v>
      </c>
      <c r="D3725" t="s">
        <v>418</v>
      </c>
      <c r="E3725">
        <v>69.3</v>
      </c>
      <c r="F3725">
        <v>20131113</v>
      </c>
      <c r="G3725" t="s">
        <v>410</v>
      </c>
      <c r="H3725" t="s">
        <v>411</v>
      </c>
      <c r="I3725" t="s">
        <v>12</v>
      </c>
    </row>
    <row r="3726" spans="1:9" x14ac:dyDescent="0.25">
      <c r="A3726">
        <v>20131114</v>
      </c>
      <c r="B3726" t="str">
        <f>"112682"</f>
        <v>112682</v>
      </c>
      <c r="C3726" t="str">
        <f>"87613"</f>
        <v>87613</v>
      </c>
      <c r="D3726" t="s">
        <v>2187</v>
      </c>
      <c r="E3726">
        <v>81.88</v>
      </c>
      <c r="F3726">
        <v>20131113</v>
      </c>
      <c r="G3726" t="s">
        <v>2188</v>
      </c>
      <c r="H3726" t="s">
        <v>365</v>
      </c>
      <c r="I3726" t="s">
        <v>21</v>
      </c>
    </row>
    <row r="3727" spans="1:9" x14ac:dyDescent="0.25">
      <c r="A3727">
        <v>20131114</v>
      </c>
      <c r="B3727" t="str">
        <f>"112683"</f>
        <v>112683</v>
      </c>
      <c r="C3727" t="str">
        <f>"82763"</f>
        <v>82763</v>
      </c>
      <c r="D3727" t="s">
        <v>2189</v>
      </c>
      <c r="E3727" s="1">
        <v>3048.2</v>
      </c>
      <c r="F3727">
        <v>20131107</v>
      </c>
      <c r="G3727" t="s">
        <v>2190</v>
      </c>
      <c r="H3727" t="s">
        <v>2191</v>
      </c>
      <c r="I3727" t="s">
        <v>66</v>
      </c>
    </row>
    <row r="3728" spans="1:9" x14ac:dyDescent="0.25">
      <c r="A3728">
        <v>20131114</v>
      </c>
      <c r="B3728" t="str">
        <f>"112684"</f>
        <v>112684</v>
      </c>
      <c r="C3728" t="str">
        <f>"31570"</f>
        <v>31570</v>
      </c>
      <c r="D3728" t="s">
        <v>1244</v>
      </c>
      <c r="E3728">
        <v>99.04</v>
      </c>
      <c r="F3728">
        <v>20131112</v>
      </c>
      <c r="G3728" t="s">
        <v>140</v>
      </c>
      <c r="H3728" t="s">
        <v>414</v>
      </c>
      <c r="I3728" t="s">
        <v>25</v>
      </c>
    </row>
    <row r="3729" spans="1:9" x14ac:dyDescent="0.25">
      <c r="A3729">
        <v>20131114</v>
      </c>
      <c r="B3729" t="str">
        <f>"112685"</f>
        <v>112685</v>
      </c>
      <c r="C3729" t="str">
        <f>"87604"</f>
        <v>87604</v>
      </c>
      <c r="D3729" t="s">
        <v>2192</v>
      </c>
      <c r="E3729">
        <v>147.72999999999999</v>
      </c>
      <c r="F3729">
        <v>20131112</v>
      </c>
      <c r="G3729" t="s">
        <v>1846</v>
      </c>
      <c r="H3729" t="s">
        <v>765</v>
      </c>
      <c r="I3729" t="s">
        <v>63</v>
      </c>
    </row>
    <row r="3730" spans="1:9" x14ac:dyDescent="0.25">
      <c r="A3730">
        <v>20131114</v>
      </c>
      <c r="B3730" t="str">
        <f>"112686"</f>
        <v>112686</v>
      </c>
      <c r="C3730" t="str">
        <f>"87456"</f>
        <v>87456</v>
      </c>
      <c r="D3730" t="s">
        <v>1434</v>
      </c>
      <c r="E3730">
        <v>84.51</v>
      </c>
      <c r="F3730">
        <v>20131108</v>
      </c>
      <c r="G3730" t="s">
        <v>137</v>
      </c>
      <c r="H3730" t="s">
        <v>2193</v>
      </c>
      <c r="I3730" t="s">
        <v>21</v>
      </c>
    </row>
    <row r="3731" spans="1:9" x14ac:dyDescent="0.25">
      <c r="A3731">
        <v>20131114</v>
      </c>
      <c r="B3731" t="str">
        <f>"112687"</f>
        <v>112687</v>
      </c>
      <c r="C3731" t="str">
        <f>"32675"</f>
        <v>32675</v>
      </c>
      <c r="D3731" t="s">
        <v>2194</v>
      </c>
      <c r="E3731">
        <v>579.03</v>
      </c>
      <c r="F3731">
        <v>20131107</v>
      </c>
      <c r="G3731" t="s">
        <v>392</v>
      </c>
      <c r="H3731" t="s">
        <v>414</v>
      </c>
      <c r="I3731" t="s">
        <v>21</v>
      </c>
    </row>
    <row r="3732" spans="1:9" x14ac:dyDescent="0.25">
      <c r="A3732">
        <v>20131114</v>
      </c>
      <c r="B3732" t="str">
        <f>"112688"</f>
        <v>112688</v>
      </c>
      <c r="C3732" t="str">
        <f>"87484"</f>
        <v>87484</v>
      </c>
      <c r="D3732" t="s">
        <v>588</v>
      </c>
      <c r="E3732" s="1">
        <v>5248.75</v>
      </c>
      <c r="F3732">
        <v>20131107</v>
      </c>
      <c r="G3732" t="s">
        <v>589</v>
      </c>
      <c r="H3732" t="s">
        <v>2195</v>
      </c>
      <c r="I3732" t="s">
        <v>68</v>
      </c>
    </row>
    <row r="3733" spans="1:9" x14ac:dyDescent="0.25">
      <c r="A3733">
        <v>20131114</v>
      </c>
      <c r="B3733" t="str">
        <f>"112689"</f>
        <v>112689</v>
      </c>
      <c r="C3733" t="str">
        <f>"84980"</f>
        <v>84980</v>
      </c>
      <c r="D3733" t="s">
        <v>591</v>
      </c>
      <c r="E3733">
        <v>32.36</v>
      </c>
      <c r="F3733">
        <v>20131108</v>
      </c>
      <c r="G3733" t="s">
        <v>834</v>
      </c>
      <c r="H3733" t="s">
        <v>2196</v>
      </c>
      <c r="I3733" t="s">
        <v>21</v>
      </c>
    </row>
    <row r="3734" spans="1:9" x14ac:dyDescent="0.25">
      <c r="A3734">
        <v>20131114</v>
      </c>
      <c r="B3734" t="str">
        <f>"112689"</f>
        <v>112689</v>
      </c>
      <c r="C3734" t="str">
        <f>"84980"</f>
        <v>84980</v>
      </c>
      <c r="D3734" t="s">
        <v>591</v>
      </c>
      <c r="E3734">
        <v>18.57</v>
      </c>
      <c r="F3734">
        <v>20131112</v>
      </c>
      <c r="G3734" t="s">
        <v>840</v>
      </c>
      <c r="H3734" t="s">
        <v>2197</v>
      </c>
      <c r="I3734" t="s">
        <v>21</v>
      </c>
    </row>
    <row r="3735" spans="1:9" x14ac:dyDescent="0.25">
      <c r="A3735">
        <v>20131114</v>
      </c>
      <c r="B3735" t="str">
        <f>"112690"</f>
        <v>112690</v>
      </c>
      <c r="C3735" t="str">
        <f>"87495"</f>
        <v>87495</v>
      </c>
      <c r="D3735" t="s">
        <v>859</v>
      </c>
      <c r="E3735">
        <v>117.74</v>
      </c>
      <c r="F3735">
        <v>20131112</v>
      </c>
      <c r="G3735" t="s">
        <v>191</v>
      </c>
      <c r="H3735" t="s">
        <v>2198</v>
      </c>
      <c r="I3735" t="s">
        <v>25</v>
      </c>
    </row>
    <row r="3736" spans="1:9" x14ac:dyDescent="0.25">
      <c r="A3736">
        <v>20131114</v>
      </c>
      <c r="B3736" t="str">
        <f>"112691"</f>
        <v>112691</v>
      </c>
      <c r="C3736" t="str">
        <f>"85468"</f>
        <v>85468</v>
      </c>
      <c r="D3736" t="s">
        <v>860</v>
      </c>
      <c r="E3736">
        <v>80.569999999999993</v>
      </c>
      <c r="F3736">
        <v>20131113</v>
      </c>
      <c r="G3736" t="s">
        <v>145</v>
      </c>
      <c r="H3736" t="s">
        <v>354</v>
      </c>
      <c r="I3736" t="s">
        <v>38</v>
      </c>
    </row>
    <row r="3737" spans="1:9" x14ac:dyDescent="0.25">
      <c r="A3737">
        <v>20131114</v>
      </c>
      <c r="B3737" t="str">
        <f>"112692"</f>
        <v>112692</v>
      </c>
      <c r="C3737" t="str">
        <f>"30650"</f>
        <v>30650</v>
      </c>
      <c r="D3737" t="s">
        <v>596</v>
      </c>
      <c r="E3737" s="1">
        <v>3095</v>
      </c>
      <c r="F3737">
        <v>20131107</v>
      </c>
      <c r="G3737" t="s">
        <v>1067</v>
      </c>
      <c r="H3737" t="s">
        <v>2199</v>
      </c>
      <c r="I3737" t="s">
        <v>21</v>
      </c>
    </row>
    <row r="3738" spans="1:9" x14ac:dyDescent="0.25">
      <c r="A3738">
        <v>20131114</v>
      </c>
      <c r="B3738" t="str">
        <f>"112692"</f>
        <v>112692</v>
      </c>
      <c r="C3738" t="str">
        <f>"30650"</f>
        <v>30650</v>
      </c>
      <c r="D3738" t="s">
        <v>596</v>
      </c>
      <c r="E3738" s="1">
        <v>1950</v>
      </c>
      <c r="F3738">
        <v>20131107</v>
      </c>
      <c r="G3738" t="s">
        <v>624</v>
      </c>
      <c r="H3738" t="s">
        <v>2199</v>
      </c>
      <c r="I3738" t="s">
        <v>21</v>
      </c>
    </row>
    <row r="3739" spans="1:9" x14ac:dyDescent="0.25">
      <c r="A3739">
        <v>20131114</v>
      </c>
      <c r="B3739" t="str">
        <f>"112692"</f>
        <v>112692</v>
      </c>
      <c r="C3739" t="str">
        <f>"30650"</f>
        <v>30650</v>
      </c>
      <c r="D3739" t="s">
        <v>596</v>
      </c>
      <c r="E3739" s="1">
        <v>3800.1</v>
      </c>
      <c r="F3739">
        <v>20131107</v>
      </c>
      <c r="G3739" t="s">
        <v>1272</v>
      </c>
      <c r="H3739" t="s">
        <v>2199</v>
      </c>
      <c r="I3739" t="s">
        <v>21</v>
      </c>
    </row>
    <row r="3740" spans="1:9" x14ac:dyDescent="0.25">
      <c r="A3740">
        <v>20131114</v>
      </c>
      <c r="B3740" t="str">
        <f>"112693"</f>
        <v>112693</v>
      </c>
      <c r="C3740" t="str">
        <f>"81072"</f>
        <v>81072</v>
      </c>
      <c r="D3740" t="s">
        <v>598</v>
      </c>
      <c r="E3740" s="1">
        <v>1700</v>
      </c>
      <c r="F3740">
        <v>20131107</v>
      </c>
      <c r="G3740" t="s">
        <v>746</v>
      </c>
      <c r="H3740" t="s">
        <v>555</v>
      </c>
      <c r="I3740" t="s">
        <v>21</v>
      </c>
    </row>
    <row r="3741" spans="1:9" x14ac:dyDescent="0.25">
      <c r="A3741">
        <v>20131114</v>
      </c>
      <c r="B3741" t="str">
        <f>"112694"</f>
        <v>112694</v>
      </c>
      <c r="C3741" t="str">
        <f>"87385"</f>
        <v>87385</v>
      </c>
      <c r="D3741" t="s">
        <v>1089</v>
      </c>
      <c r="E3741">
        <v>123.13</v>
      </c>
      <c r="F3741">
        <v>20131107</v>
      </c>
      <c r="G3741" t="s">
        <v>392</v>
      </c>
      <c r="H3741" t="s">
        <v>414</v>
      </c>
      <c r="I3741" t="s">
        <v>21</v>
      </c>
    </row>
    <row r="3742" spans="1:9" x14ac:dyDescent="0.25">
      <c r="A3742">
        <v>20131114</v>
      </c>
      <c r="B3742" t="str">
        <f>"112695"</f>
        <v>112695</v>
      </c>
      <c r="C3742" t="str">
        <f>"84314"</f>
        <v>84314</v>
      </c>
      <c r="D3742" t="s">
        <v>2200</v>
      </c>
      <c r="E3742">
        <v>12.98</v>
      </c>
      <c r="F3742">
        <v>20131113</v>
      </c>
      <c r="G3742" t="s">
        <v>580</v>
      </c>
      <c r="H3742" t="s">
        <v>354</v>
      </c>
      <c r="I3742" t="s">
        <v>21</v>
      </c>
    </row>
    <row r="3743" spans="1:9" x14ac:dyDescent="0.25">
      <c r="A3743">
        <v>20131114</v>
      </c>
      <c r="B3743" t="str">
        <f>"112696"</f>
        <v>112696</v>
      </c>
      <c r="C3743" t="str">
        <f>"84038"</f>
        <v>84038</v>
      </c>
      <c r="D3743" t="s">
        <v>419</v>
      </c>
      <c r="E3743">
        <v>21.6</v>
      </c>
      <c r="F3743">
        <v>20131113</v>
      </c>
      <c r="G3743" t="s">
        <v>410</v>
      </c>
      <c r="H3743" t="s">
        <v>411</v>
      </c>
      <c r="I3743" t="s">
        <v>12</v>
      </c>
    </row>
    <row r="3744" spans="1:9" x14ac:dyDescent="0.25">
      <c r="A3744">
        <v>20131114</v>
      </c>
      <c r="B3744" t="str">
        <f>"112697"</f>
        <v>112697</v>
      </c>
      <c r="C3744" t="str">
        <f>"86978"</f>
        <v>86978</v>
      </c>
      <c r="D3744" t="s">
        <v>1092</v>
      </c>
      <c r="E3744">
        <v>70</v>
      </c>
      <c r="F3744">
        <v>20131112</v>
      </c>
      <c r="G3744" t="s">
        <v>1093</v>
      </c>
      <c r="H3744" t="s">
        <v>765</v>
      </c>
      <c r="I3744" t="s">
        <v>61</v>
      </c>
    </row>
    <row r="3745" spans="1:9" x14ac:dyDescent="0.25">
      <c r="A3745">
        <v>20131114</v>
      </c>
      <c r="B3745" t="str">
        <f>"112698"</f>
        <v>112698</v>
      </c>
      <c r="C3745" t="str">
        <f>"34560"</f>
        <v>34560</v>
      </c>
      <c r="D3745" t="s">
        <v>2201</v>
      </c>
      <c r="E3745">
        <v>39.81</v>
      </c>
      <c r="F3745">
        <v>20131112</v>
      </c>
      <c r="G3745" t="s">
        <v>440</v>
      </c>
      <c r="H3745" t="s">
        <v>365</v>
      </c>
      <c r="I3745" t="s">
        <v>66</v>
      </c>
    </row>
    <row r="3746" spans="1:9" x14ac:dyDescent="0.25">
      <c r="A3746">
        <v>20131114</v>
      </c>
      <c r="B3746" t="str">
        <f>"112699"</f>
        <v>112699</v>
      </c>
      <c r="C3746" t="str">
        <f>"82659"</f>
        <v>82659</v>
      </c>
      <c r="D3746" t="s">
        <v>2202</v>
      </c>
      <c r="E3746" s="1">
        <v>2098.8200000000002</v>
      </c>
      <c r="F3746">
        <v>20131108</v>
      </c>
      <c r="G3746" t="s">
        <v>2203</v>
      </c>
      <c r="H3746" t="s">
        <v>2204</v>
      </c>
      <c r="I3746" t="s">
        <v>21</v>
      </c>
    </row>
    <row r="3747" spans="1:9" x14ac:dyDescent="0.25">
      <c r="A3747">
        <v>20131114</v>
      </c>
      <c r="B3747" t="str">
        <f>"112700"</f>
        <v>112700</v>
      </c>
      <c r="C3747" t="str">
        <f>"87182"</f>
        <v>87182</v>
      </c>
      <c r="D3747" t="s">
        <v>1251</v>
      </c>
      <c r="E3747">
        <v>110.59</v>
      </c>
      <c r="F3747">
        <v>20131112</v>
      </c>
      <c r="G3747" t="s">
        <v>910</v>
      </c>
      <c r="H3747" t="s">
        <v>354</v>
      </c>
      <c r="I3747" t="s">
        <v>25</v>
      </c>
    </row>
    <row r="3748" spans="1:9" x14ac:dyDescent="0.25">
      <c r="A3748">
        <v>20131114</v>
      </c>
      <c r="B3748" t="str">
        <f t="shared" ref="B3748:B3753" si="259">"112701"</f>
        <v>112701</v>
      </c>
      <c r="C3748" t="str">
        <f t="shared" ref="C3748:C3753" si="260">"35337"</f>
        <v>35337</v>
      </c>
      <c r="D3748" t="s">
        <v>599</v>
      </c>
      <c r="E3748">
        <v>126.21</v>
      </c>
      <c r="F3748">
        <v>20131107</v>
      </c>
      <c r="G3748" t="s">
        <v>498</v>
      </c>
      <c r="H3748" t="s">
        <v>499</v>
      </c>
      <c r="I3748" t="s">
        <v>21</v>
      </c>
    </row>
    <row r="3749" spans="1:9" x14ac:dyDescent="0.25">
      <c r="A3749">
        <v>20131114</v>
      </c>
      <c r="B3749" t="str">
        <f t="shared" si="259"/>
        <v>112701</v>
      </c>
      <c r="C3749" t="str">
        <f t="shared" si="260"/>
        <v>35337</v>
      </c>
      <c r="D3749" t="s">
        <v>599</v>
      </c>
      <c r="E3749">
        <v>236.48</v>
      </c>
      <c r="F3749">
        <v>20131107</v>
      </c>
      <c r="G3749" t="s">
        <v>498</v>
      </c>
      <c r="H3749" t="s">
        <v>499</v>
      </c>
      <c r="I3749" t="s">
        <v>21</v>
      </c>
    </row>
    <row r="3750" spans="1:9" x14ac:dyDescent="0.25">
      <c r="A3750">
        <v>20131114</v>
      </c>
      <c r="B3750" t="str">
        <f t="shared" si="259"/>
        <v>112701</v>
      </c>
      <c r="C3750" t="str">
        <f t="shared" si="260"/>
        <v>35337</v>
      </c>
      <c r="D3750" t="s">
        <v>599</v>
      </c>
      <c r="E3750">
        <v>126.22</v>
      </c>
      <c r="F3750">
        <v>20131107</v>
      </c>
      <c r="G3750" t="s">
        <v>498</v>
      </c>
      <c r="H3750" t="s">
        <v>499</v>
      </c>
      <c r="I3750" t="s">
        <v>21</v>
      </c>
    </row>
    <row r="3751" spans="1:9" x14ac:dyDescent="0.25">
      <c r="A3751">
        <v>20131114</v>
      </c>
      <c r="B3751" t="str">
        <f t="shared" si="259"/>
        <v>112701</v>
      </c>
      <c r="C3751" t="str">
        <f t="shared" si="260"/>
        <v>35337</v>
      </c>
      <c r="D3751" t="s">
        <v>599</v>
      </c>
      <c r="E3751">
        <v>135.99</v>
      </c>
      <c r="F3751">
        <v>20131107</v>
      </c>
      <c r="G3751" t="s">
        <v>496</v>
      </c>
      <c r="H3751" t="s">
        <v>414</v>
      </c>
      <c r="I3751" t="s">
        <v>21</v>
      </c>
    </row>
    <row r="3752" spans="1:9" x14ac:dyDescent="0.25">
      <c r="A3752">
        <v>20131114</v>
      </c>
      <c r="B3752" t="str">
        <f t="shared" si="259"/>
        <v>112701</v>
      </c>
      <c r="C3752" t="str">
        <f t="shared" si="260"/>
        <v>35337</v>
      </c>
      <c r="D3752" t="s">
        <v>599</v>
      </c>
      <c r="E3752">
        <v>9.84</v>
      </c>
      <c r="F3752">
        <v>20131107</v>
      </c>
      <c r="G3752" t="s">
        <v>496</v>
      </c>
      <c r="H3752" t="s">
        <v>414</v>
      </c>
      <c r="I3752" t="s">
        <v>21</v>
      </c>
    </row>
    <row r="3753" spans="1:9" x14ac:dyDescent="0.25">
      <c r="A3753">
        <v>20131114</v>
      </c>
      <c r="B3753" t="str">
        <f t="shared" si="259"/>
        <v>112701</v>
      </c>
      <c r="C3753" t="str">
        <f t="shared" si="260"/>
        <v>35337</v>
      </c>
      <c r="D3753" t="s">
        <v>599</v>
      </c>
      <c r="E3753">
        <v>61.92</v>
      </c>
      <c r="F3753">
        <v>20131107</v>
      </c>
      <c r="G3753" t="s">
        <v>496</v>
      </c>
      <c r="H3753" t="s">
        <v>414</v>
      </c>
      <c r="I3753" t="s">
        <v>21</v>
      </c>
    </row>
    <row r="3754" spans="1:9" x14ac:dyDescent="0.25">
      <c r="A3754">
        <v>20131114</v>
      </c>
      <c r="B3754" t="str">
        <f>"112702"</f>
        <v>112702</v>
      </c>
      <c r="C3754" t="str">
        <f>"81525"</f>
        <v>81525</v>
      </c>
      <c r="D3754" t="s">
        <v>1252</v>
      </c>
      <c r="E3754">
        <v>50.69</v>
      </c>
      <c r="F3754">
        <v>20131112</v>
      </c>
      <c r="G3754" t="s">
        <v>601</v>
      </c>
      <c r="H3754" t="s">
        <v>365</v>
      </c>
      <c r="I3754" t="s">
        <v>21</v>
      </c>
    </row>
    <row r="3755" spans="1:9" x14ac:dyDescent="0.25">
      <c r="A3755">
        <v>20131114</v>
      </c>
      <c r="B3755" t="str">
        <f>"112703"</f>
        <v>112703</v>
      </c>
      <c r="C3755" t="str">
        <f>"87088"</f>
        <v>87088</v>
      </c>
      <c r="D3755" t="s">
        <v>1097</v>
      </c>
      <c r="E3755" s="1">
        <v>6894.38</v>
      </c>
      <c r="F3755">
        <v>20131108</v>
      </c>
      <c r="G3755" t="s">
        <v>1271</v>
      </c>
      <c r="H3755" t="s">
        <v>1098</v>
      </c>
      <c r="I3755" t="s">
        <v>21</v>
      </c>
    </row>
    <row r="3756" spans="1:9" x14ac:dyDescent="0.25">
      <c r="A3756">
        <v>20131114</v>
      </c>
      <c r="B3756" t="str">
        <f>"112704"</f>
        <v>112704</v>
      </c>
      <c r="C3756" t="str">
        <f>"86395"</f>
        <v>86395</v>
      </c>
      <c r="D3756" t="s">
        <v>2205</v>
      </c>
      <c r="E3756">
        <v>67.099999999999994</v>
      </c>
      <c r="F3756">
        <v>20131112</v>
      </c>
      <c r="G3756" t="s">
        <v>910</v>
      </c>
      <c r="H3756" t="s">
        <v>354</v>
      </c>
      <c r="I3756" t="s">
        <v>25</v>
      </c>
    </row>
    <row r="3757" spans="1:9" x14ac:dyDescent="0.25">
      <c r="A3757">
        <v>20131114</v>
      </c>
      <c r="B3757" t="str">
        <f>"112705"</f>
        <v>112705</v>
      </c>
      <c r="C3757" t="str">
        <f>"35817"</f>
        <v>35817</v>
      </c>
      <c r="D3757" t="s">
        <v>600</v>
      </c>
      <c r="E3757">
        <v>25.61</v>
      </c>
      <c r="F3757">
        <v>20131112</v>
      </c>
      <c r="G3757" t="s">
        <v>601</v>
      </c>
      <c r="H3757" t="s">
        <v>563</v>
      </c>
      <c r="I3757" t="s">
        <v>21</v>
      </c>
    </row>
    <row r="3758" spans="1:9" x14ac:dyDescent="0.25">
      <c r="A3758">
        <v>20131114</v>
      </c>
      <c r="B3758" t="str">
        <f>"112705"</f>
        <v>112705</v>
      </c>
      <c r="C3758" t="str">
        <f>"35817"</f>
        <v>35817</v>
      </c>
      <c r="D3758" t="s">
        <v>600</v>
      </c>
      <c r="E3758">
        <v>63.67</v>
      </c>
      <c r="F3758">
        <v>20131107</v>
      </c>
      <c r="G3758" t="s">
        <v>1263</v>
      </c>
      <c r="H3758" t="s">
        <v>365</v>
      </c>
      <c r="I3758" t="s">
        <v>21</v>
      </c>
    </row>
    <row r="3759" spans="1:9" x14ac:dyDescent="0.25">
      <c r="A3759">
        <v>20131114</v>
      </c>
      <c r="B3759" t="str">
        <f>"112706"</f>
        <v>112706</v>
      </c>
      <c r="C3759" t="str">
        <f>"35865"</f>
        <v>35865</v>
      </c>
      <c r="D3759" t="s">
        <v>2206</v>
      </c>
      <c r="E3759">
        <v>663.6</v>
      </c>
      <c r="F3759">
        <v>20131113</v>
      </c>
      <c r="G3759" t="s">
        <v>331</v>
      </c>
      <c r="H3759" t="s">
        <v>2207</v>
      </c>
      <c r="I3759" t="s">
        <v>12</v>
      </c>
    </row>
    <row r="3760" spans="1:9" x14ac:dyDescent="0.25">
      <c r="A3760">
        <v>20131114</v>
      </c>
      <c r="B3760" t="str">
        <f>"112707"</f>
        <v>112707</v>
      </c>
      <c r="C3760" t="str">
        <f>"36909"</f>
        <v>36909</v>
      </c>
      <c r="D3760" t="s">
        <v>2208</v>
      </c>
      <c r="E3760">
        <v>66</v>
      </c>
      <c r="F3760">
        <v>20131107</v>
      </c>
      <c r="G3760" t="s">
        <v>496</v>
      </c>
      <c r="H3760" t="s">
        <v>2209</v>
      </c>
      <c r="I3760" t="s">
        <v>21</v>
      </c>
    </row>
    <row r="3761" spans="1:9" x14ac:dyDescent="0.25">
      <c r="A3761">
        <v>20131114</v>
      </c>
      <c r="B3761" t="str">
        <f>"112708"</f>
        <v>112708</v>
      </c>
      <c r="C3761" t="str">
        <f>"83064"</f>
        <v>83064</v>
      </c>
      <c r="D3761" t="s">
        <v>1760</v>
      </c>
      <c r="E3761">
        <v>466.45</v>
      </c>
      <c r="F3761">
        <v>20131113</v>
      </c>
      <c r="G3761" t="s">
        <v>2210</v>
      </c>
      <c r="H3761" t="s">
        <v>365</v>
      </c>
      <c r="I3761" t="s">
        <v>75</v>
      </c>
    </row>
    <row r="3762" spans="1:9" x14ac:dyDescent="0.25">
      <c r="A3762">
        <v>20131114</v>
      </c>
      <c r="B3762" t="str">
        <f>"112709"</f>
        <v>112709</v>
      </c>
      <c r="C3762" t="str">
        <f>"36960"</f>
        <v>36960</v>
      </c>
      <c r="D3762" t="s">
        <v>871</v>
      </c>
      <c r="E3762">
        <v>275</v>
      </c>
      <c r="F3762">
        <v>20131113</v>
      </c>
      <c r="G3762" t="s">
        <v>1408</v>
      </c>
      <c r="H3762" t="s">
        <v>525</v>
      </c>
      <c r="I3762" t="s">
        <v>12</v>
      </c>
    </row>
    <row r="3763" spans="1:9" x14ac:dyDescent="0.25">
      <c r="A3763">
        <v>20131114</v>
      </c>
      <c r="B3763" t="str">
        <f>"112710"</f>
        <v>112710</v>
      </c>
      <c r="C3763" t="str">
        <f>"36970"</f>
        <v>36970</v>
      </c>
      <c r="D3763" t="s">
        <v>1253</v>
      </c>
      <c r="E3763">
        <v>74.88</v>
      </c>
      <c r="F3763">
        <v>20131112</v>
      </c>
      <c r="G3763" t="s">
        <v>2211</v>
      </c>
      <c r="H3763" t="s">
        <v>563</v>
      </c>
      <c r="I3763" t="s">
        <v>2212</v>
      </c>
    </row>
    <row r="3764" spans="1:9" x14ac:dyDescent="0.25">
      <c r="A3764">
        <v>20131114</v>
      </c>
      <c r="B3764" t="str">
        <f>"112711"</f>
        <v>112711</v>
      </c>
      <c r="C3764" t="str">
        <f>"83362"</f>
        <v>83362</v>
      </c>
      <c r="D3764" t="s">
        <v>1443</v>
      </c>
      <c r="E3764">
        <v>188.48</v>
      </c>
      <c r="F3764">
        <v>20131113</v>
      </c>
      <c r="G3764" t="s">
        <v>577</v>
      </c>
      <c r="H3764" t="s">
        <v>2213</v>
      </c>
      <c r="I3764" t="s">
        <v>21</v>
      </c>
    </row>
    <row r="3765" spans="1:9" x14ac:dyDescent="0.25">
      <c r="A3765">
        <v>20131114</v>
      </c>
      <c r="B3765" t="str">
        <f>"112712"</f>
        <v>112712</v>
      </c>
      <c r="C3765" t="str">
        <f>"85823"</f>
        <v>85823</v>
      </c>
      <c r="D3765" t="s">
        <v>1446</v>
      </c>
      <c r="E3765" s="1">
        <v>2210</v>
      </c>
      <c r="F3765">
        <v>20131108</v>
      </c>
      <c r="G3765" t="s">
        <v>627</v>
      </c>
      <c r="H3765" t="s">
        <v>2214</v>
      </c>
      <c r="I3765" t="s">
        <v>21</v>
      </c>
    </row>
    <row r="3766" spans="1:9" x14ac:dyDescent="0.25">
      <c r="A3766">
        <v>20131114</v>
      </c>
      <c r="B3766" t="str">
        <f>"112712"</f>
        <v>112712</v>
      </c>
      <c r="C3766" t="str">
        <f>"85823"</f>
        <v>85823</v>
      </c>
      <c r="D3766" t="s">
        <v>1446</v>
      </c>
      <c r="E3766" s="1">
        <v>3180</v>
      </c>
      <c r="F3766">
        <v>20131108</v>
      </c>
      <c r="G3766" t="s">
        <v>627</v>
      </c>
      <c r="H3766" t="s">
        <v>2215</v>
      </c>
      <c r="I3766" t="s">
        <v>21</v>
      </c>
    </row>
    <row r="3767" spans="1:9" x14ac:dyDescent="0.25">
      <c r="A3767">
        <v>20131114</v>
      </c>
      <c r="B3767" t="str">
        <f>"112712"</f>
        <v>112712</v>
      </c>
      <c r="C3767" t="str">
        <f>"85823"</f>
        <v>85823</v>
      </c>
      <c r="D3767" t="s">
        <v>1446</v>
      </c>
      <c r="E3767">
        <v>912</v>
      </c>
      <c r="F3767">
        <v>20131113</v>
      </c>
      <c r="G3767" t="s">
        <v>629</v>
      </c>
      <c r="H3767" t="s">
        <v>2216</v>
      </c>
      <c r="I3767" t="s">
        <v>21</v>
      </c>
    </row>
    <row r="3768" spans="1:9" x14ac:dyDescent="0.25">
      <c r="A3768">
        <v>20131114</v>
      </c>
      <c r="B3768" t="str">
        <f>"112713"</f>
        <v>112713</v>
      </c>
      <c r="C3768" t="str">
        <f>"82704"</f>
        <v>82704</v>
      </c>
      <c r="D3768" t="s">
        <v>2217</v>
      </c>
      <c r="E3768" s="1">
        <v>1806</v>
      </c>
      <c r="F3768">
        <v>20131113</v>
      </c>
      <c r="G3768" t="s">
        <v>404</v>
      </c>
      <c r="H3768" t="s">
        <v>2218</v>
      </c>
      <c r="I3768" t="s">
        <v>12</v>
      </c>
    </row>
    <row r="3769" spans="1:9" x14ac:dyDescent="0.25">
      <c r="A3769">
        <v>20131114</v>
      </c>
      <c r="B3769" t="str">
        <f>"112714"</f>
        <v>112714</v>
      </c>
      <c r="C3769" t="str">
        <f>"86459"</f>
        <v>86459</v>
      </c>
      <c r="D3769" t="s">
        <v>881</v>
      </c>
      <c r="E3769">
        <v>816</v>
      </c>
      <c r="F3769">
        <v>20131113</v>
      </c>
      <c r="G3769" t="s">
        <v>2219</v>
      </c>
      <c r="H3769" t="s">
        <v>2220</v>
      </c>
      <c r="I3769" t="s">
        <v>61</v>
      </c>
    </row>
    <row r="3770" spans="1:9" x14ac:dyDescent="0.25">
      <c r="A3770">
        <v>20131114</v>
      </c>
      <c r="B3770" t="str">
        <f>"112715"</f>
        <v>112715</v>
      </c>
      <c r="C3770" t="str">
        <f>"39315"</f>
        <v>39315</v>
      </c>
      <c r="D3770" t="s">
        <v>420</v>
      </c>
      <c r="E3770">
        <v>122.4</v>
      </c>
      <c r="F3770">
        <v>20131113</v>
      </c>
      <c r="G3770" t="s">
        <v>410</v>
      </c>
      <c r="H3770" t="s">
        <v>411</v>
      </c>
      <c r="I3770" t="s">
        <v>12</v>
      </c>
    </row>
    <row r="3771" spans="1:9" x14ac:dyDescent="0.25">
      <c r="A3771">
        <v>20131114</v>
      </c>
      <c r="B3771" t="str">
        <f>"112716"</f>
        <v>112716</v>
      </c>
      <c r="C3771" t="str">
        <f>"76155"</f>
        <v>76155</v>
      </c>
      <c r="D3771" t="s">
        <v>1881</v>
      </c>
      <c r="E3771">
        <v>110</v>
      </c>
      <c r="F3771">
        <v>20131112</v>
      </c>
      <c r="G3771" t="s">
        <v>1359</v>
      </c>
      <c r="H3771" t="s">
        <v>1360</v>
      </c>
      <c r="I3771" t="s">
        <v>21</v>
      </c>
    </row>
    <row r="3772" spans="1:9" x14ac:dyDescent="0.25">
      <c r="A3772">
        <v>20131114</v>
      </c>
      <c r="B3772" t="str">
        <f>"112717"</f>
        <v>112717</v>
      </c>
      <c r="C3772" t="str">
        <f>"40360"</f>
        <v>40360</v>
      </c>
      <c r="D3772" t="s">
        <v>2221</v>
      </c>
      <c r="E3772">
        <v>162.97</v>
      </c>
      <c r="F3772">
        <v>20131112</v>
      </c>
      <c r="G3772" t="s">
        <v>764</v>
      </c>
      <c r="H3772" t="s">
        <v>765</v>
      </c>
      <c r="I3772" t="s">
        <v>61</v>
      </c>
    </row>
    <row r="3773" spans="1:9" x14ac:dyDescent="0.25">
      <c r="A3773">
        <v>20131114</v>
      </c>
      <c r="B3773" t="str">
        <f>"112718"</f>
        <v>112718</v>
      </c>
      <c r="C3773" t="str">
        <f>"86485"</f>
        <v>86485</v>
      </c>
      <c r="D3773" t="s">
        <v>887</v>
      </c>
      <c r="E3773">
        <v>66.02</v>
      </c>
      <c r="F3773">
        <v>20131107</v>
      </c>
      <c r="G3773" t="s">
        <v>774</v>
      </c>
      <c r="H3773" t="s">
        <v>765</v>
      </c>
      <c r="I3773" t="s">
        <v>61</v>
      </c>
    </row>
    <row r="3774" spans="1:9" x14ac:dyDescent="0.25">
      <c r="A3774">
        <v>20131114</v>
      </c>
      <c r="B3774" t="str">
        <f>"112718"</f>
        <v>112718</v>
      </c>
      <c r="C3774" t="str">
        <f>"86485"</f>
        <v>86485</v>
      </c>
      <c r="D3774" t="s">
        <v>887</v>
      </c>
      <c r="E3774">
        <v>58.48</v>
      </c>
      <c r="F3774">
        <v>20131107</v>
      </c>
      <c r="G3774" t="s">
        <v>1003</v>
      </c>
      <c r="H3774" t="s">
        <v>765</v>
      </c>
      <c r="I3774" t="s">
        <v>61</v>
      </c>
    </row>
    <row r="3775" spans="1:9" x14ac:dyDescent="0.25">
      <c r="A3775">
        <v>20131114</v>
      </c>
      <c r="B3775" t="str">
        <f>"112719"</f>
        <v>112719</v>
      </c>
      <c r="C3775" t="str">
        <f>"85212"</f>
        <v>85212</v>
      </c>
      <c r="D3775" t="s">
        <v>2222</v>
      </c>
      <c r="E3775">
        <v>134</v>
      </c>
      <c r="F3775">
        <v>20131113</v>
      </c>
      <c r="G3775" t="s">
        <v>448</v>
      </c>
      <c r="H3775" t="s">
        <v>414</v>
      </c>
      <c r="I3775" t="s">
        <v>21</v>
      </c>
    </row>
    <row r="3776" spans="1:9" x14ac:dyDescent="0.25">
      <c r="A3776">
        <v>20131114</v>
      </c>
      <c r="B3776" t="str">
        <f>"112720"</f>
        <v>112720</v>
      </c>
      <c r="C3776" t="str">
        <f>"40910"</f>
        <v>40910</v>
      </c>
      <c r="D3776" t="s">
        <v>1886</v>
      </c>
      <c r="E3776" s="1">
        <v>1325.94</v>
      </c>
      <c r="F3776">
        <v>20131113</v>
      </c>
      <c r="G3776" t="s">
        <v>331</v>
      </c>
      <c r="H3776" t="s">
        <v>2223</v>
      </c>
      <c r="I3776" t="s">
        <v>12</v>
      </c>
    </row>
    <row r="3777" spans="1:9" x14ac:dyDescent="0.25">
      <c r="A3777">
        <v>20131114</v>
      </c>
      <c r="B3777" t="str">
        <f>"112721"</f>
        <v>112721</v>
      </c>
      <c r="C3777" t="str">
        <f>"87354"</f>
        <v>87354</v>
      </c>
      <c r="D3777" t="s">
        <v>2224</v>
      </c>
      <c r="E3777" s="1">
        <v>18950</v>
      </c>
      <c r="F3777">
        <v>20131107</v>
      </c>
      <c r="G3777" t="s">
        <v>2147</v>
      </c>
      <c r="H3777" t="s">
        <v>2225</v>
      </c>
      <c r="I3777" t="s">
        <v>21</v>
      </c>
    </row>
    <row r="3778" spans="1:9" x14ac:dyDescent="0.25">
      <c r="A3778">
        <v>20131114</v>
      </c>
      <c r="B3778" t="str">
        <f>"112722"</f>
        <v>112722</v>
      </c>
      <c r="C3778" t="str">
        <f>"87603"</f>
        <v>87603</v>
      </c>
      <c r="D3778" t="s">
        <v>2226</v>
      </c>
      <c r="E3778">
        <v>125.68</v>
      </c>
      <c r="F3778">
        <v>20131112</v>
      </c>
      <c r="G3778" t="s">
        <v>1846</v>
      </c>
      <c r="H3778" t="s">
        <v>765</v>
      </c>
      <c r="I3778" t="s">
        <v>63</v>
      </c>
    </row>
    <row r="3779" spans="1:9" x14ac:dyDescent="0.25">
      <c r="A3779">
        <v>20131114</v>
      </c>
      <c r="B3779" t="str">
        <f>"112723"</f>
        <v>112723</v>
      </c>
      <c r="C3779" t="str">
        <f>"41253"</f>
        <v>41253</v>
      </c>
      <c r="D3779" t="s">
        <v>421</v>
      </c>
      <c r="E3779" s="1">
        <v>133700.6</v>
      </c>
      <c r="F3779">
        <v>20131113</v>
      </c>
      <c r="G3779" t="s">
        <v>404</v>
      </c>
      <c r="H3779" t="s">
        <v>913</v>
      </c>
      <c r="I3779" t="s">
        <v>12</v>
      </c>
    </row>
    <row r="3780" spans="1:9" x14ac:dyDescent="0.25">
      <c r="A3780">
        <v>20131114</v>
      </c>
      <c r="B3780" t="str">
        <f>"112723"</f>
        <v>112723</v>
      </c>
      <c r="C3780" t="str">
        <f>"41253"</f>
        <v>41253</v>
      </c>
      <c r="D3780" t="s">
        <v>421</v>
      </c>
      <c r="E3780" s="1">
        <v>10931.44</v>
      </c>
      <c r="F3780">
        <v>20131113</v>
      </c>
      <c r="G3780" t="s">
        <v>1404</v>
      </c>
      <c r="H3780" t="s">
        <v>1456</v>
      </c>
      <c r="I3780" t="s">
        <v>12</v>
      </c>
    </row>
    <row r="3781" spans="1:9" x14ac:dyDescent="0.25">
      <c r="A3781">
        <v>20131114</v>
      </c>
      <c r="B3781" t="str">
        <f>"112724"</f>
        <v>112724</v>
      </c>
      <c r="C3781" t="str">
        <f>"41375"</f>
        <v>41375</v>
      </c>
      <c r="D3781" t="s">
        <v>616</v>
      </c>
      <c r="E3781">
        <v>190.89</v>
      </c>
      <c r="F3781">
        <v>20131108</v>
      </c>
      <c r="G3781" t="s">
        <v>1024</v>
      </c>
      <c r="H3781" t="s">
        <v>2227</v>
      </c>
      <c r="I3781" t="s">
        <v>21</v>
      </c>
    </row>
    <row r="3782" spans="1:9" x14ac:dyDescent="0.25">
      <c r="A3782">
        <v>20131114</v>
      </c>
      <c r="B3782" t="str">
        <f>"112725"</f>
        <v>112725</v>
      </c>
      <c r="C3782" t="str">
        <f>"86928"</f>
        <v>86928</v>
      </c>
      <c r="D3782" t="s">
        <v>1457</v>
      </c>
      <c r="E3782">
        <v>640.58000000000004</v>
      </c>
      <c r="F3782">
        <v>20131107</v>
      </c>
      <c r="G3782" t="s">
        <v>1235</v>
      </c>
      <c r="H3782" t="s">
        <v>563</v>
      </c>
      <c r="I3782" t="s">
        <v>79</v>
      </c>
    </row>
    <row r="3783" spans="1:9" x14ac:dyDescent="0.25">
      <c r="A3783">
        <v>20131114</v>
      </c>
      <c r="B3783" t="str">
        <f>"112726"</f>
        <v>112726</v>
      </c>
      <c r="C3783" t="str">
        <f>"86767"</f>
        <v>86767</v>
      </c>
      <c r="D3783" t="s">
        <v>1458</v>
      </c>
      <c r="E3783">
        <v>44.28</v>
      </c>
      <c r="F3783">
        <v>20131107</v>
      </c>
      <c r="G3783" t="s">
        <v>601</v>
      </c>
      <c r="H3783" t="s">
        <v>563</v>
      </c>
      <c r="I3783" t="s">
        <v>21</v>
      </c>
    </row>
    <row r="3784" spans="1:9" x14ac:dyDescent="0.25">
      <c r="A3784">
        <v>20131114</v>
      </c>
      <c r="B3784" t="str">
        <f>"112727"</f>
        <v>112727</v>
      </c>
      <c r="C3784" t="str">
        <f>"87580"</f>
        <v>87580</v>
      </c>
      <c r="D3784" t="s">
        <v>2228</v>
      </c>
      <c r="E3784">
        <v>479</v>
      </c>
      <c r="F3784">
        <v>20131108</v>
      </c>
      <c r="G3784" t="s">
        <v>923</v>
      </c>
      <c r="H3784" t="s">
        <v>2229</v>
      </c>
      <c r="I3784" t="s">
        <v>66</v>
      </c>
    </row>
    <row r="3785" spans="1:9" x14ac:dyDescent="0.25">
      <c r="A3785">
        <v>20131114</v>
      </c>
      <c r="B3785" t="str">
        <f>"112728"</f>
        <v>112728</v>
      </c>
      <c r="C3785" t="str">
        <f>"42750"</f>
        <v>42750</v>
      </c>
      <c r="D3785" t="s">
        <v>888</v>
      </c>
      <c r="E3785">
        <v>74.78</v>
      </c>
      <c r="F3785">
        <v>20131108</v>
      </c>
      <c r="G3785" t="s">
        <v>181</v>
      </c>
      <c r="H3785" t="s">
        <v>354</v>
      </c>
      <c r="I3785" t="s">
        <v>38</v>
      </c>
    </row>
    <row r="3786" spans="1:9" x14ac:dyDescent="0.25">
      <c r="A3786">
        <v>20131114</v>
      </c>
      <c r="B3786" t="str">
        <f>"112729"</f>
        <v>112729</v>
      </c>
      <c r="C3786" t="str">
        <f>"43125"</f>
        <v>43125</v>
      </c>
      <c r="D3786" t="s">
        <v>891</v>
      </c>
      <c r="E3786">
        <v>15.84</v>
      </c>
      <c r="F3786">
        <v>20131112</v>
      </c>
      <c r="G3786" t="s">
        <v>2211</v>
      </c>
      <c r="H3786" t="s">
        <v>563</v>
      </c>
      <c r="I3786" t="s">
        <v>2212</v>
      </c>
    </row>
    <row r="3787" spans="1:9" x14ac:dyDescent="0.25">
      <c r="A3787">
        <v>20131114</v>
      </c>
      <c r="B3787" t="str">
        <f>"112730"</f>
        <v>112730</v>
      </c>
      <c r="C3787" t="str">
        <f>"84347"</f>
        <v>84347</v>
      </c>
      <c r="D3787" t="s">
        <v>2230</v>
      </c>
      <c r="E3787">
        <v>26.66</v>
      </c>
      <c r="F3787">
        <v>20131113</v>
      </c>
      <c r="G3787" t="s">
        <v>1167</v>
      </c>
      <c r="H3787" t="s">
        <v>2231</v>
      </c>
      <c r="I3787" t="s">
        <v>21</v>
      </c>
    </row>
    <row r="3788" spans="1:9" x14ac:dyDescent="0.25">
      <c r="A3788">
        <v>20131114</v>
      </c>
      <c r="B3788" t="str">
        <f>"112731"</f>
        <v>112731</v>
      </c>
      <c r="C3788" t="str">
        <f>"83430"</f>
        <v>83430</v>
      </c>
      <c r="D3788" t="s">
        <v>423</v>
      </c>
      <c r="E3788">
        <v>38.700000000000003</v>
      </c>
      <c r="F3788">
        <v>20131113</v>
      </c>
      <c r="G3788" t="s">
        <v>410</v>
      </c>
      <c r="H3788" t="s">
        <v>411</v>
      </c>
      <c r="I3788" t="s">
        <v>12</v>
      </c>
    </row>
    <row r="3789" spans="1:9" x14ac:dyDescent="0.25">
      <c r="A3789">
        <v>20131114</v>
      </c>
      <c r="B3789" t="str">
        <f>"112732"</f>
        <v>112732</v>
      </c>
      <c r="C3789" t="str">
        <f>"43798"</f>
        <v>43798</v>
      </c>
      <c r="D3789" t="s">
        <v>620</v>
      </c>
      <c r="E3789" s="1">
        <v>1132.56</v>
      </c>
      <c r="F3789">
        <v>20131107</v>
      </c>
      <c r="G3789" t="s">
        <v>1270</v>
      </c>
      <c r="H3789" t="s">
        <v>2232</v>
      </c>
      <c r="I3789" t="s">
        <v>21</v>
      </c>
    </row>
    <row r="3790" spans="1:9" x14ac:dyDescent="0.25">
      <c r="A3790">
        <v>20131114</v>
      </c>
      <c r="B3790" t="str">
        <f>"112733"</f>
        <v>112733</v>
      </c>
      <c r="C3790" t="str">
        <f>"44875"</f>
        <v>44875</v>
      </c>
      <c r="D3790" t="s">
        <v>424</v>
      </c>
      <c r="E3790">
        <v>57.6</v>
      </c>
      <c r="F3790">
        <v>20131113</v>
      </c>
      <c r="G3790" t="s">
        <v>410</v>
      </c>
      <c r="H3790" t="s">
        <v>411</v>
      </c>
      <c r="I3790" t="s">
        <v>12</v>
      </c>
    </row>
    <row r="3791" spans="1:9" x14ac:dyDescent="0.25">
      <c r="A3791">
        <v>20131114</v>
      </c>
      <c r="B3791" t="str">
        <f>"112734"</f>
        <v>112734</v>
      </c>
      <c r="C3791" t="str">
        <f>"84445"</f>
        <v>84445</v>
      </c>
      <c r="D3791" t="s">
        <v>1472</v>
      </c>
      <c r="E3791">
        <v>259.8</v>
      </c>
      <c r="F3791">
        <v>20131113</v>
      </c>
      <c r="G3791" t="s">
        <v>1033</v>
      </c>
      <c r="H3791" t="s">
        <v>365</v>
      </c>
      <c r="I3791" t="s">
        <v>21</v>
      </c>
    </row>
    <row r="3792" spans="1:9" x14ac:dyDescent="0.25">
      <c r="A3792">
        <v>20131114</v>
      </c>
      <c r="B3792" t="str">
        <f>"112734"</f>
        <v>112734</v>
      </c>
      <c r="C3792" t="str">
        <f>"84445"</f>
        <v>84445</v>
      </c>
      <c r="D3792" t="s">
        <v>1472</v>
      </c>
      <c r="E3792">
        <v>49.77</v>
      </c>
      <c r="F3792">
        <v>20131107</v>
      </c>
      <c r="G3792" t="s">
        <v>562</v>
      </c>
      <c r="H3792" t="s">
        <v>563</v>
      </c>
      <c r="I3792" t="s">
        <v>21</v>
      </c>
    </row>
    <row r="3793" spans="1:9" x14ac:dyDescent="0.25">
      <c r="A3793">
        <v>20131114</v>
      </c>
      <c r="B3793" t="str">
        <f>"112735"</f>
        <v>112735</v>
      </c>
      <c r="C3793" t="str">
        <f>"45446"</f>
        <v>45446</v>
      </c>
      <c r="D3793" t="s">
        <v>2007</v>
      </c>
      <c r="E3793">
        <v>120</v>
      </c>
      <c r="F3793">
        <v>20131113</v>
      </c>
      <c r="G3793" t="s">
        <v>2008</v>
      </c>
      <c r="H3793" t="s">
        <v>2233</v>
      </c>
      <c r="I3793" t="s">
        <v>25</v>
      </c>
    </row>
    <row r="3794" spans="1:9" x14ac:dyDescent="0.25">
      <c r="A3794">
        <v>20131114</v>
      </c>
      <c r="B3794" t="str">
        <f>"112736"</f>
        <v>112736</v>
      </c>
      <c r="C3794" t="str">
        <f>"45465"</f>
        <v>45465</v>
      </c>
      <c r="D3794" t="s">
        <v>1473</v>
      </c>
      <c r="E3794">
        <v>355.58</v>
      </c>
      <c r="F3794">
        <v>20131107</v>
      </c>
      <c r="G3794" t="s">
        <v>392</v>
      </c>
      <c r="H3794" t="s">
        <v>414</v>
      </c>
      <c r="I3794" t="s">
        <v>21</v>
      </c>
    </row>
    <row r="3795" spans="1:9" x14ac:dyDescent="0.25">
      <c r="A3795">
        <v>20131114</v>
      </c>
      <c r="B3795" t="str">
        <f>"112737"</f>
        <v>112737</v>
      </c>
      <c r="C3795" t="str">
        <f>"81282"</f>
        <v>81282</v>
      </c>
      <c r="D3795" t="s">
        <v>1262</v>
      </c>
      <c r="E3795">
        <v>387</v>
      </c>
      <c r="F3795">
        <v>20131108</v>
      </c>
      <c r="G3795" t="s">
        <v>926</v>
      </c>
      <c r="H3795" t="s">
        <v>921</v>
      </c>
      <c r="I3795" t="s">
        <v>21</v>
      </c>
    </row>
    <row r="3796" spans="1:9" x14ac:dyDescent="0.25">
      <c r="A3796">
        <v>20131114</v>
      </c>
      <c r="B3796" t="str">
        <f>"112738"</f>
        <v>112738</v>
      </c>
      <c r="C3796" t="str">
        <f>"86050"</f>
        <v>86050</v>
      </c>
      <c r="D3796" t="s">
        <v>894</v>
      </c>
      <c r="E3796">
        <v>150</v>
      </c>
      <c r="F3796">
        <v>20131112</v>
      </c>
      <c r="G3796" t="s">
        <v>1846</v>
      </c>
      <c r="H3796" t="s">
        <v>765</v>
      </c>
      <c r="I3796" t="s">
        <v>63</v>
      </c>
    </row>
    <row r="3797" spans="1:9" x14ac:dyDescent="0.25">
      <c r="A3797">
        <v>20131114</v>
      </c>
      <c r="B3797" t="str">
        <f t="shared" ref="B3797:B3804" si="261">"112739"</f>
        <v>112739</v>
      </c>
      <c r="C3797" t="str">
        <f t="shared" ref="C3797:C3804" si="262">"46500"</f>
        <v>46500</v>
      </c>
      <c r="D3797" t="s">
        <v>626</v>
      </c>
      <c r="E3797">
        <v>283.08999999999997</v>
      </c>
      <c r="F3797">
        <v>20131108</v>
      </c>
      <c r="G3797" t="s">
        <v>1338</v>
      </c>
      <c r="H3797" t="s">
        <v>414</v>
      </c>
      <c r="I3797" t="s">
        <v>21</v>
      </c>
    </row>
    <row r="3798" spans="1:9" x14ac:dyDescent="0.25">
      <c r="A3798">
        <v>20131114</v>
      </c>
      <c r="B3798" t="str">
        <f t="shared" si="261"/>
        <v>112739</v>
      </c>
      <c r="C3798" t="str">
        <f t="shared" si="262"/>
        <v>46500</v>
      </c>
      <c r="D3798" t="s">
        <v>626</v>
      </c>
      <c r="E3798" s="1">
        <v>1596.62</v>
      </c>
      <c r="F3798">
        <v>20131108</v>
      </c>
      <c r="G3798" t="s">
        <v>415</v>
      </c>
      <c r="H3798" t="s">
        <v>414</v>
      </c>
      <c r="I3798" t="s">
        <v>21</v>
      </c>
    </row>
    <row r="3799" spans="1:9" x14ac:dyDescent="0.25">
      <c r="A3799">
        <v>20131114</v>
      </c>
      <c r="B3799" t="str">
        <f t="shared" si="261"/>
        <v>112739</v>
      </c>
      <c r="C3799" t="str">
        <f t="shared" si="262"/>
        <v>46500</v>
      </c>
      <c r="D3799" t="s">
        <v>626</v>
      </c>
      <c r="E3799">
        <v>268.79000000000002</v>
      </c>
      <c r="F3799">
        <v>20131108</v>
      </c>
      <c r="G3799" t="s">
        <v>627</v>
      </c>
      <c r="H3799" t="s">
        <v>414</v>
      </c>
      <c r="I3799" t="s">
        <v>21</v>
      </c>
    </row>
    <row r="3800" spans="1:9" x14ac:dyDescent="0.25">
      <c r="A3800">
        <v>20131114</v>
      </c>
      <c r="B3800" t="str">
        <f t="shared" si="261"/>
        <v>112739</v>
      </c>
      <c r="C3800" t="str">
        <f t="shared" si="262"/>
        <v>46500</v>
      </c>
      <c r="D3800" t="s">
        <v>626</v>
      </c>
      <c r="E3800">
        <v>158.34</v>
      </c>
      <c r="F3800">
        <v>20131108</v>
      </c>
      <c r="G3800" t="s">
        <v>628</v>
      </c>
      <c r="H3800" t="s">
        <v>414</v>
      </c>
      <c r="I3800" t="s">
        <v>21</v>
      </c>
    </row>
    <row r="3801" spans="1:9" x14ac:dyDescent="0.25">
      <c r="A3801">
        <v>20131114</v>
      </c>
      <c r="B3801" t="str">
        <f t="shared" si="261"/>
        <v>112739</v>
      </c>
      <c r="C3801" t="str">
        <f t="shared" si="262"/>
        <v>46500</v>
      </c>
      <c r="D3801" t="s">
        <v>626</v>
      </c>
      <c r="E3801">
        <v>46.88</v>
      </c>
      <c r="F3801">
        <v>20131108</v>
      </c>
      <c r="G3801" t="s">
        <v>631</v>
      </c>
      <c r="H3801" t="s">
        <v>414</v>
      </c>
      <c r="I3801" t="s">
        <v>21</v>
      </c>
    </row>
    <row r="3802" spans="1:9" x14ac:dyDescent="0.25">
      <c r="A3802">
        <v>20131114</v>
      </c>
      <c r="B3802" t="str">
        <f t="shared" si="261"/>
        <v>112739</v>
      </c>
      <c r="C3802" t="str">
        <f t="shared" si="262"/>
        <v>46500</v>
      </c>
      <c r="D3802" t="s">
        <v>626</v>
      </c>
      <c r="E3802" s="1">
        <v>1071.58</v>
      </c>
      <c r="F3802">
        <v>20131108</v>
      </c>
      <c r="G3802" t="s">
        <v>392</v>
      </c>
      <c r="H3802" t="s">
        <v>414</v>
      </c>
      <c r="I3802" t="s">
        <v>21</v>
      </c>
    </row>
    <row r="3803" spans="1:9" x14ac:dyDescent="0.25">
      <c r="A3803">
        <v>20131114</v>
      </c>
      <c r="B3803" t="str">
        <f t="shared" si="261"/>
        <v>112739</v>
      </c>
      <c r="C3803" t="str">
        <f t="shared" si="262"/>
        <v>46500</v>
      </c>
      <c r="D3803" t="s">
        <v>626</v>
      </c>
      <c r="E3803">
        <v>226.3</v>
      </c>
      <c r="F3803">
        <v>20131108</v>
      </c>
      <c r="G3803" t="s">
        <v>1224</v>
      </c>
      <c r="H3803" t="s">
        <v>414</v>
      </c>
      <c r="I3803" t="s">
        <v>21</v>
      </c>
    </row>
    <row r="3804" spans="1:9" x14ac:dyDescent="0.25">
      <c r="A3804">
        <v>20131114</v>
      </c>
      <c r="B3804" t="str">
        <f t="shared" si="261"/>
        <v>112739</v>
      </c>
      <c r="C3804" t="str">
        <f t="shared" si="262"/>
        <v>46500</v>
      </c>
      <c r="D3804" t="s">
        <v>626</v>
      </c>
      <c r="E3804">
        <v>59.9</v>
      </c>
      <c r="F3804">
        <v>20131108</v>
      </c>
      <c r="G3804" t="s">
        <v>417</v>
      </c>
      <c r="H3804" t="s">
        <v>414</v>
      </c>
      <c r="I3804" t="s">
        <v>21</v>
      </c>
    </row>
    <row r="3805" spans="1:9" x14ac:dyDescent="0.25">
      <c r="A3805">
        <v>20131114</v>
      </c>
      <c r="B3805" t="str">
        <f>"112740"</f>
        <v>112740</v>
      </c>
      <c r="C3805" t="str">
        <f>"87473"</f>
        <v>87473</v>
      </c>
      <c r="D3805" t="s">
        <v>160</v>
      </c>
      <c r="E3805">
        <v>135</v>
      </c>
      <c r="F3805">
        <v>20131113</v>
      </c>
      <c r="G3805" t="s">
        <v>793</v>
      </c>
      <c r="H3805" t="s">
        <v>357</v>
      </c>
      <c r="I3805" t="s">
        <v>21</v>
      </c>
    </row>
    <row r="3806" spans="1:9" x14ac:dyDescent="0.25">
      <c r="A3806">
        <v>20131114</v>
      </c>
      <c r="B3806" t="str">
        <f>"112741"</f>
        <v>112741</v>
      </c>
      <c r="C3806" t="str">
        <f>"84239"</f>
        <v>84239</v>
      </c>
      <c r="D3806" t="s">
        <v>632</v>
      </c>
      <c r="E3806">
        <v>443</v>
      </c>
      <c r="F3806">
        <v>20131108</v>
      </c>
      <c r="G3806" t="s">
        <v>633</v>
      </c>
      <c r="H3806" t="s">
        <v>634</v>
      </c>
      <c r="I3806" t="s">
        <v>21</v>
      </c>
    </row>
    <row r="3807" spans="1:9" x14ac:dyDescent="0.25">
      <c r="A3807">
        <v>20131114</v>
      </c>
      <c r="B3807" t="str">
        <f>"112742"</f>
        <v>112742</v>
      </c>
      <c r="C3807" t="str">
        <f>"82365"</f>
        <v>82365</v>
      </c>
      <c r="D3807" t="s">
        <v>1477</v>
      </c>
      <c r="E3807" s="1">
        <v>1270.17</v>
      </c>
      <c r="F3807">
        <v>20131107</v>
      </c>
      <c r="G3807" t="s">
        <v>1478</v>
      </c>
      <c r="H3807" t="s">
        <v>2234</v>
      </c>
      <c r="I3807" t="s">
        <v>21</v>
      </c>
    </row>
    <row r="3808" spans="1:9" x14ac:dyDescent="0.25">
      <c r="A3808">
        <v>20131114</v>
      </c>
      <c r="B3808" t="str">
        <f>"112743"</f>
        <v>112743</v>
      </c>
      <c r="C3808" t="str">
        <f>"85434"</f>
        <v>85434</v>
      </c>
      <c r="D3808" t="s">
        <v>2235</v>
      </c>
      <c r="E3808">
        <v>200</v>
      </c>
      <c r="F3808">
        <v>20131113</v>
      </c>
      <c r="G3808" t="s">
        <v>2236</v>
      </c>
      <c r="H3808" t="s">
        <v>679</v>
      </c>
      <c r="I3808" t="s">
        <v>21</v>
      </c>
    </row>
    <row r="3809" spans="1:9" x14ac:dyDescent="0.25">
      <c r="A3809">
        <v>20131114</v>
      </c>
      <c r="B3809" t="str">
        <f>"112744"</f>
        <v>112744</v>
      </c>
      <c r="C3809" t="str">
        <f>"86559"</f>
        <v>86559</v>
      </c>
      <c r="D3809" t="s">
        <v>2237</v>
      </c>
      <c r="E3809" s="1">
        <v>1560</v>
      </c>
      <c r="F3809">
        <v>20131113</v>
      </c>
      <c r="G3809" t="s">
        <v>404</v>
      </c>
      <c r="H3809" t="s">
        <v>2238</v>
      </c>
      <c r="I3809" t="s">
        <v>12</v>
      </c>
    </row>
    <row r="3810" spans="1:9" x14ac:dyDescent="0.25">
      <c r="A3810">
        <v>20131114</v>
      </c>
      <c r="B3810" t="str">
        <f>"112745"</f>
        <v>112745</v>
      </c>
      <c r="C3810" t="str">
        <f>"87557"</f>
        <v>87557</v>
      </c>
      <c r="D3810" t="s">
        <v>1629</v>
      </c>
      <c r="E3810">
        <v>183.83</v>
      </c>
      <c r="F3810">
        <v>20131113</v>
      </c>
      <c r="G3810" t="s">
        <v>1630</v>
      </c>
      <c r="H3810" t="s">
        <v>563</v>
      </c>
      <c r="I3810" t="s">
        <v>21</v>
      </c>
    </row>
    <row r="3811" spans="1:9" x14ac:dyDescent="0.25">
      <c r="A3811">
        <v>20131114</v>
      </c>
      <c r="B3811" t="str">
        <f>"112746"</f>
        <v>112746</v>
      </c>
      <c r="C3811" t="str">
        <f>"87606"</f>
        <v>87606</v>
      </c>
      <c r="D3811" t="s">
        <v>2239</v>
      </c>
      <c r="E3811">
        <v>96.78</v>
      </c>
      <c r="F3811">
        <v>20131113</v>
      </c>
      <c r="G3811" t="s">
        <v>1846</v>
      </c>
      <c r="H3811" t="s">
        <v>765</v>
      </c>
      <c r="I3811" t="s">
        <v>63</v>
      </c>
    </row>
    <row r="3812" spans="1:9" x14ac:dyDescent="0.25">
      <c r="A3812">
        <v>20131114</v>
      </c>
      <c r="B3812" t="str">
        <f>"112747"</f>
        <v>112747</v>
      </c>
      <c r="C3812" t="str">
        <f>"48820"</f>
        <v>48820</v>
      </c>
      <c r="D3812" t="s">
        <v>1106</v>
      </c>
      <c r="E3812">
        <v>252.72</v>
      </c>
      <c r="F3812">
        <v>20131113</v>
      </c>
      <c r="G3812" t="s">
        <v>209</v>
      </c>
      <c r="H3812" t="s">
        <v>354</v>
      </c>
      <c r="I3812" t="s">
        <v>25</v>
      </c>
    </row>
    <row r="3813" spans="1:9" x14ac:dyDescent="0.25">
      <c r="A3813">
        <v>20131114</v>
      </c>
      <c r="B3813" t="str">
        <f>"112747"</f>
        <v>112747</v>
      </c>
      <c r="C3813" t="str">
        <f>"48820"</f>
        <v>48820</v>
      </c>
      <c r="D3813" t="s">
        <v>1106</v>
      </c>
      <c r="E3813">
        <v>27.09</v>
      </c>
      <c r="F3813">
        <v>20131113</v>
      </c>
      <c r="G3813" t="s">
        <v>209</v>
      </c>
      <c r="H3813" t="s">
        <v>354</v>
      </c>
      <c r="I3813" t="s">
        <v>25</v>
      </c>
    </row>
    <row r="3814" spans="1:9" x14ac:dyDescent="0.25">
      <c r="A3814">
        <v>20131114</v>
      </c>
      <c r="B3814" t="str">
        <f>"112747"</f>
        <v>112747</v>
      </c>
      <c r="C3814" t="str">
        <f>"48820"</f>
        <v>48820</v>
      </c>
      <c r="D3814" t="s">
        <v>1106</v>
      </c>
      <c r="E3814">
        <v>353.96</v>
      </c>
      <c r="F3814">
        <v>20131113</v>
      </c>
      <c r="G3814" t="s">
        <v>209</v>
      </c>
      <c r="H3814" t="s">
        <v>354</v>
      </c>
      <c r="I3814" t="s">
        <v>25</v>
      </c>
    </row>
    <row r="3815" spans="1:9" x14ac:dyDescent="0.25">
      <c r="A3815">
        <v>20131114</v>
      </c>
      <c r="B3815" t="str">
        <f>"112748"</f>
        <v>112748</v>
      </c>
      <c r="C3815" t="str">
        <f>"85760"</f>
        <v>85760</v>
      </c>
      <c r="D3815" t="s">
        <v>1485</v>
      </c>
      <c r="E3815">
        <v>12.72</v>
      </c>
      <c r="F3815">
        <v>20131113</v>
      </c>
      <c r="G3815" t="s">
        <v>448</v>
      </c>
      <c r="H3815" t="s">
        <v>414</v>
      </c>
      <c r="I3815" t="s">
        <v>21</v>
      </c>
    </row>
    <row r="3816" spans="1:9" x14ac:dyDescent="0.25">
      <c r="A3816">
        <v>20131114</v>
      </c>
      <c r="B3816" t="str">
        <f>"112748"</f>
        <v>112748</v>
      </c>
      <c r="C3816" t="str">
        <f>"85760"</f>
        <v>85760</v>
      </c>
      <c r="D3816" t="s">
        <v>1485</v>
      </c>
      <c r="E3816">
        <v>160.5</v>
      </c>
      <c r="F3816">
        <v>20131107</v>
      </c>
      <c r="G3816" t="s">
        <v>415</v>
      </c>
      <c r="H3816" t="s">
        <v>414</v>
      </c>
      <c r="I3816" t="s">
        <v>21</v>
      </c>
    </row>
    <row r="3817" spans="1:9" x14ac:dyDescent="0.25">
      <c r="A3817">
        <v>20131114</v>
      </c>
      <c r="B3817" t="str">
        <f>"112748"</f>
        <v>112748</v>
      </c>
      <c r="C3817" t="str">
        <f>"85760"</f>
        <v>85760</v>
      </c>
      <c r="D3817" t="s">
        <v>1485</v>
      </c>
      <c r="E3817">
        <v>169.2</v>
      </c>
      <c r="F3817">
        <v>20131107</v>
      </c>
      <c r="G3817" t="s">
        <v>1486</v>
      </c>
      <c r="H3817" t="s">
        <v>414</v>
      </c>
      <c r="I3817" t="s">
        <v>38</v>
      </c>
    </row>
    <row r="3818" spans="1:9" x14ac:dyDescent="0.25">
      <c r="A3818">
        <v>20131114</v>
      </c>
      <c r="B3818" t="str">
        <f>"112748"</f>
        <v>112748</v>
      </c>
      <c r="C3818" t="str">
        <f>"85760"</f>
        <v>85760</v>
      </c>
      <c r="D3818" t="s">
        <v>1485</v>
      </c>
      <c r="E3818">
        <v>42.74</v>
      </c>
      <c r="F3818">
        <v>20131108</v>
      </c>
      <c r="G3818" t="s">
        <v>1486</v>
      </c>
      <c r="H3818" t="s">
        <v>414</v>
      </c>
      <c r="I3818" t="s">
        <v>38</v>
      </c>
    </row>
    <row r="3819" spans="1:9" x14ac:dyDescent="0.25">
      <c r="A3819">
        <v>20131114</v>
      </c>
      <c r="B3819" t="str">
        <f t="shared" ref="B3819:B3824" si="263">"112749"</f>
        <v>112749</v>
      </c>
      <c r="C3819" t="str">
        <f t="shared" ref="C3819:C3824" si="264">"49845"</f>
        <v>49845</v>
      </c>
      <c r="D3819" t="s">
        <v>644</v>
      </c>
      <c r="E3819">
        <v>40</v>
      </c>
      <c r="F3819">
        <v>20131107</v>
      </c>
      <c r="G3819" t="s">
        <v>479</v>
      </c>
      <c r="H3819" t="s">
        <v>414</v>
      </c>
      <c r="I3819" t="s">
        <v>21</v>
      </c>
    </row>
    <row r="3820" spans="1:9" x14ac:dyDescent="0.25">
      <c r="A3820">
        <v>20131114</v>
      </c>
      <c r="B3820" t="str">
        <f t="shared" si="263"/>
        <v>112749</v>
      </c>
      <c r="C3820" t="str">
        <f t="shared" si="264"/>
        <v>49845</v>
      </c>
      <c r="D3820" t="s">
        <v>644</v>
      </c>
      <c r="E3820">
        <v>20</v>
      </c>
      <c r="F3820">
        <v>20131107</v>
      </c>
      <c r="G3820" t="s">
        <v>481</v>
      </c>
      <c r="H3820" t="s">
        <v>414</v>
      </c>
      <c r="I3820" t="s">
        <v>21</v>
      </c>
    </row>
    <row r="3821" spans="1:9" x14ac:dyDescent="0.25">
      <c r="A3821">
        <v>20131114</v>
      </c>
      <c r="B3821" t="str">
        <f t="shared" si="263"/>
        <v>112749</v>
      </c>
      <c r="C3821" t="str">
        <f t="shared" si="264"/>
        <v>49845</v>
      </c>
      <c r="D3821" t="s">
        <v>644</v>
      </c>
      <c r="E3821">
        <v>40</v>
      </c>
      <c r="F3821">
        <v>20131107</v>
      </c>
      <c r="G3821" t="s">
        <v>482</v>
      </c>
      <c r="H3821" t="s">
        <v>414</v>
      </c>
      <c r="I3821" t="s">
        <v>21</v>
      </c>
    </row>
    <row r="3822" spans="1:9" x14ac:dyDescent="0.25">
      <c r="A3822">
        <v>20131114</v>
      </c>
      <c r="B3822" t="str">
        <f t="shared" si="263"/>
        <v>112749</v>
      </c>
      <c r="C3822" t="str">
        <f t="shared" si="264"/>
        <v>49845</v>
      </c>
      <c r="D3822" t="s">
        <v>644</v>
      </c>
      <c r="E3822">
        <v>40</v>
      </c>
      <c r="F3822">
        <v>20131113</v>
      </c>
      <c r="G3822" t="s">
        <v>482</v>
      </c>
      <c r="H3822" t="s">
        <v>414</v>
      </c>
      <c r="I3822" t="s">
        <v>21</v>
      </c>
    </row>
    <row r="3823" spans="1:9" x14ac:dyDescent="0.25">
      <c r="A3823">
        <v>20131114</v>
      </c>
      <c r="B3823" t="str">
        <f t="shared" si="263"/>
        <v>112749</v>
      </c>
      <c r="C3823" t="str">
        <f t="shared" si="264"/>
        <v>49845</v>
      </c>
      <c r="D3823" t="s">
        <v>644</v>
      </c>
      <c r="E3823">
        <v>10</v>
      </c>
      <c r="F3823">
        <v>20131107</v>
      </c>
      <c r="G3823" t="s">
        <v>483</v>
      </c>
      <c r="H3823" t="s">
        <v>414</v>
      </c>
      <c r="I3823" t="s">
        <v>21</v>
      </c>
    </row>
    <row r="3824" spans="1:9" x14ac:dyDescent="0.25">
      <c r="A3824">
        <v>20131114</v>
      </c>
      <c r="B3824" t="str">
        <f t="shared" si="263"/>
        <v>112749</v>
      </c>
      <c r="C3824" t="str">
        <f t="shared" si="264"/>
        <v>49845</v>
      </c>
      <c r="D3824" t="s">
        <v>644</v>
      </c>
      <c r="E3824">
        <v>15</v>
      </c>
      <c r="F3824">
        <v>20131107</v>
      </c>
      <c r="G3824" t="s">
        <v>484</v>
      </c>
      <c r="H3824" t="s">
        <v>414</v>
      </c>
      <c r="I3824" t="s">
        <v>21</v>
      </c>
    </row>
    <row r="3825" spans="1:9" x14ac:dyDescent="0.25">
      <c r="A3825">
        <v>20131114</v>
      </c>
      <c r="B3825" t="str">
        <f>"112750"</f>
        <v>112750</v>
      </c>
      <c r="C3825" t="str">
        <f>"50950"</f>
        <v>50950</v>
      </c>
      <c r="D3825" t="s">
        <v>2240</v>
      </c>
      <c r="E3825" s="1">
        <v>1650.3</v>
      </c>
      <c r="F3825">
        <v>20131108</v>
      </c>
      <c r="G3825" t="s">
        <v>415</v>
      </c>
      <c r="H3825" t="s">
        <v>2241</v>
      </c>
      <c r="I3825" t="s">
        <v>21</v>
      </c>
    </row>
    <row r="3826" spans="1:9" x14ac:dyDescent="0.25">
      <c r="A3826">
        <v>20131114</v>
      </c>
      <c r="B3826" t="str">
        <f>"112751"</f>
        <v>112751</v>
      </c>
      <c r="C3826" t="str">
        <f>"85819"</f>
        <v>85819</v>
      </c>
      <c r="D3826" t="s">
        <v>2242</v>
      </c>
      <c r="E3826">
        <v>87.66</v>
      </c>
      <c r="F3826">
        <v>20131113</v>
      </c>
      <c r="G3826" t="s">
        <v>1722</v>
      </c>
      <c r="H3826" t="s">
        <v>365</v>
      </c>
      <c r="I3826" t="s">
        <v>66</v>
      </c>
    </row>
    <row r="3827" spans="1:9" x14ac:dyDescent="0.25">
      <c r="A3827">
        <v>20131114</v>
      </c>
      <c r="B3827" t="str">
        <f>"112752"</f>
        <v>112752</v>
      </c>
      <c r="C3827" t="str">
        <f>"86137"</f>
        <v>86137</v>
      </c>
      <c r="D3827" t="s">
        <v>916</v>
      </c>
      <c r="E3827">
        <v>103.3</v>
      </c>
      <c r="F3827">
        <v>20131107</v>
      </c>
      <c r="G3827" t="s">
        <v>774</v>
      </c>
      <c r="H3827" t="s">
        <v>765</v>
      </c>
      <c r="I3827" t="s">
        <v>61</v>
      </c>
    </row>
    <row r="3828" spans="1:9" x14ac:dyDescent="0.25">
      <c r="A3828">
        <v>20131114</v>
      </c>
      <c r="B3828" t="str">
        <f>"112752"</f>
        <v>112752</v>
      </c>
      <c r="C3828" t="str">
        <f>"86137"</f>
        <v>86137</v>
      </c>
      <c r="D3828" t="s">
        <v>916</v>
      </c>
      <c r="E3828">
        <v>92.38</v>
      </c>
      <c r="F3828">
        <v>20131107</v>
      </c>
      <c r="G3828" t="s">
        <v>1003</v>
      </c>
      <c r="H3828" t="s">
        <v>765</v>
      </c>
      <c r="I3828" t="s">
        <v>61</v>
      </c>
    </row>
    <row r="3829" spans="1:9" x14ac:dyDescent="0.25">
      <c r="A3829">
        <v>20131114</v>
      </c>
      <c r="B3829" t="str">
        <f>"112753"</f>
        <v>112753</v>
      </c>
      <c r="C3829" t="str">
        <f>"87231"</f>
        <v>87231</v>
      </c>
      <c r="D3829" t="s">
        <v>428</v>
      </c>
      <c r="E3829">
        <v>33.299999999999997</v>
      </c>
      <c r="F3829">
        <v>20131113</v>
      </c>
      <c r="G3829" t="s">
        <v>410</v>
      </c>
      <c r="H3829" t="s">
        <v>411</v>
      </c>
      <c r="I3829" t="s">
        <v>12</v>
      </c>
    </row>
    <row r="3830" spans="1:9" x14ac:dyDescent="0.25">
      <c r="A3830">
        <v>20131114</v>
      </c>
      <c r="B3830" t="str">
        <f>"112754"</f>
        <v>112754</v>
      </c>
      <c r="C3830" t="str">
        <f>"82344"</f>
        <v>82344</v>
      </c>
      <c r="D3830" t="s">
        <v>2243</v>
      </c>
      <c r="E3830" s="1">
        <v>1131</v>
      </c>
      <c r="F3830">
        <v>20131113</v>
      </c>
      <c r="G3830" t="s">
        <v>1850</v>
      </c>
      <c r="H3830" t="s">
        <v>2244</v>
      </c>
      <c r="I3830" t="s">
        <v>21</v>
      </c>
    </row>
    <row r="3831" spans="1:9" x14ac:dyDescent="0.25">
      <c r="A3831">
        <v>20131114</v>
      </c>
      <c r="B3831" t="str">
        <f>"112755"</f>
        <v>112755</v>
      </c>
      <c r="C3831" t="str">
        <f>"82978"</f>
        <v>82978</v>
      </c>
      <c r="D3831" t="s">
        <v>2245</v>
      </c>
      <c r="E3831">
        <v>117.9</v>
      </c>
      <c r="F3831">
        <v>20131113</v>
      </c>
      <c r="G3831" t="s">
        <v>580</v>
      </c>
      <c r="H3831" t="s">
        <v>2246</v>
      </c>
      <c r="I3831" t="s">
        <v>21</v>
      </c>
    </row>
    <row r="3832" spans="1:9" x14ac:dyDescent="0.25">
      <c r="A3832">
        <v>20131114</v>
      </c>
      <c r="B3832" t="str">
        <f>"112756"</f>
        <v>112756</v>
      </c>
      <c r="C3832" t="str">
        <f>"55570"</f>
        <v>55570</v>
      </c>
      <c r="D3832" t="s">
        <v>929</v>
      </c>
      <c r="E3832" s="1">
        <v>1341.73</v>
      </c>
      <c r="F3832">
        <v>20131113</v>
      </c>
      <c r="G3832" t="s">
        <v>1064</v>
      </c>
      <c r="H3832" t="s">
        <v>2247</v>
      </c>
      <c r="I3832" t="s">
        <v>21</v>
      </c>
    </row>
    <row r="3833" spans="1:9" x14ac:dyDescent="0.25">
      <c r="A3833">
        <v>20131114</v>
      </c>
      <c r="B3833" t="str">
        <f>"112757"</f>
        <v>112757</v>
      </c>
      <c r="C3833" t="str">
        <f>"55675"</f>
        <v>55675</v>
      </c>
      <c r="D3833" t="s">
        <v>1114</v>
      </c>
      <c r="E3833">
        <v>69.98</v>
      </c>
      <c r="F3833">
        <v>20131113</v>
      </c>
      <c r="G3833" t="s">
        <v>506</v>
      </c>
      <c r="H3833" t="s">
        <v>1788</v>
      </c>
      <c r="I3833" t="s">
        <v>21</v>
      </c>
    </row>
    <row r="3834" spans="1:9" x14ac:dyDescent="0.25">
      <c r="A3834">
        <v>20131114</v>
      </c>
      <c r="B3834" t="str">
        <f>"112758"</f>
        <v>112758</v>
      </c>
      <c r="C3834" t="str">
        <f>"86492"</f>
        <v>86492</v>
      </c>
      <c r="D3834" t="s">
        <v>2248</v>
      </c>
      <c r="E3834">
        <v>312.05</v>
      </c>
      <c r="F3834">
        <v>20131113</v>
      </c>
      <c r="G3834" t="s">
        <v>2210</v>
      </c>
      <c r="H3834" t="s">
        <v>365</v>
      </c>
      <c r="I3834" t="s">
        <v>75</v>
      </c>
    </row>
    <row r="3835" spans="1:9" x14ac:dyDescent="0.25">
      <c r="A3835">
        <v>20131114</v>
      </c>
      <c r="B3835" t="str">
        <f>"112759"</f>
        <v>112759</v>
      </c>
      <c r="C3835" t="str">
        <f>"55795"</f>
        <v>55795</v>
      </c>
      <c r="D3835" t="s">
        <v>931</v>
      </c>
      <c r="E3835">
        <v>850.55</v>
      </c>
      <c r="F3835">
        <v>20131113</v>
      </c>
      <c r="G3835" t="s">
        <v>2211</v>
      </c>
      <c r="H3835" t="s">
        <v>563</v>
      </c>
      <c r="I3835" t="s">
        <v>2212</v>
      </c>
    </row>
    <row r="3836" spans="1:9" x14ac:dyDescent="0.25">
      <c r="A3836">
        <v>20131114</v>
      </c>
      <c r="B3836" t="str">
        <f>"112760"</f>
        <v>112760</v>
      </c>
      <c r="C3836" t="str">
        <f>"57041"</f>
        <v>57041</v>
      </c>
      <c r="D3836" t="s">
        <v>1496</v>
      </c>
      <c r="E3836">
        <v>567</v>
      </c>
      <c r="F3836">
        <v>20131107</v>
      </c>
      <c r="G3836" t="s">
        <v>392</v>
      </c>
      <c r="H3836" t="s">
        <v>414</v>
      </c>
      <c r="I3836" t="s">
        <v>21</v>
      </c>
    </row>
    <row r="3837" spans="1:9" x14ac:dyDescent="0.25">
      <c r="A3837">
        <v>20131114</v>
      </c>
      <c r="B3837" t="str">
        <f>"112761"</f>
        <v>112761</v>
      </c>
      <c r="C3837" t="str">
        <f>"81360"</f>
        <v>81360</v>
      </c>
      <c r="D3837" t="s">
        <v>2249</v>
      </c>
      <c r="E3837">
        <v>508.48</v>
      </c>
      <c r="F3837">
        <v>20131113</v>
      </c>
      <c r="G3837" t="s">
        <v>1969</v>
      </c>
      <c r="H3837" t="s">
        <v>2126</v>
      </c>
      <c r="I3837" t="s">
        <v>21</v>
      </c>
    </row>
    <row r="3838" spans="1:9" x14ac:dyDescent="0.25">
      <c r="A3838">
        <v>20131114</v>
      </c>
      <c r="B3838" t="str">
        <f>"112762"</f>
        <v>112762</v>
      </c>
      <c r="C3838" t="str">
        <f>"84669"</f>
        <v>84669</v>
      </c>
      <c r="D3838" t="s">
        <v>2250</v>
      </c>
      <c r="E3838">
        <v>467.85</v>
      </c>
      <c r="F3838">
        <v>20131113</v>
      </c>
      <c r="G3838" t="s">
        <v>1067</v>
      </c>
      <c r="H3838" t="s">
        <v>2251</v>
      </c>
      <c r="I3838" t="s">
        <v>21</v>
      </c>
    </row>
    <row r="3839" spans="1:9" x14ac:dyDescent="0.25">
      <c r="A3839">
        <v>20131114</v>
      </c>
      <c r="B3839" t="str">
        <f>"112763"</f>
        <v>112763</v>
      </c>
      <c r="C3839" t="str">
        <f>"85792"</f>
        <v>85792</v>
      </c>
      <c r="D3839" t="s">
        <v>2252</v>
      </c>
      <c r="E3839">
        <v>54.27</v>
      </c>
      <c r="F3839">
        <v>20131107</v>
      </c>
      <c r="G3839" t="s">
        <v>1724</v>
      </c>
      <c r="H3839" t="s">
        <v>365</v>
      </c>
      <c r="I3839" t="s">
        <v>66</v>
      </c>
    </row>
    <row r="3840" spans="1:9" x14ac:dyDescent="0.25">
      <c r="A3840">
        <v>20131114</v>
      </c>
      <c r="B3840" t="str">
        <f>"112764"</f>
        <v>112764</v>
      </c>
      <c r="C3840" t="str">
        <f>"86932"</f>
        <v>86932</v>
      </c>
      <c r="D3840" t="s">
        <v>2253</v>
      </c>
      <c r="E3840">
        <v>55.32</v>
      </c>
      <c r="F3840">
        <v>20131112</v>
      </c>
      <c r="G3840" t="s">
        <v>442</v>
      </c>
      <c r="H3840" t="s">
        <v>365</v>
      </c>
      <c r="I3840" t="s">
        <v>66</v>
      </c>
    </row>
    <row r="3841" spans="1:9" x14ac:dyDescent="0.25">
      <c r="A3841">
        <v>20131114</v>
      </c>
      <c r="B3841" t="str">
        <f>"112765"</f>
        <v>112765</v>
      </c>
      <c r="C3841" t="str">
        <f>"58385"</f>
        <v>58385</v>
      </c>
      <c r="D3841" t="s">
        <v>1643</v>
      </c>
      <c r="E3841">
        <v>141.34</v>
      </c>
      <c r="F3841">
        <v>20131108</v>
      </c>
      <c r="G3841" t="s">
        <v>2254</v>
      </c>
      <c r="H3841" t="s">
        <v>2255</v>
      </c>
      <c r="I3841" t="s">
        <v>21</v>
      </c>
    </row>
    <row r="3842" spans="1:9" x14ac:dyDescent="0.25">
      <c r="A3842">
        <v>20131114</v>
      </c>
      <c r="B3842" t="str">
        <f>"112765"</f>
        <v>112765</v>
      </c>
      <c r="C3842" t="str">
        <f>"58385"</f>
        <v>58385</v>
      </c>
      <c r="D3842" t="s">
        <v>1643</v>
      </c>
      <c r="E3842">
        <v>83.93</v>
      </c>
      <c r="F3842">
        <v>20131108</v>
      </c>
      <c r="G3842" t="s">
        <v>1644</v>
      </c>
      <c r="H3842" t="s">
        <v>2256</v>
      </c>
      <c r="I3842" t="s">
        <v>38</v>
      </c>
    </row>
    <row r="3843" spans="1:9" x14ac:dyDescent="0.25">
      <c r="A3843">
        <v>20131114</v>
      </c>
      <c r="B3843" t="str">
        <f>"112765"</f>
        <v>112765</v>
      </c>
      <c r="C3843" t="str">
        <f>"58385"</f>
        <v>58385</v>
      </c>
      <c r="D3843" t="s">
        <v>1643</v>
      </c>
      <c r="E3843">
        <v>-65.98</v>
      </c>
      <c r="F3843">
        <v>20131108</v>
      </c>
      <c r="G3843" t="s">
        <v>1644</v>
      </c>
      <c r="H3843" t="s">
        <v>2257</v>
      </c>
      <c r="I3843" t="s">
        <v>38</v>
      </c>
    </row>
    <row r="3844" spans="1:9" x14ac:dyDescent="0.25">
      <c r="A3844">
        <v>20131114</v>
      </c>
      <c r="B3844" t="str">
        <f>"112766"</f>
        <v>112766</v>
      </c>
      <c r="C3844" t="str">
        <f>"86486"</f>
        <v>86486</v>
      </c>
      <c r="D3844" t="s">
        <v>429</v>
      </c>
      <c r="E3844">
        <v>50.4</v>
      </c>
      <c r="F3844">
        <v>20131113</v>
      </c>
      <c r="G3844" t="s">
        <v>410</v>
      </c>
      <c r="H3844" t="s">
        <v>411</v>
      </c>
      <c r="I3844" t="s">
        <v>12</v>
      </c>
    </row>
    <row r="3845" spans="1:9" x14ac:dyDescent="0.25">
      <c r="A3845">
        <v>20131114</v>
      </c>
      <c r="B3845" t="str">
        <f>"112767"</f>
        <v>112767</v>
      </c>
      <c r="C3845" t="str">
        <f>"58570"</f>
        <v>58570</v>
      </c>
      <c r="D3845" t="s">
        <v>655</v>
      </c>
      <c r="E3845">
        <v>175</v>
      </c>
      <c r="F3845">
        <v>20131108</v>
      </c>
      <c r="G3845" t="s">
        <v>340</v>
      </c>
      <c r="H3845" t="s">
        <v>656</v>
      </c>
      <c r="I3845" t="s">
        <v>21</v>
      </c>
    </row>
    <row r="3846" spans="1:9" x14ac:dyDescent="0.25">
      <c r="A3846">
        <v>20131114</v>
      </c>
      <c r="B3846" t="str">
        <f>"112767"</f>
        <v>112767</v>
      </c>
      <c r="C3846" t="str">
        <f>"58570"</f>
        <v>58570</v>
      </c>
      <c r="D3846" t="s">
        <v>655</v>
      </c>
      <c r="E3846">
        <v>155</v>
      </c>
      <c r="F3846">
        <v>20131108</v>
      </c>
      <c r="G3846" t="s">
        <v>340</v>
      </c>
      <c r="H3846" t="s">
        <v>656</v>
      </c>
      <c r="I3846" t="s">
        <v>21</v>
      </c>
    </row>
    <row r="3847" spans="1:9" x14ac:dyDescent="0.25">
      <c r="A3847">
        <v>20131114</v>
      </c>
      <c r="B3847" t="str">
        <f>"112768"</f>
        <v>112768</v>
      </c>
      <c r="C3847" t="str">
        <f>"86964"</f>
        <v>86964</v>
      </c>
      <c r="D3847" t="s">
        <v>1280</v>
      </c>
      <c r="E3847">
        <v>770.96</v>
      </c>
      <c r="F3847">
        <v>20131113</v>
      </c>
      <c r="G3847" t="s">
        <v>1281</v>
      </c>
      <c r="H3847" t="s">
        <v>2258</v>
      </c>
      <c r="I3847" t="s">
        <v>21</v>
      </c>
    </row>
    <row r="3848" spans="1:9" x14ac:dyDescent="0.25">
      <c r="A3848">
        <v>20131114</v>
      </c>
      <c r="B3848" t="str">
        <f>"112768"</f>
        <v>112768</v>
      </c>
      <c r="C3848" t="str">
        <f>"86964"</f>
        <v>86964</v>
      </c>
      <c r="D3848" t="s">
        <v>1280</v>
      </c>
      <c r="E3848" s="1">
        <v>1256.25</v>
      </c>
      <c r="F3848">
        <v>20131108</v>
      </c>
      <c r="G3848" t="s">
        <v>2147</v>
      </c>
      <c r="H3848" t="s">
        <v>2259</v>
      </c>
      <c r="I3848" t="s">
        <v>21</v>
      </c>
    </row>
    <row r="3849" spans="1:9" x14ac:dyDescent="0.25">
      <c r="A3849">
        <v>20131114</v>
      </c>
      <c r="B3849" t="str">
        <f>"112768"</f>
        <v>112768</v>
      </c>
      <c r="C3849" t="str">
        <f>"86964"</f>
        <v>86964</v>
      </c>
      <c r="D3849" t="s">
        <v>1280</v>
      </c>
      <c r="E3849" s="1">
        <v>6067.68</v>
      </c>
      <c r="F3849">
        <v>20131108</v>
      </c>
      <c r="G3849" t="s">
        <v>2147</v>
      </c>
      <c r="H3849" t="s">
        <v>2260</v>
      </c>
      <c r="I3849" t="s">
        <v>21</v>
      </c>
    </row>
    <row r="3850" spans="1:9" x14ac:dyDescent="0.25">
      <c r="A3850">
        <v>20131114</v>
      </c>
      <c r="B3850" t="str">
        <f>"112768"</f>
        <v>112768</v>
      </c>
      <c r="C3850" t="str">
        <f>"86964"</f>
        <v>86964</v>
      </c>
      <c r="D3850" t="s">
        <v>1280</v>
      </c>
      <c r="E3850" s="1">
        <v>7104</v>
      </c>
      <c r="F3850">
        <v>20131108</v>
      </c>
      <c r="G3850" t="s">
        <v>2147</v>
      </c>
      <c r="H3850" t="s">
        <v>2261</v>
      </c>
      <c r="I3850" t="s">
        <v>21</v>
      </c>
    </row>
    <row r="3851" spans="1:9" x14ac:dyDescent="0.25">
      <c r="A3851">
        <v>20131114</v>
      </c>
      <c r="B3851" t="str">
        <f>"112769"</f>
        <v>112769</v>
      </c>
      <c r="C3851" t="str">
        <f>"86134"</f>
        <v>86134</v>
      </c>
      <c r="D3851" t="s">
        <v>2262</v>
      </c>
      <c r="E3851">
        <v>37</v>
      </c>
      <c r="F3851">
        <v>20131113</v>
      </c>
      <c r="G3851" t="s">
        <v>840</v>
      </c>
      <c r="H3851" t="s">
        <v>2263</v>
      </c>
      <c r="I3851" t="s">
        <v>21</v>
      </c>
    </row>
    <row r="3852" spans="1:9" x14ac:dyDescent="0.25">
      <c r="A3852">
        <v>20131114</v>
      </c>
      <c r="B3852" t="str">
        <f>"112770"</f>
        <v>112770</v>
      </c>
      <c r="C3852" t="str">
        <f>"59190"</f>
        <v>59190</v>
      </c>
      <c r="D3852" t="s">
        <v>1499</v>
      </c>
      <c r="E3852">
        <v>91.28</v>
      </c>
      <c r="F3852">
        <v>20131107</v>
      </c>
      <c r="G3852" t="s">
        <v>498</v>
      </c>
      <c r="H3852" t="s">
        <v>499</v>
      </c>
      <c r="I3852" t="s">
        <v>21</v>
      </c>
    </row>
    <row r="3853" spans="1:9" x14ac:dyDescent="0.25">
      <c r="A3853">
        <v>20131114</v>
      </c>
      <c r="B3853" t="str">
        <f>"112770"</f>
        <v>112770</v>
      </c>
      <c r="C3853" t="str">
        <f>"59190"</f>
        <v>59190</v>
      </c>
      <c r="D3853" t="s">
        <v>1499</v>
      </c>
      <c r="E3853">
        <v>174.87</v>
      </c>
      <c r="F3853">
        <v>20131107</v>
      </c>
      <c r="G3853" t="s">
        <v>498</v>
      </c>
      <c r="H3853" t="s">
        <v>499</v>
      </c>
      <c r="I3853" t="s">
        <v>21</v>
      </c>
    </row>
    <row r="3854" spans="1:9" x14ac:dyDescent="0.25">
      <c r="A3854">
        <v>20131114</v>
      </c>
      <c r="B3854" t="str">
        <f>"112771"</f>
        <v>112771</v>
      </c>
      <c r="C3854" t="str">
        <f>"87330"</f>
        <v>87330</v>
      </c>
      <c r="D3854" t="s">
        <v>671</v>
      </c>
      <c r="E3854" s="1">
        <v>1225</v>
      </c>
      <c r="F3854">
        <v>20131112</v>
      </c>
      <c r="G3854" t="s">
        <v>672</v>
      </c>
      <c r="H3854" t="s">
        <v>2264</v>
      </c>
      <c r="I3854" t="s">
        <v>21</v>
      </c>
    </row>
    <row r="3855" spans="1:9" x14ac:dyDescent="0.25">
      <c r="A3855">
        <v>20131114</v>
      </c>
      <c r="B3855" t="str">
        <f>"112772"</f>
        <v>112772</v>
      </c>
      <c r="C3855" t="str">
        <f>"59725"</f>
        <v>59725</v>
      </c>
      <c r="D3855" t="s">
        <v>674</v>
      </c>
      <c r="E3855">
        <v>9.99</v>
      </c>
      <c r="F3855">
        <v>20131108</v>
      </c>
      <c r="G3855" t="s">
        <v>392</v>
      </c>
      <c r="H3855" t="s">
        <v>414</v>
      </c>
      <c r="I3855" t="s">
        <v>21</v>
      </c>
    </row>
    <row r="3856" spans="1:9" x14ac:dyDescent="0.25">
      <c r="A3856">
        <v>20131114</v>
      </c>
      <c r="B3856" t="str">
        <f>"112773"</f>
        <v>112773</v>
      </c>
      <c r="C3856" t="str">
        <f>"81139"</f>
        <v>81139</v>
      </c>
      <c r="D3856" t="s">
        <v>1501</v>
      </c>
      <c r="E3856">
        <v>42.75</v>
      </c>
      <c r="F3856">
        <v>20131113</v>
      </c>
      <c r="G3856" t="s">
        <v>410</v>
      </c>
      <c r="H3856" t="s">
        <v>411</v>
      </c>
      <c r="I3856" t="s">
        <v>12</v>
      </c>
    </row>
    <row r="3857" spans="1:9" x14ac:dyDescent="0.25">
      <c r="A3857">
        <v>20131114</v>
      </c>
      <c r="B3857" t="str">
        <f>"112774"</f>
        <v>112774</v>
      </c>
      <c r="C3857" t="str">
        <f>"00298"</f>
        <v>00298</v>
      </c>
      <c r="D3857" t="s">
        <v>2265</v>
      </c>
      <c r="E3857">
        <v>951.06</v>
      </c>
      <c r="F3857">
        <v>20131113</v>
      </c>
      <c r="G3857" t="s">
        <v>1773</v>
      </c>
      <c r="H3857" t="s">
        <v>2266</v>
      </c>
      <c r="I3857" t="s">
        <v>21</v>
      </c>
    </row>
    <row r="3858" spans="1:9" x14ac:dyDescent="0.25">
      <c r="A3858">
        <v>20131114</v>
      </c>
      <c r="B3858" t="str">
        <f>"112775"</f>
        <v>112775</v>
      </c>
      <c r="C3858" t="str">
        <f>"86795"</f>
        <v>86795</v>
      </c>
      <c r="D3858" t="s">
        <v>430</v>
      </c>
      <c r="E3858">
        <v>21.6</v>
      </c>
      <c r="F3858">
        <v>20131113</v>
      </c>
      <c r="G3858" t="s">
        <v>410</v>
      </c>
      <c r="H3858" t="s">
        <v>411</v>
      </c>
      <c r="I3858" t="s">
        <v>12</v>
      </c>
    </row>
    <row r="3859" spans="1:9" x14ac:dyDescent="0.25">
      <c r="A3859">
        <v>20131114</v>
      </c>
      <c r="B3859" t="str">
        <f>"112776"</f>
        <v>112776</v>
      </c>
      <c r="C3859" t="str">
        <f>"81901"</f>
        <v>81901</v>
      </c>
      <c r="D3859" t="s">
        <v>2267</v>
      </c>
      <c r="E3859">
        <v>190.09</v>
      </c>
      <c r="F3859">
        <v>20131112</v>
      </c>
      <c r="G3859" t="s">
        <v>1170</v>
      </c>
      <c r="H3859" t="s">
        <v>365</v>
      </c>
      <c r="I3859" t="s">
        <v>21</v>
      </c>
    </row>
    <row r="3860" spans="1:9" x14ac:dyDescent="0.25">
      <c r="A3860">
        <v>20131114</v>
      </c>
      <c r="B3860" t="str">
        <f>"112777"</f>
        <v>112777</v>
      </c>
      <c r="C3860" t="str">
        <f>"59695"</f>
        <v>59695</v>
      </c>
      <c r="D3860" t="s">
        <v>371</v>
      </c>
      <c r="E3860">
        <v>810</v>
      </c>
      <c r="F3860">
        <v>20131107</v>
      </c>
      <c r="G3860" t="s">
        <v>372</v>
      </c>
      <c r="H3860" t="s">
        <v>373</v>
      </c>
      <c r="I3860" t="s">
        <v>21</v>
      </c>
    </row>
    <row r="3861" spans="1:9" x14ac:dyDescent="0.25">
      <c r="A3861">
        <v>20131114</v>
      </c>
      <c r="B3861" t="str">
        <f>"112777"</f>
        <v>112777</v>
      </c>
      <c r="C3861" t="str">
        <f>"59695"</f>
        <v>59695</v>
      </c>
      <c r="D3861" t="s">
        <v>371</v>
      </c>
      <c r="E3861">
        <v>405</v>
      </c>
      <c r="F3861">
        <v>20131107</v>
      </c>
      <c r="G3861" t="s">
        <v>374</v>
      </c>
      <c r="H3861" t="s">
        <v>373</v>
      </c>
      <c r="I3861" t="s">
        <v>21</v>
      </c>
    </row>
    <row r="3862" spans="1:9" x14ac:dyDescent="0.25">
      <c r="A3862">
        <v>20131114</v>
      </c>
      <c r="B3862" t="str">
        <f>"112777"</f>
        <v>112777</v>
      </c>
      <c r="C3862" t="str">
        <f>"59695"</f>
        <v>59695</v>
      </c>
      <c r="D3862" t="s">
        <v>371</v>
      </c>
      <c r="E3862">
        <v>100</v>
      </c>
      <c r="F3862">
        <v>20131107</v>
      </c>
      <c r="G3862" t="s">
        <v>375</v>
      </c>
      <c r="H3862" t="s">
        <v>373</v>
      </c>
      <c r="I3862" t="s">
        <v>21</v>
      </c>
    </row>
    <row r="3863" spans="1:9" x14ac:dyDescent="0.25">
      <c r="A3863">
        <v>20131114</v>
      </c>
      <c r="B3863" t="str">
        <f>"112777"</f>
        <v>112777</v>
      </c>
      <c r="C3863" t="str">
        <f>"59695"</f>
        <v>59695</v>
      </c>
      <c r="D3863" t="s">
        <v>371</v>
      </c>
      <c r="E3863">
        <v>620</v>
      </c>
      <c r="F3863">
        <v>20131107</v>
      </c>
      <c r="G3863" t="s">
        <v>376</v>
      </c>
      <c r="H3863" t="s">
        <v>373</v>
      </c>
      <c r="I3863" t="s">
        <v>21</v>
      </c>
    </row>
    <row r="3864" spans="1:9" x14ac:dyDescent="0.25">
      <c r="A3864">
        <v>20131114</v>
      </c>
      <c r="B3864" t="str">
        <f>"112778"</f>
        <v>112778</v>
      </c>
      <c r="C3864" t="str">
        <f>"87483"</f>
        <v>87483</v>
      </c>
      <c r="D3864" t="s">
        <v>1286</v>
      </c>
      <c r="E3864" s="1">
        <v>2019</v>
      </c>
      <c r="F3864">
        <v>20131108</v>
      </c>
      <c r="G3864" t="s">
        <v>840</v>
      </c>
      <c r="H3864" t="s">
        <v>2268</v>
      </c>
      <c r="I3864" t="s">
        <v>21</v>
      </c>
    </row>
    <row r="3865" spans="1:9" x14ac:dyDescent="0.25">
      <c r="A3865">
        <v>20131114</v>
      </c>
      <c r="B3865" t="str">
        <f>"112779"</f>
        <v>112779</v>
      </c>
      <c r="C3865" t="str">
        <f>"87337"</f>
        <v>87337</v>
      </c>
      <c r="D3865" t="s">
        <v>2269</v>
      </c>
      <c r="E3865" s="1">
        <v>1275</v>
      </c>
      <c r="F3865">
        <v>20131107</v>
      </c>
      <c r="G3865" t="s">
        <v>340</v>
      </c>
      <c r="H3865" t="s">
        <v>656</v>
      </c>
      <c r="I3865" t="s">
        <v>21</v>
      </c>
    </row>
    <row r="3866" spans="1:9" x14ac:dyDescent="0.25">
      <c r="A3866">
        <v>20131114</v>
      </c>
      <c r="B3866" t="str">
        <f>"112780"</f>
        <v>112780</v>
      </c>
      <c r="C3866" t="str">
        <f>"84214"</f>
        <v>84214</v>
      </c>
      <c r="D3866" t="s">
        <v>431</v>
      </c>
      <c r="E3866">
        <v>40.049999999999997</v>
      </c>
      <c r="F3866">
        <v>20131113</v>
      </c>
      <c r="G3866" t="s">
        <v>410</v>
      </c>
      <c r="H3866" t="s">
        <v>411</v>
      </c>
      <c r="I3866" t="s">
        <v>12</v>
      </c>
    </row>
    <row r="3867" spans="1:9" x14ac:dyDescent="0.25">
      <c r="A3867">
        <v>20131114</v>
      </c>
      <c r="B3867" t="str">
        <f>"112781"</f>
        <v>112781</v>
      </c>
      <c r="C3867" t="str">
        <f>"83617"</f>
        <v>83617</v>
      </c>
      <c r="D3867" t="s">
        <v>1289</v>
      </c>
      <c r="E3867">
        <v>389.88</v>
      </c>
      <c r="F3867">
        <v>20131107</v>
      </c>
      <c r="G3867" t="s">
        <v>1254</v>
      </c>
      <c r="H3867" t="s">
        <v>563</v>
      </c>
      <c r="I3867" t="s">
        <v>79</v>
      </c>
    </row>
    <row r="3868" spans="1:9" x14ac:dyDescent="0.25">
      <c r="A3868">
        <v>20131114</v>
      </c>
      <c r="B3868" t="str">
        <f>"112782"</f>
        <v>112782</v>
      </c>
      <c r="C3868" t="str">
        <f>"84353"</f>
        <v>84353</v>
      </c>
      <c r="D3868" t="s">
        <v>2270</v>
      </c>
      <c r="E3868">
        <v>85</v>
      </c>
      <c r="F3868">
        <v>20131112</v>
      </c>
      <c r="G3868" t="s">
        <v>764</v>
      </c>
      <c r="H3868" t="s">
        <v>765</v>
      </c>
      <c r="I3868" t="s">
        <v>61</v>
      </c>
    </row>
    <row r="3869" spans="1:9" x14ac:dyDescent="0.25">
      <c r="A3869">
        <v>20131114</v>
      </c>
      <c r="B3869" t="str">
        <f>"112783"</f>
        <v>112783</v>
      </c>
      <c r="C3869" t="str">
        <f>"87027"</f>
        <v>87027</v>
      </c>
      <c r="D3869" t="s">
        <v>941</v>
      </c>
      <c r="E3869">
        <v>130.85</v>
      </c>
      <c r="F3869">
        <v>20131107</v>
      </c>
      <c r="G3869" t="s">
        <v>774</v>
      </c>
      <c r="H3869" t="s">
        <v>765</v>
      </c>
      <c r="I3869" t="s">
        <v>61</v>
      </c>
    </row>
    <row r="3870" spans="1:9" x14ac:dyDescent="0.25">
      <c r="A3870">
        <v>20131114</v>
      </c>
      <c r="B3870" t="str">
        <f>"112784"</f>
        <v>112784</v>
      </c>
      <c r="C3870" t="str">
        <f>"00328"</f>
        <v>00328</v>
      </c>
      <c r="D3870" t="s">
        <v>2271</v>
      </c>
      <c r="E3870">
        <v>59.95</v>
      </c>
      <c r="F3870">
        <v>20131113</v>
      </c>
      <c r="G3870" t="s">
        <v>340</v>
      </c>
      <c r="H3870" t="s">
        <v>614</v>
      </c>
      <c r="I3870" t="s">
        <v>21</v>
      </c>
    </row>
    <row r="3871" spans="1:9" x14ac:dyDescent="0.25">
      <c r="A3871">
        <v>20131114</v>
      </c>
      <c r="B3871" t="str">
        <f>"112785"</f>
        <v>112785</v>
      </c>
      <c r="C3871" t="str">
        <f>"81933"</f>
        <v>81933</v>
      </c>
      <c r="D3871" t="s">
        <v>432</v>
      </c>
      <c r="E3871">
        <v>42.3</v>
      </c>
      <c r="F3871">
        <v>20131113</v>
      </c>
      <c r="G3871" t="s">
        <v>410</v>
      </c>
      <c r="H3871" t="s">
        <v>411</v>
      </c>
      <c r="I3871" t="s">
        <v>12</v>
      </c>
    </row>
    <row r="3872" spans="1:9" x14ac:dyDescent="0.25">
      <c r="A3872">
        <v>20131114</v>
      </c>
      <c r="B3872" t="str">
        <f t="shared" ref="B3872:B3879" si="265">"112786"</f>
        <v>112786</v>
      </c>
      <c r="C3872" t="str">
        <f t="shared" ref="C3872:C3879" si="266">"84597"</f>
        <v>84597</v>
      </c>
      <c r="D3872" t="s">
        <v>1508</v>
      </c>
      <c r="E3872">
        <v>294</v>
      </c>
      <c r="F3872">
        <v>20131108</v>
      </c>
      <c r="G3872" t="s">
        <v>498</v>
      </c>
      <c r="H3872" t="s">
        <v>2272</v>
      </c>
      <c r="I3872" t="s">
        <v>21</v>
      </c>
    </row>
    <row r="3873" spans="1:9" x14ac:dyDescent="0.25">
      <c r="A3873">
        <v>20131114</v>
      </c>
      <c r="B3873" t="str">
        <f t="shared" si="265"/>
        <v>112786</v>
      </c>
      <c r="C3873" t="str">
        <f t="shared" si="266"/>
        <v>84597</v>
      </c>
      <c r="D3873" t="s">
        <v>1508</v>
      </c>
      <c r="E3873">
        <v>26.72</v>
      </c>
      <c r="F3873">
        <v>20131108</v>
      </c>
      <c r="G3873" t="s">
        <v>498</v>
      </c>
      <c r="H3873" t="s">
        <v>2273</v>
      </c>
      <c r="I3873" t="s">
        <v>21</v>
      </c>
    </row>
    <row r="3874" spans="1:9" x14ac:dyDescent="0.25">
      <c r="A3874">
        <v>20131114</v>
      </c>
      <c r="B3874" t="str">
        <f t="shared" si="265"/>
        <v>112786</v>
      </c>
      <c r="C3874" t="str">
        <f t="shared" si="266"/>
        <v>84597</v>
      </c>
      <c r="D3874" t="s">
        <v>1508</v>
      </c>
      <c r="E3874">
        <v>925</v>
      </c>
      <c r="F3874">
        <v>20131108</v>
      </c>
      <c r="G3874" t="s">
        <v>498</v>
      </c>
      <c r="H3874" t="s">
        <v>2274</v>
      </c>
      <c r="I3874" t="s">
        <v>21</v>
      </c>
    </row>
    <row r="3875" spans="1:9" x14ac:dyDescent="0.25">
      <c r="A3875">
        <v>20131114</v>
      </c>
      <c r="B3875" t="str">
        <f t="shared" si="265"/>
        <v>112786</v>
      </c>
      <c r="C3875" t="str">
        <f t="shared" si="266"/>
        <v>84597</v>
      </c>
      <c r="D3875" t="s">
        <v>1508</v>
      </c>
      <c r="E3875">
        <v>433.54</v>
      </c>
      <c r="F3875">
        <v>20131108</v>
      </c>
      <c r="G3875" t="s">
        <v>498</v>
      </c>
      <c r="H3875" t="s">
        <v>499</v>
      </c>
      <c r="I3875" t="s">
        <v>21</v>
      </c>
    </row>
    <row r="3876" spans="1:9" x14ac:dyDescent="0.25">
      <c r="A3876">
        <v>20131114</v>
      </c>
      <c r="B3876" t="str">
        <f t="shared" si="265"/>
        <v>112786</v>
      </c>
      <c r="C3876" t="str">
        <f t="shared" si="266"/>
        <v>84597</v>
      </c>
      <c r="D3876" t="s">
        <v>1508</v>
      </c>
      <c r="E3876">
        <v>150.85</v>
      </c>
      <c r="F3876">
        <v>20131108</v>
      </c>
      <c r="G3876" t="s">
        <v>498</v>
      </c>
      <c r="H3876" t="s">
        <v>499</v>
      </c>
      <c r="I3876" t="s">
        <v>21</v>
      </c>
    </row>
    <row r="3877" spans="1:9" x14ac:dyDescent="0.25">
      <c r="A3877">
        <v>20131114</v>
      </c>
      <c r="B3877" t="str">
        <f t="shared" si="265"/>
        <v>112786</v>
      </c>
      <c r="C3877" t="str">
        <f t="shared" si="266"/>
        <v>84597</v>
      </c>
      <c r="D3877" t="s">
        <v>1508</v>
      </c>
      <c r="E3877">
        <v>303.81</v>
      </c>
      <c r="F3877">
        <v>20131108</v>
      </c>
      <c r="G3877" t="s">
        <v>498</v>
      </c>
      <c r="H3877" t="s">
        <v>499</v>
      </c>
      <c r="I3877" t="s">
        <v>21</v>
      </c>
    </row>
    <row r="3878" spans="1:9" x14ac:dyDescent="0.25">
      <c r="A3878">
        <v>20131114</v>
      </c>
      <c r="B3878" t="str">
        <f t="shared" si="265"/>
        <v>112786</v>
      </c>
      <c r="C3878" t="str">
        <f t="shared" si="266"/>
        <v>84597</v>
      </c>
      <c r="D3878" t="s">
        <v>1508</v>
      </c>
      <c r="E3878">
        <v>246.23</v>
      </c>
      <c r="F3878">
        <v>20131108</v>
      </c>
      <c r="G3878" t="s">
        <v>498</v>
      </c>
      <c r="H3878" t="s">
        <v>499</v>
      </c>
      <c r="I3878" t="s">
        <v>21</v>
      </c>
    </row>
    <row r="3879" spans="1:9" x14ac:dyDescent="0.25">
      <c r="A3879">
        <v>20131114</v>
      </c>
      <c r="B3879" t="str">
        <f t="shared" si="265"/>
        <v>112786</v>
      </c>
      <c r="C3879" t="str">
        <f t="shared" si="266"/>
        <v>84597</v>
      </c>
      <c r="D3879" t="s">
        <v>1508</v>
      </c>
      <c r="E3879">
        <v>109.18</v>
      </c>
      <c r="F3879">
        <v>20131108</v>
      </c>
      <c r="G3879" t="s">
        <v>498</v>
      </c>
      <c r="H3879" t="s">
        <v>499</v>
      </c>
      <c r="I3879" t="s">
        <v>21</v>
      </c>
    </row>
    <row r="3880" spans="1:9" x14ac:dyDescent="0.25">
      <c r="A3880">
        <v>20131114</v>
      </c>
      <c r="B3880" t="str">
        <f>"112787"</f>
        <v>112787</v>
      </c>
      <c r="C3880" t="str">
        <f>"81309"</f>
        <v>81309</v>
      </c>
      <c r="D3880" t="s">
        <v>1921</v>
      </c>
      <c r="E3880">
        <v>539.5</v>
      </c>
      <c r="F3880">
        <v>20131107</v>
      </c>
      <c r="G3880" t="s">
        <v>496</v>
      </c>
      <c r="H3880" t="s">
        <v>414</v>
      </c>
      <c r="I3880" t="s">
        <v>21</v>
      </c>
    </row>
    <row r="3881" spans="1:9" x14ac:dyDescent="0.25">
      <c r="A3881">
        <v>20131114</v>
      </c>
      <c r="B3881" t="str">
        <f>"112788"</f>
        <v>112788</v>
      </c>
      <c r="C3881" t="str">
        <f>"62401"</f>
        <v>62401</v>
      </c>
      <c r="D3881" t="s">
        <v>2275</v>
      </c>
      <c r="E3881">
        <v>72.5</v>
      </c>
      <c r="F3881">
        <v>20131108</v>
      </c>
      <c r="G3881" t="s">
        <v>935</v>
      </c>
      <c r="H3881" t="s">
        <v>2276</v>
      </c>
      <c r="I3881" t="s">
        <v>21</v>
      </c>
    </row>
    <row r="3882" spans="1:9" x14ac:dyDescent="0.25">
      <c r="A3882">
        <v>20131114</v>
      </c>
      <c r="B3882" t="str">
        <f>"112789"</f>
        <v>112789</v>
      </c>
      <c r="C3882" t="str">
        <f>"87142"</f>
        <v>87142</v>
      </c>
      <c r="D3882" t="s">
        <v>1923</v>
      </c>
      <c r="E3882">
        <v>39.200000000000003</v>
      </c>
      <c r="F3882">
        <v>20131107</v>
      </c>
      <c r="G3882" t="s">
        <v>562</v>
      </c>
      <c r="H3882" t="s">
        <v>563</v>
      </c>
      <c r="I3882" t="s">
        <v>21</v>
      </c>
    </row>
    <row r="3883" spans="1:9" x14ac:dyDescent="0.25">
      <c r="A3883">
        <v>20131114</v>
      </c>
      <c r="B3883" t="str">
        <f>"112790"</f>
        <v>112790</v>
      </c>
      <c r="C3883" t="str">
        <f>"62411"</f>
        <v>62411</v>
      </c>
      <c r="D3883" t="s">
        <v>1293</v>
      </c>
      <c r="E3883" s="1">
        <v>3810.16</v>
      </c>
      <c r="F3883">
        <v>20131113</v>
      </c>
      <c r="G3883" t="s">
        <v>2277</v>
      </c>
      <c r="H3883" t="s">
        <v>2278</v>
      </c>
      <c r="I3883" t="s">
        <v>21</v>
      </c>
    </row>
    <row r="3884" spans="1:9" x14ac:dyDescent="0.25">
      <c r="A3884">
        <v>20131114</v>
      </c>
      <c r="B3884" t="str">
        <f>"112790"</f>
        <v>112790</v>
      </c>
      <c r="C3884" t="str">
        <f>"62411"</f>
        <v>62411</v>
      </c>
      <c r="D3884" t="s">
        <v>1293</v>
      </c>
      <c r="E3884">
        <v>393.6</v>
      </c>
      <c r="F3884">
        <v>20131108</v>
      </c>
      <c r="G3884" t="s">
        <v>1064</v>
      </c>
      <c r="H3884" t="s">
        <v>2279</v>
      </c>
      <c r="I3884" t="s">
        <v>21</v>
      </c>
    </row>
    <row r="3885" spans="1:9" x14ac:dyDescent="0.25">
      <c r="A3885">
        <v>20131114</v>
      </c>
      <c r="B3885" t="str">
        <f>"112791"</f>
        <v>112791</v>
      </c>
      <c r="C3885" t="str">
        <f>"62420"</f>
        <v>62420</v>
      </c>
      <c r="D3885" t="s">
        <v>1124</v>
      </c>
      <c r="E3885">
        <v>71.8</v>
      </c>
      <c r="F3885">
        <v>20131108</v>
      </c>
      <c r="G3885" t="s">
        <v>2143</v>
      </c>
      <c r="H3885" t="s">
        <v>2280</v>
      </c>
      <c r="I3885" t="s">
        <v>21</v>
      </c>
    </row>
    <row r="3886" spans="1:9" x14ac:dyDescent="0.25">
      <c r="A3886">
        <v>20131114</v>
      </c>
      <c r="B3886" t="str">
        <f>"112792"</f>
        <v>112792</v>
      </c>
      <c r="C3886" t="str">
        <f>"87020"</f>
        <v>87020</v>
      </c>
      <c r="D3886" t="s">
        <v>2281</v>
      </c>
      <c r="E3886">
        <v>85</v>
      </c>
      <c r="F3886">
        <v>20131112</v>
      </c>
      <c r="G3886" t="s">
        <v>764</v>
      </c>
      <c r="H3886" t="s">
        <v>765</v>
      </c>
      <c r="I3886" t="s">
        <v>61</v>
      </c>
    </row>
    <row r="3887" spans="1:9" x14ac:dyDescent="0.25">
      <c r="A3887">
        <v>20131114</v>
      </c>
      <c r="B3887" t="str">
        <f>"112793"</f>
        <v>112793</v>
      </c>
      <c r="C3887" t="str">
        <f>"82243"</f>
        <v>82243</v>
      </c>
      <c r="D3887" t="s">
        <v>1517</v>
      </c>
      <c r="E3887">
        <v>507.87</v>
      </c>
      <c r="F3887">
        <v>20131107</v>
      </c>
      <c r="G3887" t="s">
        <v>392</v>
      </c>
      <c r="H3887" t="s">
        <v>414</v>
      </c>
      <c r="I3887" t="s">
        <v>21</v>
      </c>
    </row>
    <row r="3888" spans="1:9" x14ac:dyDescent="0.25">
      <c r="A3888">
        <v>20131114</v>
      </c>
      <c r="B3888" t="str">
        <f>"112794"</f>
        <v>112794</v>
      </c>
      <c r="C3888" t="str">
        <f>"83052"</f>
        <v>83052</v>
      </c>
      <c r="D3888" t="s">
        <v>2282</v>
      </c>
      <c r="E3888">
        <v>35.72</v>
      </c>
      <c r="F3888">
        <v>20131113</v>
      </c>
      <c r="G3888" t="s">
        <v>582</v>
      </c>
      <c r="H3888" t="s">
        <v>354</v>
      </c>
      <c r="I3888" t="s">
        <v>21</v>
      </c>
    </row>
    <row r="3889" spans="1:9" x14ac:dyDescent="0.25">
      <c r="A3889">
        <v>20131114</v>
      </c>
      <c r="B3889" t="str">
        <f>"112795"</f>
        <v>112795</v>
      </c>
      <c r="C3889" t="str">
        <f>"81411"</f>
        <v>81411</v>
      </c>
      <c r="D3889" t="s">
        <v>687</v>
      </c>
      <c r="E3889">
        <v>814.4</v>
      </c>
      <c r="F3889">
        <v>20131113</v>
      </c>
      <c r="G3889" t="s">
        <v>496</v>
      </c>
      <c r="H3889" t="s">
        <v>688</v>
      </c>
      <c r="I3889" t="s">
        <v>21</v>
      </c>
    </row>
    <row r="3890" spans="1:9" x14ac:dyDescent="0.25">
      <c r="A3890">
        <v>20131114</v>
      </c>
      <c r="B3890" t="str">
        <f t="shared" ref="B3890:B3898" si="267">"112796"</f>
        <v>112796</v>
      </c>
      <c r="C3890" t="str">
        <f t="shared" ref="C3890:C3898" si="268">"87361"</f>
        <v>87361</v>
      </c>
      <c r="D3890" t="s">
        <v>2283</v>
      </c>
      <c r="E3890">
        <v>260</v>
      </c>
      <c r="F3890">
        <v>20131107</v>
      </c>
      <c r="G3890" t="s">
        <v>511</v>
      </c>
      <c r="H3890" t="s">
        <v>2284</v>
      </c>
      <c r="I3890" t="s">
        <v>21</v>
      </c>
    </row>
    <row r="3891" spans="1:9" x14ac:dyDescent="0.25">
      <c r="A3891">
        <v>20131114</v>
      </c>
      <c r="B3891" t="str">
        <f t="shared" si="267"/>
        <v>112796</v>
      </c>
      <c r="C3891" t="str">
        <f t="shared" si="268"/>
        <v>87361</v>
      </c>
      <c r="D3891" t="s">
        <v>2283</v>
      </c>
      <c r="E3891">
        <v>265</v>
      </c>
      <c r="F3891">
        <v>20131107</v>
      </c>
      <c r="G3891" t="s">
        <v>621</v>
      </c>
      <c r="H3891" t="s">
        <v>2284</v>
      </c>
      <c r="I3891" t="s">
        <v>21</v>
      </c>
    </row>
    <row r="3892" spans="1:9" x14ac:dyDescent="0.25">
      <c r="A3892">
        <v>20131114</v>
      </c>
      <c r="B3892" t="str">
        <f t="shared" si="267"/>
        <v>112796</v>
      </c>
      <c r="C3892" t="str">
        <f t="shared" si="268"/>
        <v>87361</v>
      </c>
      <c r="D3892" t="s">
        <v>2283</v>
      </c>
      <c r="E3892">
        <v>450</v>
      </c>
      <c r="F3892">
        <v>20131107</v>
      </c>
      <c r="G3892" t="s">
        <v>1270</v>
      </c>
      <c r="H3892" t="s">
        <v>2284</v>
      </c>
      <c r="I3892" t="s">
        <v>21</v>
      </c>
    </row>
    <row r="3893" spans="1:9" x14ac:dyDescent="0.25">
      <c r="A3893">
        <v>20131114</v>
      </c>
      <c r="B3893" t="str">
        <f t="shared" si="267"/>
        <v>112796</v>
      </c>
      <c r="C3893" t="str">
        <f t="shared" si="268"/>
        <v>87361</v>
      </c>
      <c r="D3893" t="s">
        <v>2283</v>
      </c>
      <c r="E3893">
        <v>250</v>
      </c>
      <c r="F3893">
        <v>20131107</v>
      </c>
      <c r="G3893" t="s">
        <v>624</v>
      </c>
      <c r="H3893" t="s">
        <v>2284</v>
      </c>
      <c r="I3893" t="s">
        <v>21</v>
      </c>
    </row>
    <row r="3894" spans="1:9" x14ac:dyDescent="0.25">
      <c r="A3894">
        <v>20131114</v>
      </c>
      <c r="B3894" t="str">
        <f t="shared" si="267"/>
        <v>112796</v>
      </c>
      <c r="C3894" t="str">
        <f t="shared" si="268"/>
        <v>87361</v>
      </c>
      <c r="D3894" t="s">
        <v>2283</v>
      </c>
      <c r="E3894">
        <v>265</v>
      </c>
      <c r="F3894">
        <v>20131107</v>
      </c>
      <c r="G3894" t="s">
        <v>950</v>
      </c>
      <c r="H3894" t="s">
        <v>2284</v>
      </c>
      <c r="I3894" t="s">
        <v>21</v>
      </c>
    </row>
    <row r="3895" spans="1:9" x14ac:dyDescent="0.25">
      <c r="A3895">
        <v>20131114</v>
      </c>
      <c r="B3895" t="str">
        <f t="shared" si="267"/>
        <v>112796</v>
      </c>
      <c r="C3895" t="str">
        <f t="shared" si="268"/>
        <v>87361</v>
      </c>
      <c r="D3895" t="s">
        <v>2283</v>
      </c>
      <c r="E3895">
        <v>265</v>
      </c>
      <c r="F3895">
        <v>20131107</v>
      </c>
      <c r="G3895" t="s">
        <v>950</v>
      </c>
      <c r="H3895" t="s">
        <v>2284</v>
      </c>
      <c r="I3895" t="s">
        <v>21</v>
      </c>
    </row>
    <row r="3896" spans="1:9" x14ac:dyDescent="0.25">
      <c r="A3896">
        <v>20131114</v>
      </c>
      <c r="B3896" t="str">
        <f t="shared" si="267"/>
        <v>112796</v>
      </c>
      <c r="C3896" t="str">
        <f t="shared" si="268"/>
        <v>87361</v>
      </c>
      <c r="D3896" t="s">
        <v>2283</v>
      </c>
      <c r="E3896">
        <v>265</v>
      </c>
      <c r="F3896">
        <v>20131107</v>
      </c>
      <c r="G3896" t="s">
        <v>526</v>
      </c>
      <c r="H3896" t="s">
        <v>2284</v>
      </c>
      <c r="I3896" t="s">
        <v>21</v>
      </c>
    </row>
    <row r="3897" spans="1:9" x14ac:dyDescent="0.25">
      <c r="A3897">
        <v>20131114</v>
      </c>
      <c r="B3897" t="str">
        <f t="shared" si="267"/>
        <v>112796</v>
      </c>
      <c r="C3897" t="str">
        <f t="shared" si="268"/>
        <v>87361</v>
      </c>
      <c r="D3897" t="s">
        <v>2283</v>
      </c>
      <c r="E3897">
        <v>250</v>
      </c>
      <c r="F3897">
        <v>20131107</v>
      </c>
      <c r="G3897" t="s">
        <v>450</v>
      </c>
      <c r="H3897" t="s">
        <v>2284</v>
      </c>
      <c r="I3897" t="s">
        <v>21</v>
      </c>
    </row>
    <row r="3898" spans="1:9" x14ac:dyDescent="0.25">
      <c r="A3898">
        <v>20131114</v>
      </c>
      <c r="B3898" t="str">
        <f t="shared" si="267"/>
        <v>112796</v>
      </c>
      <c r="C3898" t="str">
        <f t="shared" si="268"/>
        <v>87361</v>
      </c>
      <c r="D3898" t="s">
        <v>2283</v>
      </c>
      <c r="E3898">
        <v>265</v>
      </c>
      <c r="F3898">
        <v>20131107</v>
      </c>
      <c r="G3898" t="s">
        <v>1273</v>
      </c>
      <c r="H3898" t="s">
        <v>2284</v>
      </c>
      <c r="I3898" t="s">
        <v>21</v>
      </c>
    </row>
    <row r="3899" spans="1:9" x14ac:dyDescent="0.25">
      <c r="A3899">
        <v>20131114</v>
      </c>
      <c r="B3899" t="str">
        <f>"112797"</f>
        <v>112797</v>
      </c>
      <c r="C3899" t="str">
        <f>"87605"</f>
        <v>87605</v>
      </c>
      <c r="D3899" t="s">
        <v>2285</v>
      </c>
      <c r="E3899">
        <v>45</v>
      </c>
      <c r="F3899">
        <v>20131113</v>
      </c>
      <c r="G3899" t="s">
        <v>1846</v>
      </c>
      <c r="H3899" t="s">
        <v>765</v>
      </c>
      <c r="I3899" t="s">
        <v>63</v>
      </c>
    </row>
    <row r="3900" spans="1:9" x14ac:dyDescent="0.25">
      <c r="A3900">
        <v>20131114</v>
      </c>
      <c r="B3900" t="str">
        <f>"112798"</f>
        <v>112798</v>
      </c>
      <c r="C3900" t="str">
        <f>"68375"</f>
        <v>68375</v>
      </c>
      <c r="D3900" t="s">
        <v>2286</v>
      </c>
      <c r="E3900">
        <v>135</v>
      </c>
      <c r="F3900">
        <v>20131108</v>
      </c>
      <c r="G3900" t="s">
        <v>1145</v>
      </c>
      <c r="H3900" t="s">
        <v>2287</v>
      </c>
      <c r="I3900" t="s">
        <v>73</v>
      </c>
    </row>
    <row r="3901" spans="1:9" x14ac:dyDescent="0.25">
      <c r="A3901">
        <v>20131114</v>
      </c>
      <c r="B3901" t="str">
        <f>"112799"</f>
        <v>112799</v>
      </c>
      <c r="C3901" t="str">
        <f>"68960"</f>
        <v>68960</v>
      </c>
      <c r="D3901" t="s">
        <v>689</v>
      </c>
      <c r="E3901">
        <v>52.5</v>
      </c>
      <c r="F3901">
        <v>20131112</v>
      </c>
      <c r="G3901" t="s">
        <v>356</v>
      </c>
      <c r="H3901" t="s">
        <v>357</v>
      </c>
      <c r="I3901" t="s">
        <v>61</v>
      </c>
    </row>
    <row r="3902" spans="1:9" x14ac:dyDescent="0.25">
      <c r="A3902">
        <v>20131114</v>
      </c>
      <c r="B3902" t="str">
        <f>"112799"</f>
        <v>112799</v>
      </c>
      <c r="C3902" t="str">
        <f>"68960"</f>
        <v>68960</v>
      </c>
      <c r="D3902" t="s">
        <v>689</v>
      </c>
      <c r="E3902">
        <v>50</v>
      </c>
      <c r="F3902">
        <v>20131112</v>
      </c>
      <c r="G3902" t="s">
        <v>637</v>
      </c>
      <c r="H3902" t="s">
        <v>357</v>
      </c>
      <c r="I3902" t="s">
        <v>38</v>
      </c>
    </row>
    <row r="3903" spans="1:9" x14ac:dyDescent="0.25">
      <c r="A3903">
        <v>20131114</v>
      </c>
      <c r="B3903" t="str">
        <f>"112799"</f>
        <v>112799</v>
      </c>
      <c r="C3903" t="str">
        <f>"68960"</f>
        <v>68960</v>
      </c>
      <c r="D3903" t="s">
        <v>689</v>
      </c>
      <c r="E3903">
        <v>50</v>
      </c>
      <c r="F3903">
        <v>20131113</v>
      </c>
      <c r="G3903" t="s">
        <v>159</v>
      </c>
      <c r="H3903" t="s">
        <v>357</v>
      </c>
      <c r="I3903" t="s">
        <v>25</v>
      </c>
    </row>
    <row r="3904" spans="1:9" x14ac:dyDescent="0.25">
      <c r="A3904">
        <v>20131114</v>
      </c>
      <c r="B3904" t="str">
        <f>"112800"</f>
        <v>112800</v>
      </c>
      <c r="C3904" t="str">
        <f>"68950"</f>
        <v>68950</v>
      </c>
      <c r="D3904" t="s">
        <v>2288</v>
      </c>
      <c r="E3904">
        <v>18.5</v>
      </c>
      <c r="F3904">
        <v>20131113</v>
      </c>
      <c r="G3904" t="s">
        <v>448</v>
      </c>
      <c r="H3904" t="s">
        <v>414</v>
      </c>
      <c r="I3904" t="s">
        <v>21</v>
      </c>
    </row>
    <row r="3905" spans="1:9" x14ac:dyDescent="0.25">
      <c r="A3905">
        <v>20131114</v>
      </c>
      <c r="B3905" t="str">
        <f>"112801"</f>
        <v>112801</v>
      </c>
      <c r="C3905" t="str">
        <f>"86998"</f>
        <v>86998</v>
      </c>
      <c r="D3905" t="s">
        <v>1936</v>
      </c>
      <c r="E3905">
        <v>101.92</v>
      </c>
      <c r="F3905">
        <v>20131112</v>
      </c>
      <c r="G3905" t="s">
        <v>1093</v>
      </c>
      <c r="H3905" t="s">
        <v>765</v>
      </c>
      <c r="I3905" t="s">
        <v>61</v>
      </c>
    </row>
    <row r="3906" spans="1:9" x14ac:dyDescent="0.25">
      <c r="A3906">
        <v>20131114</v>
      </c>
      <c r="B3906" t="str">
        <f>"112802"</f>
        <v>112802</v>
      </c>
      <c r="C3906" t="str">
        <f>"81886"</f>
        <v>81886</v>
      </c>
      <c r="D3906" t="s">
        <v>1527</v>
      </c>
      <c r="E3906" s="1">
        <v>1100</v>
      </c>
      <c r="F3906">
        <v>20131107</v>
      </c>
      <c r="G3906" t="s">
        <v>746</v>
      </c>
      <c r="H3906" t="s">
        <v>555</v>
      </c>
      <c r="I3906" t="s">
        <v>21</v>
      </c>
    </row>
    <row r="3907" spans="1:9" x14ac:dyDescent="0.25">
      <c r="A3907">
        <v>20131114</v>
      </c>
      <c r="B3907" t="str">
        <f>"112803"</f>
        <v>112803</v>
      </c>
      <c r="C3907" t="str">
        <f>"87482"</f>
        <v>87482</v>
      </c>
      <c r="D3907" t="s">
        <v>2289</v>
      </c>
      <c r="E3907">
        <v>810</v>
      </c>
      <c r="F3907">
        <v>20131113</v>
      </c>
      <c r="G3907" t="s">
        <v>1167</v>
      </c>
      <c r="H3907" t="s">
        <v>2290</v>
      </c>
      <c r="I3907" t="s">
        <v>21</v>
      </c>
    </row>
    <row r="3908" spans="1:9" x14ac:dyDescent="0.25">
      <c r="A3908">
        <v>20131114</v>
      </c>
      <c r="B3908" t="str">
        <f>"112804"</f>
        <v>112804</v>
      </c>
      <c r="C3908" t="str">
        <f>"87610"</f>
        <v>87610</v>
      </c>
      <c r="D3908" t="s">
        <v>2291</v>
      </c>
      <c r="E3908" s="1">
        <v>17540</v>
      </c>
      <c r="F3908">
        <v>20131113</v>
      </c>
      <c r="G3908" t="s">
        <v>2292</v>
      </c>
      <c r="H3908" t="s">
        <v>2293</v>
      </c>
      <c r="I3908" t="s">
        <v>63</v>
      </c>
    </row>
    <row r="3909" spans="1:9" x14ac:dyDescent="0.25">
      <c r="A3909">
        <v>20131114</v>
      </c>
      <c r="B3909" t="str">
        <f>"112805"</f>
        <v>112805</v>
      </c>
      <c r="C3909" t="str">
        <f>"69331"</f>
        <v>69331</v>
      </c>
      <c r="D3909" t="s">
        <v>383</v>
      </c>
      <c r="E3909">
        <v>12</v>
      </c>
      <c r="F3909">
        <v>20131107</v>
      </c>
      <c r="G3909" t="s">
        <v>585</v>
      </c>
      <c r="H3909" t="s">
        <v>2294</v>
      </c>
      <c r="I3909" t="s">
        <v>21</v>
      </c>
    </row>
    <row r="3910" spans="1:9" x14ac:dyDescent="0.25">
      <c r="A3910">
        <v>20131114</v>
      </c>
      <c r="B3910" t="str">
        <f>"112806"</f>
        <v>112806</v>
      </c>
      <c r="C3910" t="str">
        <f>"70665"</f>
        <v>70665</v>
      </c>
      <c r="D3910" t="s">
        <v>693</v>
      </c>
      <c r="E3910">
        <v>310</v>
      </c>
      <c r="F3910">
        <v>20131108</v>
      </c>
      <c r="G3910" t="s">
        <v>364</v>
      </c>
      <c r="H3910" t="s">
        <v>954</v>
      </c>
      <c r="I3910" t="s">
        <v>21</v>
      </c>
    </row>
    <row r="3911" spans="1:9" x14ac:dyDescent="0.25">
      <c r="A3911">
        <v>20131114</v>
      </c>
      <c r="B3911" t="str">
        <f>"112807"</f>
        <v>112807</v>
      </c>
      <c r="C3911" t="str">
        <f>"69940"</f>
        <v>69940</v>
      </c>
      <c r="D3911" t="s">
        <v>1156</v>
      </c>
      <c r="E3911" s="1">
        <v>1440</v>
      </c>
      <c r="F3911">
        <v>20131113</v>
      </c>
      <c r="G3911" t="s">
        <v>128</v>
      </c>
      <c r="H3911" t="s">
        <v>2295</v>
      </c>
      <c r="I3911" t="s">
        <v>21</v>
      </c>
    </row>
    <row r="3912" spans="1:9" x14ac:dyDescent="0.25">
      <c r="A3912">
        <v>20131114</v>
      </c>
      <c r="B3912" t="str">
        <f>"112808"</f>
        <v>112808</v>
      </c>
      <c r="C3912" t="str">
        <f>"86596"</f>
        <v>86596</v>
      </c>
      <c r="D3912" t="s">
        <v>1683</v>
      </c>
      <c r="E3912" s="1">
        <v>1048.53</v>
      </c>
      <c r="F3912">
        <v>20131112</v>
      </c>
      <c r="G3912" t="s">
        <v>1684</v>
      </c>
      <c r="H3912" t="s">
        <v>1685</v>
      </c>
      <c r="I3912" t="s">
        <v>21</v>
      </c>
    </row>
    <row r="3913" spans="1:9" x14ac:dyDescent="0.25">
      <c r="A3913">
        <v>20131114</v>
      </c>
      <c r="B3913" t="str">
        <f t="shared" ref="B3913:B3920" si="269">"112809"</f>
        <v>112809</v>
      </c>
      <c r="C3913" t="str">
        <f t="shared" ref="C3913:C3920" si="270">"82502"</f>
        <v>82502</v>
      </c>
      <c r="D3913" t="s">
        <v>706</v>
      </c>
      <c r="E3913">
        <v>7.5</v>
      </c>
      <c r="F3913">
        <v>20131108</v>
      </c>
      <c r="G3913" t="s">
        <v>340</v>
      </c>
      <c r="H3913" t="s">
        <v>707</v>
      </c>
      <c r="I3913" t="s">
        <v>21</v>
      </c>
    </row>
    <row r="3914" spans="1:9" x14ac:dyDescent="0.25">
      <c r="A3914">
        <v>20131114</v>
      </c>
      <c r="B3914" t="str">
        <f t="shared" si="269"/>
        <v>112809</v>
      </c>
      <c r="C3914" t="str">
        <f t="shared" si="270"/>
        <v>82502</v>
      </c>
      <c r="D3914" t="s">
        <v>706</v>
      </c>
      <c r="E3914">
        <v>7.5</v>
      </c>
      <c r="F3914">
        <v>20131108</v>
      </c>
      <c r="G3914" t="s">
        <v>340</v>
      </c>
      <c r="H3914" t="s">
        <v>707</v>
      </c>
      <c r="I3914" t="s">
        <v>21</v>
      </c>
    </row>
    <row r="3915" spans="1:9" x14ac:dyDescent="0.25">
      <c r="A3915">
        <v>20131114</v>
      </c>
      <c r="B3915" t="str">
        <f t="shared" si="269"/>
        <v>112809</v>
      </c>
      <c r="C3915" t="str">
        <f t="shared" si="270"/>
        <v>82502</v>
      </c>
      <c r="D3915" t="s">
        <v>706</v>
      </c>
      <c r="E3915">
        <v>22.5</v>
      </c>
      <c r="F3915">
        <v>20131108</v>
      </c>
      <c r="G3915" t="s">
        <v>340</v>
      </c>
      <c r="H3915" t="s">
        <v>707</v>
      </c>
      <c r="I3915" t="s">
        <v>21</v>
      </c>
    </row>
    <row r="3916" spans="1:9" x14ac:dyDescent="0.25">
      <c r="A3916">
        <v>20131114</v>
      </c>
      <c r="B3916" t="str">
        <f t="shared" si="269"/>
        <v>112809</v>
      </c>
      <c r="C3916" t="str">
        <f t="shared" si="270"/>
        <v>82502</v>
      </c>
      <c r="D3916" t="s">
        <v>706</v>
      </c>
      <c r="E3916">
        <v>37</v>
      </c>
      <c r="F3916">
        <v>20131108</v>
      </c>
      <c r="G3916" t="s">
        <v>340</v>
      </c>
      <c r="H3916" t="s">
        <v>2296</v>
      </c>
      <c r="I3916" t="s">
        <v>21</v>
      </c>
    </row>
    <row r="3917" spans="1:9" x14ac:dyDescent="0.25">
      <c r="A3917">
        <v>20131114</v>
      </c>
      <c r="B3917" t="str">
        <f t="shared" si="269"/>
        <v>112809</v>
      </c>
      <c r="C3917" t="str">
        <f t="shared" si="270"/>
        <v>82502</v>
      </c>
      <c r="D3917" t="s">
        <v>706</v>
      </c>
      <c r="E3917">
        <v>25</v>
      </c>
      <c r="F3917">
        <v>20131108</v>
      </c>
      <c r="G3917" t="s">
        <v>340</v>
      </c>
      <c r="H3917" t="s">
        <v>2296</v>
      </c>
      <c r="I3917" t="s">
        <v>21</v>
      </c>
    </row>
    <row r="3918" spans="1:9" x14ac:dyDescent="0.25">
      <c r="A3918">
        <v>20131114</v>
      </c>
      <c r="B3918" t="str">
        <f t="shared" si="269"/>
        <v>112809</v>
      </c>
      <c r="C3918" t="str">
        <f t="shared" si="270"/>
        <v>82502</v>
      </c>
      <c r="D3918" t="s">
        <v>706</v>
      </c>
      <c r="E3918">
        <v>7.5</v>
      </c>
      <c r="F3918">
        <v>20131108</v>
      </c>
      <c r="G3918" t="s">
        <v>340</v>
      </c>
      <c r="H3918" t="s">
        <v>707</v>
      </c>
      <c r="I3918" t="s">
        <v>21</v>
      </c>
    </row>
    <row r="3919" spans="1:9" x14ac:dyDescent="0.25">
      <c r="A3919">
        <v>20131114</v>
      </c>
      <c r="B3919" t="str">
        <f t="shared" si="269"/>
        <v>112809</v>
      </c>
      <c r="C3919" t="str">
        <f t="shared" si="270"/>
        <v>82502</v>
      </c>
      <c r="D3919" t="s">
        <v>706</v>
      </c>
      <c r="E3919">
        <v>7.5</v>
      </c>
      <c r="F3919">
        <v>20131113</v>
      </c>
      <c r="G3919" t="s">
        <v>340</v>
      </c>
      <c r="H3919" t="s">
        <v>707</v>
      </c>
      <c r="I3919" t="s">
        <v>21</v>
      </c>
    </row>
    <row r="3920" spans="1:9" x14ac:dyDescent="0.25">
      <c r="A3920">
        <v>20131114</v>
      </c>
      <c r="B3920" t="str">
        <f t="shared" si="269"/>
        <v>112809</v>
      </c>
      <c r="C3920" t="str">
        <f t="shared" si="270"/>
        <v>82502</v>
      </c>
      <c r="D3920" t="s">
        <v>706</v>
      </c>
      <c r="E3920">
        <v>40</v>
      </c>
      <c r="F3920">
        <v>20131113</v>
      </c>
      <c r="G3920" t="s">
        <v>340</v>
      </c>
      <c r="H3920" t="s">
        <v>2296</v>
      </c>
      <c r="I3920" t="s">
        <v>21</v>
      </c>
    </row>
    <row r="3921" spans="1:9" x14ac:dyDescent="0.25">
      <c r="A3921">
        <v>20131114</v>
      </c>
      <c r="B3921" t="str">
        <f>"112810"</f>
        <v>112810</v>
      </c>
      <c r="C3921" t="str">
        <f>"00282"</f>
        <v>00282</v>
      </c>
      <c r="D3921" t="s">
        <v>1686</v>
      </c>
      <c r="E3921">
        <v>230</v>
      </c>
      <c r="F3921">
        <v>20131113</v>
      </c>
      <c r="G3921" t="s">
        <v>965</v>
      </c>
      <c r="H3921" t="s">
        <v>361</v>
      </c>
      <c r="I3921" t="s">
        <v>21</v>
      </c>
    </row>
    <row r="3922" spans="1:9" x14ac:dyDescent="0.25">
      <c r="A3922">
        <v>20131114</v>
      </c>
      <c r="B3922" t="str">
        <f>"112811"</f>
        <v>112811</v>
      </c>
      <c r="C3922" t="str">
        <f>"83747"</f>
        <v>83747</v>
      </c>
      <c r="D3922" t="s">
        <v>2297</v>
      </c>
      <c r="E3922">
        <v>63.91</v>
      </c>
      <c r="F3922">
        <v>20131108</v>
      </c>
      <c r="G3922" t="s">
        <v>181</v>
      </c>
      <c r="H3922" t="s">
        <v>354</v>
      </c>
      <c r="I3922" t="s">
        <v>38</v>
      </c>
    </row>
    <row r="3923" spans="1:9" x14ac:dyDescent="0.25">
      <c r="A3923">
        <v>20131114</v>
      </c>
      <c r="B3923" t="str">
        <f>"112812"</f>
        <v>112812</v>
      </c>
      <c r="C3923" t="str">
        <f>"75500"</f>
        <v>75500</v>
      </c>
      <c r="D3923" t="s">
        <v>711</v>
      </c>
      <c r="E3923">
        <v>14.5</v>
      </c>
      <c r="F3923">
        <v>20131107</v>
      </c>
      <c r="G3923" t="s">
        <v>837</v>
      </c>
      <c r="H3923" t="s">
        <v>2298</v>
      </c>
      <c r="I3923" t="s">
        <v>21</v>
      </c>
    </row>
    <row r="3924" spans="1:9" x14ac:dyDescent="0.25">
      <c r="A3924">
        <v>20131114</v>
      </c>
      <c r="B3924" t="str">
        <f>"112813"</f>
        <v>112813</v>
      </c>
      <c r="C3924" t="str">
        <f>"83933"</f>
        <v>83933</v>
      </c>
      <c r="D3924" t="s">
        <v>1539</v>
      </c>
      <c r="E3924" s="1">
        <v>1980</v>
      </c>
      <c r="F3924">
        <v>20131113</v>
      </c>
      <c r="G3924" t="s">
        <v>404</v>
      </c>
      <c r="H3924" t="s">
        <v>1540</v>
      </c>
      <c r="I3924" t="s">
        <v>12</v>
      </c>
    </row>
    <row r="3925" spans="1:9" x14ac:dyDescent="0.25">
      <c r="A3925">
        <v>20131114</v>
      </c>
      <c r="B3925" t="str">
        <f>"112814"</f>
        <v>112814</v>
      </c>
      <c r="C3925" t="str">
        <f>"75581"</f>
        <v>75581</v>
      </c>
      <c r="D3925" t="s">
        <v>391</v>
      </c>
      <c r="E3925">
        <v>907.2</v>
      </c>
      <c r="F3925">
        <v>20131107</v>
      </c>
      <c r="G3925" t="s">
        <v>392</v>
      </c>
      <c r="H3925" t="s">
        <v>393</v>
      </c>
      <c r="I3925" t="s">
        <v>21</v>
      </c>
    </row>
    <row r="3926" spans="1:9" x14ac:dyDescent="0.25">
      <c r="A3926">
        <v>20131114</v>
      </c>
      <c r="B3926" t="str">
        <f>"112815"</f>
        <v>112815</v>
      </c>
      <c r="C3926" t="str">
        <f>"86440"</f>
        <v>86440</v>
      </c>
      <c r="D3926" t="s">
        <v>1164</v>
      </c>
      <c r="E3926">
        <v>76</v>
      </c>
      <c r="F3926">
        <v>20131113</v>
      </c>
      <c r="G3926" t="s">
        <v>650</v>
      </c>
      <c r="H3926" t="s">
        <v>2299</v>
      </c>
      <c r="I3926" t="s">
        <v>21</v>
      </c>
    </row>
    <row r="3927" spans="1:9" x14ac:dyDescent="0.25">
      <c r="A3927">
        <v>20131114</v>
      </c>
      <c r="B3927" t="str">
        <f t="shared" ref="B3927:B3934" si="271">"112816"</f>
        <v>112816</v>
      </c>
      <c r="C3927" t="str">
        <f t="shared" ref="C3927:C3934" si="272">"87189"</f>
        <v>87189</v>
      </c>
      <c r="D3927" t="s">
        <v>730</v>
      </c>
      <c r="E3927">
        <v>54.82</v>
      </c>
      <c r="F3927">
        <v>20131108</v>
      </c>
      <c r="G3927" t="s">
        <v>482</v>
      </c>
      <c r="H3927" t="s">
        <v>414</v>
      </c>
      <c r="I3927" t="s">
        <v>21</v>
      </c>
    </row>
    <row r="3928" spans="1:9" x14ac:dyDescent="0.25">
      <c r="A3928">
        <v>20131114</v>
      </c>
      <c r="B3928" t="str">
        <f t="shared" si="271"/>
        <v>112816</v>
      </c>
      <c r="C3928" t="str">
        <f t="shared" si="272"/>
        <v>87189</v>
      </c>
      <c r="D3928" t="s">
        <v>730</v>
      </c>
      <c r="E3928">
        <v>214.8</v>
      </c>
      <c r="F3928">
        <v>20131108</v>
      </c>
      <c r="G3928" t="s">
        <v>482</v>
      </c>
      <c r="H3928" t="s">
        <v>2300</v>
      </c>
      <c r="I3928" t="s">
        <v>21</v>
      </c>
    </row>
    <row r="3929" spans="1:9" x14ac:dyDescent="0.25">
      <c r="A3929">
        <v>20131114</v>
      </c>
      <c r="B3929" t="str">
        <f t="shared" si="271"/>
        <v>112816</v>
      </c>
      <c r="C3929" t="str">
        <f t="shared" si="272"/>
        <v>87189</v>
      </c>
      <c r="D3929" t="s">
        <v>730</v>
      </c>
      <c r="E3929">
        <v>209.3</v>
      </c>
      <c r="F3929">
        <v>20131108</v>
      </c>
      <c r="G3929" t="s">
        <v>482</v>
      </c>
      <c r="H3929" t="s">
        <v>2301</v>
      </c>
      <c r="I3929" t="s">
        <v>21</v>
      </c>
    </row>
    <row r="3930" spans="1:9" x14ac:dyDescent="0.25">
      <c r="A3930">
        <v>20131114</v>
      </c>
      <c r="B3930" t="str">
        <f t="shared" si="271"/>
        <v>112816</v>
      </c>
      <c r="C3930" t="str">
        <f t="shared" si="272"/>
        <v>87189</v>
      </c>
      <c r="D3930" t="s">
        <v>730</v>
      </c>
      <c r="E3930">
        <v>140.81</v>
      </c>
      <c r="F3930">
        <v>20131108</v>
      </c>
      <c r="G3930" t="s">
        <v>482</v>
      </c>
      <c r="H3930" t="s">
        <v>2302</v>
      </c>
      <c r="I3930" t="s">
        <v>21</v>
      </c>
    </row>
    <row r="3931" spans="1:9" x14ac:dyDescent="0.25">
      <c r="A3931">
        <v>20131114</v>
      </c>
      <c r="B3931" t="str">
        <f t="shared" si="271"/>
        <v>112816</v>
      </c>
      <c r="C3931" t="str">
        <f t="shared" si="272"/>
        <v>87189</v>
      </c>
      <c r="D3931" t="s">
        <v>730</v>
      </c>
      <c r="E3931">
        <v>341.81</v>
      </c>
      <c r="F3931">
        <v>20131108</v>
      </c>
      <c r="G3931" t="s">
        <v>482</v>
      </c>
      <c r="H3931" t="s">
        <v>2301</v>
      </c>
      <c r="I3931" t="s">
        <v>21</v>
      </c>
    </row>
    <row r="3932" spans="1:9" x14ac:dyDescent="0.25">
      <c r="A3932">
        <v>20131114</v>
      </c>
      <c r="B3932" t="str">
        <f t="shared" si="271"/>
        <v>112816</v>
      </c>
      <c r="C3932" t="str">
        <f t="shared" si="272"/>
        <v>87189</v>
      </c>
      <c r="D3932" t="s">
        <v>730</v>
      </c>
      <c r="E3932">
        <v>365.81</v>
      </c>
      <c r="F3932">
        <v>20131108</v>
      </c>
      <c r="G3932" t="s">
        <v>415</v>
      </c>
      <c r="H3932" t="s">
        <v>414</v>
      </c>
      <c r="I3932" t="s">
        <v>21</v>
      </c>
    </row>
    <row r="3933" spans="1:9" x14ac:dyDescent="0.25">
      <c r="A3933">
        <v>20131114</v>
      </c>
      <c r="B3933" t="str">
        <f t="shared" si="271"/>
        <v>112816</v>
      </c>
      <c r="C3933" t="str">
        <f t="shared" si="272"/>
        <v>87189</v>
      </c>
      <c r="D3933" t="s">
        <v>730</v>
      </c>
      <c r="E3933">
        <v>684.81</v>
      </c>
      <c r="F3933">
        <v>20131108</v>
      </c>
      <c r="G3933" t="s">
        <v>627</v>
      </c>
      <c r="H3933" t="s">
        <v>2303</v>
      </c>
      <c r="I3933" t="s">
        <v>21</v>
      </c>
    </row>
    <row r="3934" spans="1:9" x14ac:dyDescent="0.25">
      <c r="A3934">
        <v>20131114</v>
      </c>
      <c r="B3934" t="str">
        <f t="shared" si="271"/>
        <v>112816</v>
      </c>
      <c r="C3934" t="str">
        <f t="shared" si="272"/>
        <v>87189</v>
      </c>
      <c r="D3934" t="s">
        <v>730</v>
      </c>
      <c r="E3934">
        <v>351.26</v>
      </c>
      <c r="F3934">
        <v>20131108</v>
      </c>
      <c r="G3934" t="s">
        <v>331</v>
      </c>
      <c r="H3934" t="s">
        <v>414</v>
      </c>
      <c r="I3934" t="s">
        <v>12</v>
      </c>
    </row>
    <row r="3935" spans="1:9" x14ac:dyDescent="0.25">
      <c r="A3935">
        <v>20131114</v>
      </c>
      <c r="B3935" t="str">
        <f>"112817"</f>
        <v>112817</v>
      </c>
      <c r="C3935" t="str">
        <f>"87560"</f>
        <v>87560</v>
      </c>
      <c r="D3935" t="s">
        <v>2304</v>
      </c>
      <c r="E3935" s="1">
        <v>3000</v>
      </c>
      <c r="F3935">
        <v>20131108</v>
      </c>
      <c r="G3935" t="s">
        <v>1504</v>
      </c>
      <c r="H3935" t="s">
        <v>1692</v>
      </c>
      <c r="I3935" t="s">
        <v>21</v>
      </c>
    </row>
    <row r="3936" spans="1:9" x14ac:dyDescent="0.25">
      <c r="A3936">
        <v>20131114</v>
      </c>
      <c r="B3936" t="str">
        <f>"112818"</f>
        <v>112818</v>
      </c>
      <c r="C3936" t="str">
        <f>"87523"</f>
        <v>87523</v>
      </c>
      <c r="D3936" t="s">
        <v>2305</v>
      </c>
      <c r="E3936">
        <v>813.7</v>
      </c>
      <c r="F3936">
        <v>20131113</v>
      </c>
      <c r="G3936" t="s">
        <v>1277</v>
      </c>
      <c r="H3936" t="s">
        <v>2306</v>
      </c>
      <c r="I3936" t="s">
        <v>79</v>
      </c>
    </row>
    <row r="3937" spans="1:9" x14ac:dyDescent="0.25">
      <c r="A3937">
        <v>20131114</v>
      </c>
      <c r="B3937" t="str">
        <f>"112818"</f>
        <v>112818</v>
      </c>
      <c r="C3937" t="str">
        <f>"87523"</f>
        <v>87523</v>
      </c>
      <c r="D3937" t="s">
        <v>2305</v>
      </c>
      <c r="E3937">
        <v>406.85</v>
      </c>
      <c r="F3937">
        <v>20131113</v>
      </c>
      <c r="G3937" t="s">
        <v>847</v>
      </c>
      <c r="H3937" t="s">
        <v>2306</v>
      </c>
      <c r="I3937" t="s">
        <v>79</v>
      </c>
    </row>
    <row r="3938" spans="1:9" x14ac:dyDescent="0.25">
      <c r="A3938">
        <v>20131114</v>
      </c>
      <c r="B3938" t="str">
        <f>"112819"</f>
        <v>112819</v>
      </c>
      <c r="C3938" t="str">
        <f>"76690"</f>
        <v>76690</v>
      </c>
      <c r="D3938" t="s">
        <v>1544</v>
      </c>
      <c r="E3938">
        <v>7.19</v>
      </c>
      <c r="F3938">
        <v>20131108</v>
      </c>
      <c r="G3938" t="s">
        <v>415</v>
      </c>
      <c r="H3938" t="s">
        <v>2307</v>
      </c>
      <c r="I3938" t="s">
        <v>21</v>
      </c>
    </row>
    <row r="3939" spans="1:9" x14ac:dyDescent="0.25">
      <c r="A3939">
        <v>20131114</v>
      </c>
      <c r="B3939" t="str">
        <f>"112820"</f>
        <v>112820</v>
      </c>
      <c r="C3939" t="str">
        <f>"76775"</f>
        <v>76775</v>
      </c>
      <c r="D3939" t="s">
        <v>2308</v>
      </c>
      <c r="E3939">
        <v>607.5</v>
      </c>
      <c r="F3939">
        <v>20131108</v>
      </c>
      <c r="G3939" t="s">
        <v>524</v>
      </c>
      <c r="H3939" t="s">
        <v>656</v>
      </c>
      <c r="I3939" t="s">
        <v>21</v>
      </c>
    </row>
    <row r="3940" spans="1:9" x14ac:dyDescent="0.25">
      <c r="A3940">
        <v>20131114</v>
      </c>
      <c r="B3940" t="str">
        <f>"112820"</f>
        <v>112820</v>
      </c>
      <c r="C3940" t="str">
        <f>"76775"</f>
        <v>76775</v>
      </c>
      <c r="D3940" t="s">
        <v>2308</v>
      </c>
      <c r="E3940" s="1">
        <v>1289.5999999999999</v>
      </c>
      <c r="F3940">
        <v>20131108</v>
      </c>
      <c r="G3940" t="s">
        <v>524</v>
      </c>
      <c r="H3940" t="s">
        <v>656</v>
      </c>
      <c r="I3940" t="s">
        <v>21</v>
      </c>
    </row>
    <row r="3941" spans="1:9" x14ac:dyDescent="0.25">
      <c r="A3941">
        <v>20131114</v>
      </c>
      <c r="B3941" t="str">
        <f>"112821"</f>
        <v>112821</v>
      </c>
      <c r="C3941" t="str">
        <f>"76904"</f>
        <v>76904</v>
      </c>
      <c r="D3941" t="s">
        <v>1323</v>
      </c>
      <c r="E3941">
        <v>75</v>
      </c>
      <c r="F3941">
        <v>20131112</v>
      </c>
      <c r="G3941" t="s">
        <v>637</v>
      </c>
      <c r="H3941" t="s">
        <v>799</v>
      </c>
      <c r="I3941" t="s">
        <v>38</v>
      </c>
    </row>
    <row r="3942" spans="1:9" x14ac:dyDescent="0.25">
      <c r="A3942">
        <v>20131114</v>
      </c>
      <c r="B3942" t="str">
        <f>"112822"</f>
        <v>112822</v>
      </c>
      <c r="C3942" t="str">
        <f>"76915"</f>
        <v>76915</v>
      </c>
      <c r="D3942" t="s">
        <v>1324</v>
      </c>
      <c r="E3942">
        <v>15.33</v>
      </c>
      <c r="F3942">
        <v>20131108</v>
      </c>
      <c r="G3942" t="s">
        <v>498</v>
      </c>
      <c r="H3942" t="s">
        <v>499</v>
      </c>
      <c r="I3942" t="s">
        <v>21</v>
      </c>
    </row>
    <row r="3943" spans="1:9" x14ac:dyDescent="0.25">
      <c r="A3943">
        <v>20131114</v>
      </c>
      <c r="B3943" t="str">
        <f>"112822"</f>
        <v>112822</v>
      </c>
      <c r="C3943" t="str">
        <f>"76915"</f>
        <v>76915</v>
      </c>
      <c r="D3943" t="s">
        <v>1324</v>
      </c>
      <c r="E3943" s="1">
        <v>1784.74</v>
      </c>
      <c r="F3943">
        <v>20131108</v>
      </c>
      <c r="G3943" t="s">
        <v>413</v>
      </c>
      <c r="H3943" t="s">
        <v>414</v>
      </c>
      <c r="I3943" t="s">
        <v>21</v>
      </c>
    </row>
    <row r="3944" spans="1:9" x14ac:dyDescent="0.25">
      <c r="A3944">
        <v>20131114</v>
      </c>
      <c r="B3944" t="str">
        <f>"112823"</f>
        <v>112823</v>
      </c>
      <c r="C3944" t="str">
        <f>"77173"</f>
        <v>77173</v>
      </c>
      <c r="D3944" t="s">
        <v>741</v>
      </c>
      <c r="E3944">
        <v>367</v>
      </c>
      <c r="F3944">
        <v>20131108</v>
      </c>
      <c r="G3944" t="s">
        <v>2309</v>
      </c>
      <c r="H3944" t="s">
        <v>743</v>
      </c>
      <c r="I3944" t="s">
        <v>21</v>
      </c>
    </row>
    <row r="3945" spans="1:9" x14ac:dyDescent="0.25">
      <c r="A3945">
        <v>20131114</v>
      </c>
      <c r="B3945" t="str">
        <f>"112824"</f>
        <v>112824</v>
      </c>
      <c r="C3945" t="str">
        <f>"87612"</f>
        <v>87612</v>
      </c>
      <c r="D3945" t="s">
        <v>2310</v>
      </c>
      <c r="E3945">
        <v>96.24</v>
      </c>
      <c r="F3945">
        <v>20131113</v>
      </c>
      <c r="G3945" t="s">
        <v>1981</v>
      </c>
      <c r="H3945" t="s">
        <v>2311</v>
      </c>
      <c r="I3945" t="s">
        <v>38</v>
      </c>
    </row>
    <row r="3946" spans="1:9" x14ac:dyDescent="0.25">
      <c r="A3946">
        <v>20131114</v>
      </c>
      <c r="B3946" t="str">
        <f>"112825"</f>
        <v>112825</v>
      </c>
      <c r="C3946" t="str">
        <f>"77705"</f>
        <v>77705</v>
      </c>
      <c r="D3946" t="s">
        <v>2312</v>
      </c>
      <c r="E3946" s="1">
        <v>1296.51</v>
      </c>
      <c r="F3946">
        <v>20131108</v>
      </c>
      <c r="G3946" t="s">
        <v>1271</v>
      </c>
      <c r="H3946" t="s">
        <v>525</v>
      </c>
      <c r="I3946" t="s">
        <v>21</v>
      </c>
    </row>
    <row r="3947" spans="1:9" x14ac:dyDescent="0.25">
      <c r="A3947">
        <v>20131114</v>
      </c>
      <c r="B3947" t="str">
        <f>"112826"</f>
        <v>112826</v>
      </c>
      <c r="C3947" t="str">
        <f>"87609"</f>
        <v>87609</v>
      </c>
      <c r="D3947" t="s">
        <v>2313</v>
      </c>
      <c r="E3947">
        <v>100</v>
      </c>
      <c r="F3947">
        <v>20131113</v>
      </c>
      <c r="G3947" t="s">
        <v>1488</v>
      </c>
      <c r="H3947" t="s">
        <v>2314</v>
      </c>
      <c r="I3947" t="s">
        <v>25</v>
      </c>
    </row>
    <row r="3948" spans="1:9" x14ac:dyDescent="0.25">
      <c r="A3948">
        <v>20131114</v>
      </c>
      <c r="B3948" t="str">
        <f>"112827"</f>
        <v>112827</v>
      </c>
      <c r="C3948" t="str">
        <f>"87600"</f>
        <v>87600</v>
      </c>
      <c r="D3948" t="s">
        <v>2315</v>
      </c>
      <c r="E3948">
        <v>13.05</v>
      </c>
      <c r="F3948">
        <v>20131113</v>
      </c>
      <c r="G3948" t="s">
        <v>410</v>
      </c>
      <c r="H3948" t="s">
        <v>411</v>
      </c>
      <c r="I3948" t="s">
        <v>12</v>
      </c>
    </row>
    <row r="3949" spans="1:9" x14ac:dyDescent="0.25">
      <c r="A3949">
        <v>20131114</v>
      </c>
      <c r="B3949" t="str">
        <f>"112828"</f>
        <v>112828</v>
      </c>
      <c r="C3949" t="str">
        <f>"86410"</f>
        <v>86410</v>
      </c>
      <c r="D3949" t="s">
        <v>2069</v>
      </c>
      <c r="E3949" s="1">
        <v>2270</v>
      </c>
      <c r="F3949">
        <v>20131108</v>
      </c>
      <c r="G3949" t="s">
        <v>181</v>
      </c>
      <c r="H3949" t="s">
        <v>553</v>
      </c>
      <c r="I3949" t="s">
        <v>38</v>
      </c>
    </row>
    <row r="3950" spans="1:9" x14ac:dyDescent="0.25">
      <c r="A3950">
        <v>20131114</v>
      </c>
      <c r="B3950" t="str">
        <f>"112828"</f>
        <v>112828</v>
      </c>
      <c r="C3950" t="str">
        <f>"86410"</f>
        <v>86410</v>
      </c>
      <c r="D3950" t="s">
        <v>2069</v>
      </c>
      <c r="E3950" s="1">
        <v>9020</v>
      </c>
      <c r="F3950">
        <v>20131113</v>
      </c>
      <c r="G3950" t="s">
        <v>39</v>
      </c>
      <c r="H3950" t="s">
        <v>553</v>
      </c>
      <c r="I3950" t="s">
        <v>38</v>
      </c>
    </row>
    <row r="3951" spans="1:9" x14ac:dyDescent="0.25">
      <c r="A3951">
        <v>20131114</v>
      </c>
      <c r="B3951" t="str">
        <f>"112828"</f>
        <v>112828</v>
      </c>
      <c r="C3951" t="str">
        <f>"86410"</f>
        <v>86410</v>
      </c>
      <c r="D3951" t="s">
        <v>2069</v>
      </c>
      <c r="E3951" s="1">
        <v>3020</v>
      </c>
      <c r="F3951">
        <v>20131113</v>
      </c>
      <c r="G3951" t="s">
        <v>39</v>
      </c>
      <c r="H3951" t="s">
        <v>553</v>
      </c>
      <c r="I3951" t="s">
        <v>38</v>
      </c>
    </row>
    <row r="3952" spans="1:9" x14ac:dyDescent="0.25">
      <c r="A3952">
        <v>20131114</v>
      </c>
      <c r="B3952" t="str">
        <f>"112828"</f>
        <v>112828</v>
      </c>
      <c r="C3952" t="str">
        <f>"86410"</f>
        <v>86410</v>
      </c>
      <c r="D3952" t="s">
        <v>2069</v>
      </c>
      <c r="E3952" s="1">
        <v>3020</v>
      </c>
      <c r="F3952">
        <v>20131113</v>
      </c>
      <c r="G3952" t="s">
        <v>39</v>
      </c>
      <c r="H3952" t="s">
        <v>553</v>
      </c>
      <c r="I3952" t="s">
        <v>38</v>
      </c>
    </row>
    <row r="3953" spans="1:9" x14ac:dyDescent="0.25">
      <c r="A3953">
        <v>20131114</v>
      </c>
      <c r="B3953" t="str">
        <f>"112828"</f>
        <v>112828</v>
      </c>
      <c r="C3953" t="str">
        <f>"86410"</f>
        <v>86410</v>
      </c>
      <c r="D3953" t="s">
        <v>2069</v>
      </c>
      <c r="E3953" s="1">
        <v>6020</v>
      </c>
      <c r="F3953">
        <v>20131113</v>
      </c>
      <c r="G3953" t="s">
        <v>39</v>
      </c>
      <c r="H3953" t="s">
        <v>553</v>
      </c>
      <c r="I3953" t="s">
        <v>38</v>
      </c>
    </row>
    <row r="3954" spans="1:9" x14ac:dyDescent="0.25">
      <c r="A3954">
        <v>20131114</v>
      </c>
      <c r="B3954" t="str">
        <f>"112829"</f>
        <v>112829</v>
      </c>
      <c r="C3954" t="str">
        <f>"19200"</f>
        <v>19200</v>
      </c>
      <c r="D3954" t="s">
        <v>436</v>
      </c>
      <c r="E3954">
        <v>63</v>
      </c>
      <c r="F3954">
        <v>20131113</v>
      </c>
      <c r="G3954" t="s">
        <v>410</v>
      </c>
      <c r="H3954" t="s">
        <v>411</v>
      </c>
      <c r="I3954" t="s">
        <v>12</v>
      </c>
    </row>
    <row r="3955" spans="1:9" x14ac:dyDescent="0.25">
      <c r="A3955">
        <v>20131114</v>
      </c>
      <c r="B3955" t="str">
        <f>"112830"</f>
        <v>112830</v>
      </c>
      <c r="C3955" t="str">
        <f>"86521"</f>
        <v>86521</v>
      </c>
      <c r="D3955" t="s">
        <v>988</v>
      </c>
      <c r="E3955">
        <v>133</v>
      </c>
      <c r="F3955">
        <v>20131112</v>
      </c>
      <c r="G3955" t="s">
        <v>1093</v>
      </c>
      <c r="H3955" t="s">
        <v>765</v>
      </c>
      <c r="I3955" t="s">
        <v>61</v>
      </c>
    </row>
    <row r="3956" spans="1:9" x14ac:dyDescent="0.25">
      <c r="A3956">
        <v>20131114</v>
      </c>
      <c r="B3956" t="str">
        <f>"112831"</f>
        <v>112831</v>
      </c>
      <c r="C3956" t="str">
        <f>"87152"</f>
        <v>87152</v>
      </c>
      <c r="D3956" t="s">
        <v>2316</v>
      </c>
      <c r="E3956" s="1">
        <v>1470</v>
      </c>
      <c r="F3956">
        <v>20131113</v>
      </c>
      <c r="G3956" t="s">
        <v>1193</v>
      </c>
      <c r="H3956" t="s">
        <v>2317</v>
      </c>
      <c r="I3956" t="s">
        <v>25</v>
      </c>
    </row>
    <row r="3957" spans="1:9" x14ac:dyDescent="0.25">
      <c r="A3957">
        <v>20131114</v>
      </c>
      <c r="B3957" t="str">
        <f>"112832"</f>
        <v>112832</v>
      </c>
      <c r="C3957" t="str">
        <f>"84132"</f>
        <v>84132</v>
      </c>
      <c r="D3957" t="s">
        <v>1695</v>
      </c>
      <c r="E3957">
        <v>335.6</v>
      </c>
      <c r="F3957">
        <v>20131108</v>
      </c>
      <c r="G3957" t="s">
        <v>1696</v>
      </c>
      <c r="H3957" t="s">
        <v>365</v>
      </c>
      <c r="I3957" t="s">
        <v>21</v>
      </c>
    </row>
    <row r="3958" spans="1:9" x14ac:dyDescent="0.25">
      <c r="A3958">
        <v>20131114</v>
      </c>
      <c r="B3958" t="str">
        <f>"112832"</f>
        <v>112832</v>
      </c>
      <c r="C3958" t="str">
        <f>"84132"</f>
        <v>84132</v>
      </c>
      <c r="D3958" t="s">
        <v>1695</v>
      </c>
      <c r="E3958">
        <v>96.8</v>
      </c>
      <c r="F3958">
        <v>20131108</v>
      </c>
      <c r="G3958" t="s">
        <v>1696</v>
      </c>
      <c r="H3958" t="s">
        <v>563</v>
      </c>
      <c r="I3958" t="s">
        <v>21</v>
      </c>
    </row>
    <row r="3959" spans="1:9" x14ac:dyDescent="0.25">
      <c r="A3959">
        <v>20131121</v>
      </c>
      <c r="B3959" t="str">
        <f>"112833"</f>
        <v>112833</v>
      </c>
      <c r="C3959" t="str">
        <f>"00954"</f>
        <v>00954</v>
      </c>
      <c r="D3959" t="s">
        <v>445</v>
      </c>
      <c r="E3959">
        <v>211.5</v>
      </c>
      <c r="F3959">
        <v>20131118</v>
      </c>
      <c r="G3959" t="s">
        <v>184</v>
      </c>
      <c r="H3959" t="s">
        <v>446</v>
      </c>
      <c r="I3959" t="s">
        <v>25</v>
      </c>
    </row>
    <row r="3960" spans="1:9" x14ac:dyDescent="0.25">
      <c r="A3960">
        <v>20131121</v>
      </c>
      <c r="B3960" t="str">
        <f>"112834"</f>
        <v>112834</v>
      </c>
      <c r="C3960" t="str">
        <f>"00120"</f>
        <v>00120</v>
      </c>
      <c r="D3960" t="s">
        <v>336</v>
      </c>
      <c r="E3960">
        <v>128.22</v>
      </c>
      <c r="F3960">
        <v>20131120</v>
      </c>
      <c r="G3960" t="s">
        <v>337</v>
      </c>
      <c r="H3960" t="s">
        <v>395</v>
      </c>
      <c r="I3960" t="s">
        <v>21</v>
      </c>
    </row>
    <row r="3961" spans="1:9" x14ac:dyDescent="0.25">
      <c r="A3961">
        <v>20131121</v>
      </c>
      <c r="B3961" t="str">
        <f>"112834"</f>
        <v>112834</v>
      </c>
      <c r="C3961" t="str">
        <f>"00120"</f>
        <v>00120</v>
      </c>
      <c r="D3961" t="s">
        <v>336</v>
      </c>
      <c r="E3961">
        <v>103.49</v>
      </c>
      <c r="F3961">
        <v>20131120</v>
      </c>
      <c r="G3961" t="s">
        <v>337</v>
      </c>
      <c r="H3961" t="s">
        <v>395</v>
      </c>
      <c r="I3961" t="s">
        <v>21</v>
      </c>
    </row>
    <row r="3962" spans="1:9" x14ac:dyDescent="0.25">
      <c r="A3962">
        <v>20131121</v>
      </c>
      <c r="B3962" t="str">
        <f>"112834"</f>
        <v>112834</v>
      </c>
      <c r="C3962" t="str">
        <f>"00120"</f>
        <v>00120</v>
      </c>
      <c r="D3962" t="s">
        <v>336</v>
      </c>
      <c r="E3962">
        <v>248.19</v>
      </c>
      <c r="F3962">
        <v>20131120</v>
      </c>
      <c r="G3962" t="s">
        <v>337</v>
      </c>
      <c r="H3962" t="s">
        <v>395</v>
      </c>
      <c r="I3962" t="s">
        <v>21</v>
      </c>
    </row>
    <row r="3963" spans="1:9" x14ac:dyDescent="0.25">
      <c r="A3963">
        <v>20131121</v>
      </c>
      <c r="B3963" t="str">
        <f>"112835"</f>
        <v>112835</v>
      </c>
      <c r="C3963" t="str">
        <f>"87514"</f>
        <v>87514</v>
      </c>
      <c r="D3963" t="s">
        <v>2318</v>
      </c>
      <c r="E3963">
        <v>602</v>
      </c>
      <c r="F3963">
        <v>20131119</v>
      </c>
      <c r="G3963" t="s">
        <v>1981</v>
      </c>
      <c r="H3963" t="s">
        <v>2319</v>
      </c>
      <c r="I3963" t="s">
        <v>38</v>
      </c>
    </row>
    <row r="3964" spans="1:9" x14ac:dyDescent="0.25">
      <c r="A3964">
        <v>20131121</v>
      </c>
      <c r="B3964" t="str">
        <f>"112836"</f>
        <v>112836</v>
      </c>
      <c r="C3964" t="str">
        <f>"85396"</f>
        <v>85396</v>
      </c>
      <c r="D3964" t="s">
        <v>2320</v>
      </c>
      <c r="E3964">
        <v>25</v>
      </c>
      <c r="F3964">
        <v>20131120</v>
      </c>
      <c r="G3964" t="s">
        <v>327</v>
      </c>
      <c r="H3964" t="s">
        <v>2321</v>
      </c>
      <c r="I3964" t="s">
        <v>25</v>
      </c>
    </row>
    <row r="3965" spans="1:9" x14ac:dyDescent="0.25">
      <c r="A3965">
        <v>20131121</v>
      </c>
      <c r="B3965" t="str">
        <f>"112837"</f>
        <v>112837</v>
      </c>
      <c r="C3965" t="str">
        <f>"05800"</f>
        <v>05800</v>
      </c>
      <c r="D3965" t="s">
        <v>998</v>
      </c>
      <c r="E3965">
        <v>147</v>
      </c>
      <c r="F3965">
        <v>20131114</v>
      </c>
      <c r="G3965" t="s">
        <v>1554</v>
      </c>
      <c r="H3965" t="s">
        <v>2322</v>
      </c>
      <c r="I3965" t="s">
        <v>38</v>
      </c>
    </row>
    <row r="3966" spans="1:9" x14ac:dyDescent="0.25">
      <c r="A3966">
        <v>20131121</v>
      </c>
      <c r="B3966" t="str">
        <f>"112838"</f>
        <v>112838</v>
      </c>
      <c r="C3966" t="str">
        <f>"86628"</f>
        <v>86628</v>
      </c>
      <c r="D3966" t="s">
        <v>2323</v>
      </c>
      <c r="E3966">
        <v>65</v>
      </c>
      <c r="F3966">
        <v>20131119</v>
      </c>
      <c r="G3966" t="s">
        <v>2324</v>
      </c>
      <c r="H3966" t="s">
        <v>765</v>
      </c>
      <c r="I3966" t="s">
        <v>61</v>
      </c>
    </row>
    <row r="3967" spans="1:9" x14ac:dyDescent="0.25">
      <c r="A3967">
        <v>20131121</v>
      </c>
      <c r="B3967" t="str">
        <f>"112839"</f>
        <v>112839</v>
      </c>
      <c r="C3967" t="str">
        <f>"00500"</f>
        <v>00500</v>
      </c>
      <c r="D3967" t="s">
        <v>486</v>
      </c>
      <c r="E3967" s="1">
        <v>7016.46</v>
      </c>
      <c r="F3967">
        <v>20131120</v>
      </c>
      <c r="G3967" t="s">
        <v>487</v>
      </c>
      <c r="H3967" t="s">
        <v>488</v>
      </c>
      <c r="I3967" t="s">
        <v>21</v>
      </c>
    </row>
    <row r="3968" spans="1:9" x14ac:dyDescent="0.25">
      <c r="A3968">
        <v>20131121</v>
      </c>
      <c r="B3968" t="str">
        <f>"112840"</f>
        <v>112840</v>
      </c>
      <c r="C3968" t="str">
        <f>"00500"</f>
        <v>00500</v>
      </c>
      <c r="D3968" t="s">
        <v>486</v>
      </c>
      <c r="E3968" s="1">
        <v>1129.27</v>
      </c>
      <c r="F3968">
        <v>20131120</v>
      </c>
      <c r="G3968" t="s">
        <v>487</v>
      </c>
      <c r="H3968" t="s">
        <v>488</v>
      </c>
      <c r="I3968" t="s">
        <v>21</v>
      </c>
    </row>
    <row r="3969" spans="1:9" x14ac:dyDescent="0.25">
      <c r="A3969">
        <v>20131121</v>
      </c>
      <c r="B3969" t="str">
        <f>"112841"</f>
        <v>112841</v>
      </c>
      <c r="C3969" t="str">
        <f>"66825"</f>
        <v>66825</v>
      </c>
      <c r="D3969" t="s">
        <v>2325</v>
      </c>
      <c r="E3969" s="1">
        <v>2216.62</v>
      </c>
      <c r="F3969">
        <v>20131118</v>
      </c>
      <c r="G3969" t="s">
        <v>2326</v>
      </c>
      <c r="H3969" t="s">
        <v>488</v>
      </c>
      <c r="I3969" t="s">
        <v>21</v>
      </c>
    </row>
    <row r="3970" spans="1:9" x14ac:dyDescent="0.25">
      <c r="A3970">
        <v>20131121</v>
      </c>
      <c r="B3970" t="str">
        <f>"112841"</f>
        <v>112841</v>
      </c>
      <c r="C3970" t="str">
        <f>"66825"</f>
        <v>66825</v>
      </c>
      <c r="D3970" t="s">
        <v>2325</v>
      </c>
      <c r="E3970" s="1">
        <v>3174.54</v>
      </c>
      <c r="F3970">
        <v>20131118</v>
      </c>
      <c r="G3970" t="s">
        <v>840</v>
      </c>
      <c r="H3970" t="s">
        <v>2327</v>
      </c>
      <c r="I3970" t="s">
        <v>21</v>
      </c>
    </row>
    <row r="3971" spans="1:9" x14ac:dyDescent="0.25">
      <c r="A3971">
        <v>20131121</v>
      </c>
      <c r="B3971" t="str">
        <f>"112842"</f>
        <v>112842</v>
      </c>
      <c r="C3971" t="str">
        <f>"00255"</f>
        <v>00255</v>
      </c>
      <c r="D3971" t="s">
        <v>489</v>
      </c>
      <c r="E3971">
        <v>65.150000000000006</v>
      </c>
      <c r="F3971">
        <v>20131115</v>
      </c>
      <c r="G3971" t="s">
        <v>771</v>
      </c>
      <c r="H3971" t="s">
        <v>488</v>
      </c>
      <c r="I3971" t="s">
        <v>21</v>
      </c>
    </row>
    <row r="3972" spans="1:9" x14ac:dyDescent="0.25">
      <c r="A3972">
        <v>20131121</v>
      </c>
      <c r="B3972" t="str">
        <f>"112842"</f>
        <v>112842</v>
      </c>
      <c r="C3972" t="str">
        <f>"00255"</f>
        <v>00255</v>
      </c>
      <c r="D3972" t="s">
        <v>489</v>
      </c>
      <c r="E3972">
        <v>201.02</v>
      </c>
      <c r="F3972">
        <v>20131119</v>
      </c>
      <c r="G3972" t="s">
        <v>1186</v>
      </c>
      <c r="H3972" t="s">
        <v>488</v>
      </c>
      <c r="I3972" t="s">
        <v>21</v>
      </c>
    </row>
    <row r="3973" spans="1:9" x14ac:dyDescent="0.25">
      <c r="A3973">
        <v>20131121</v>
      </c>
      <c r="B3973" t="str">
        <f>"112843"</f>
        <v>112843</v>
      </c>
      <c r="C3973" t="str">
        <f>"09575"</f>
        <v>09575</v>
      </c>
      <c r="D3973" t="s">
        <v>2109</v>
      </c>
      <c r="E3973" s="1">
        <v>2048.5</v>
      </c>
      <c r="F3973">
        <v>20131118</v>
      </c>
      <c r="G3973" t="s">
        <v>1200</v>
      </c>
      <c r="H3973" t="s">
        <v>2328</v>
      </c>
      <c r="I3973" t="s">
        <v>61</v>
      </c>
    </row>
    <row r="3974" spans="1:9" x14ac:dyDescent="0.25">
      <c r="A3974">
        <v>20131121</v>
      </c>
      <c r="B3974" t="str">
        <f>"112843"</f>
        <v>112843</v>
      </c>
      <c r="C3974" t="str">
        <f>"09575"</f>
        <v>09575</v>
      </c>
      <c r="D3974" t="s">
        <v>2109</v>
      </c>
      <c r="E3974" s="1">
        <v>1022.25</v>
      </c>
      <c r="F3974">
        <v>20131118</v>
      </c>
      <c r="G3974" t="s">
        <v>2219</v>
      </c>
      <c r="H3974" t="s">
        <v>2329</v>
      </c>
      <c r="I3974" t="s">
        <v>61</v>
      </c>
    </row>
    <row r="3975" spans="1:9" x14ac:dyDescent="0.25">
      <c r="A3975">
        <v>20131121</v>
      </c>
      <c r="B3975" t="str">
        <f>"112843"</f>
        <v>112843</v>
      </c>
      <c r="C3975" t="str">
        <f>"09575"</f>
        <v>09575</v>
      </c>
      <c r="D3975" t="s">
        <v>2109</v>
      </c>
      <c r="E3975">
        <v>577.5</v>
      </c>
      <c r="F3975">
        <v>20131118</v>
      </c>
      <c r="G3975" t="s">
        <v>2219</v>
      </c>
      <c r="H3975" t="s">
        <v>2330</v>
      </c>
      <c r="I3975" t="s">
        <v>61</v>
      </c>
    </row>
    <row r="3976" spans="1:9" x14ac:dyDescent="0.25">
      <c r="A3976">
        <v>20131121</v>
      </c>
      <c r="B3976" t="str">
        <f>"112844"</f>
        <v>112844</v>
      </c>
      <c r="C3976" t="str">
        <f>"85915"</f>
        <v>85915</v>
      </c>
      <c r="D3976" t="s">
        <v>773</v>
      </c>
      <c r="E3976">
        <v>70.34</v>
      </c>
      <c r="F3976">
        <v>20131118</v>
      </c>
      <c r="G3976" t="s">
        <v>1003</v>
      </c>
      <c r="H3976" t="s">
        <v>765</v>
      </c>
      <c r="I3976" t="s">
        <v>61</v>
      </c>
    </row>
    <row r="3977" spans="1:9" x14ac:dyDescent="0.25">
      <c r="A3977">
        <v>20131121</v>
      </c>
      <c r="B3977" t="str">
        <f>"112845"</f>
        <v>112845</v>
      </c>
      <c r="C3977" t="str">
        <f>"83583"</f>
        <v>83583</v>
      </c>
      <c r="D3977" t="s">
        <v>2331</v>
      </c>
      <c r="E3977">
        <v>37.82</v>
      </c>
      <c r="F3977">
        <v>20131115</v>
      </c>
      <c r="G3977" t="s">
        <v>581</v>
      </c>
      <c r="H3977" t="s">
        <v>354</v>
      </c>
      <c r="I3977" t="s">
        <v>21</v>
      </c>
    </row>
    <row r="3978" spans="1:9" x14ac:dyDescent="0.25">
      <c r="A3978">
        <v>20131121</v>
      </c>
      <c r="B3978" t="str">
        <f>"112846"</f>
        <v>112846</v>
      </c>
      <c r="C3978" t="str">
        <f>"82758"</f>
        <v>82758</v>
      </c>
      <c r="D3978" t="s">
        <v>776</v>
      </c>
      <c r="E3978" s="1">
        <v>21347.1</v>
      </c>
      <c r="F3978">
        <v>20131115</v>
      </c>
      <c r="G3978" t="s">
        <v>777</v>
      </c>
      <c r="H3978" t="s">
        <v>778</v>
      </c>
      <c r="I3978" t="s">
        <v>21</v>
      </c>
    </row>
    <row r="3979" spans="1:9" x14ac:dyDescent="0.25">
      <c r="A3979">
        <v>20131121</v>
      </c>
      <c r="B3979" t="str">
        <f>"112847"</f>
        <v>112847</v>
      </c>
      <c r="C3979" t="str">
        <f>"87465"</f>
        <v>87465</v>
      </c>
      <c r="D3979" t="s">
        <v>500</v>
      </c>
      <c r="E3979">
        <v>160</v>
      </c>
      <c r="F3979">
        <v>20131119</v>
      </c>
      <c r="G3979" t="s">
        <v>469</v>
      </c>
      <c r="H3979" t="s">
        <v>501</v>
      </c>
      <c r="I3979" t="s">
        <v>21</v>
      </c>
    </row>
    <row r="3980" spans="1:9" x14ac:dyDescent="0.25">
      <c r="A3980">
        <v>20131121</v>
      </c>
      <c r="B3980" t="str">
        <f>"112848"</f>
        <v>112848</v>
      </c>
      <c r="C3980" t="str">
        <f>"86220"</f>
        <v>86220</v>
      </c>
      <c r="D3980" t="s">
        <v>2332</v>
      </c>
      <c r="E3980">
        <v>301.5</v>
      </c>
      <c r="F3980">
        <v>20131115</v>
      </c>
      <c r="G3980" t="s">
        <v>442</v>
      </c>
      <c r="H3980" t="s">
        <v>365</v>
      </c>
      <c r="I3980" t="s">
        <v>66</v>
      </c>
    </row>
    <row r="3981" spans="1:9" x14ac:dyDescent="0.25">
      <c r="A3981">
        <v>20131121</v>
      </c>
      <c r="B3981" t="str">
        <f>"112849"</f>
        <v>112849</v>
      </c>
      <c r="C3981" t="str">
        <f>"87628"</f>
        <v>87628</v>
      </c>
      <c r="D3981" t="s">
        <v>2333</v>
      </c>
      <c r="E3981">
        <v>112.16</v>
      </c>
      <c r="F3981">
        <v>20131121</v>
      </c>
      <c r="G3981" t="s">
        <v>1846</v>
      </c>
      <c r="H3981" t="s">
        <v>765</v>
      </c>
      <c r="I3981" t="s">
        <v>63</v>
      </c>
    </row>
    <row r="3982" spans="1:9" x14ac:dyDescent="0.25">
      <c r="A3982">
        <v>20131121</v>
      </c>
      <c r="B3982" t="str">
        <f>"112850"</f>
        <v>112850</v>
      </c>
      <c r="C3982" t="str">
        <f>"12140"</f>
        <v>12140</v>
      </c>
      <c r="D3982" t="s">
        <v>406</v>
      </c>
      <c r="E3982" s="1">
        <v>56271.6</v>
      </c>
      <c r="F3982">
        <v>20131120</v>
      </c>
      <c r="G3982" t="s">
        <v>404</v>
      </c>
      <c r="H3982" t="s">
        <v>408</v>
      </c>
      <c r="I3982" t="s">
        <v>12</v>
      </c>
    </row>
    <row r="3983" spans="1:9" x14ac:dyDescent="0.25">
      <c r="A3983">
        <v>20131121</v>
      </c>
      <c r="B3983" t="str">
        <f>"112851"</f>
        <v>112851</v>
      </c>
      <c r="C3983" t="str">
        <f>"83072"</f>
        <v>83072</v>
      </c>
      <c r="D3983" t="s">
        <v>2334</v>
      </c>
      <c r="E3983">
        <v>63.07</v>
      </c>
      <c r="F3983">
        <v>20131120</v>
      </c>
      <c r="G3983" t="s">
        <v>2210</v>
      </c>
      <c r="H3983" t="s">
        <v>365</v>
      </c>
      <c r="I3983" t="s">
        <v>75</v>
      </c>
    </row>
    <row r="3984" spans="1:9" x14ac:dyDescent="0.25">
      <c r="A3984">
        <v>20131121</v>
      </c>
      <c r="B3984" t="str">
        <f>"112852"</f>
        <v>112852</v>
      </c>
      <c r="C3984" t="str">
        <f>"87004"</f>
        <v>87004</v>
      </c>
      <c r="D3984" t="s">
        <v>787</v>
      </c>
      <c r="E3984">
        <v>15.24</v>
      </c>
      <c r="F3984">
        <v>20131115</v>
      </c>
      <c r="G3984" t="s">
        <v>1079</v>
      </c>
      <c r="H3984" t="s">
        <v>354</v>
      </c>
      <c r="I3984" t="s">
        <v>21</v>
      </c>
    </row>
    <row r="3985" spans="1:9" x14ac:dyDescent="0.25">
      <c r="A3985">
        <v>20131121</v>
      </c>
      <c r="B3985" t="str">
        <f>"112853"</f>
        <v>112853</v>
      </c>
      <c r="C3985" t="str">
        <f>"83519"</f>
        <v>83519</v>
      </c>
      <c r="D3985" t="s">
        <v>2123</v>
      </c>
      <c r="E3985">
        <v>11.86</v>
      </c>
      <c r="F3985">
        <v>20131120</v>
      </c>
      <c r="G3985" t="s">
        <v>1846</v>
      </c>
      <c r="H3985" t="s">
        <v>765</v>
      </c>
      <c r="I3985" t="s">
        <v>63</v>
      </c>
    </row>
    <row r="3986" spans="1:9" x14ac:dyDescent="0.25">
      <c r="A3986">
        <v>20131121</v>
      </c>
      <c r="B3986" t="str">
        <f>"112854"</f>
        <v>112854</v>
      </c>
      <c r="C3986" t="str">
        <f>"87078"</f>
        <v>87078</v>
      </c>
      <c r="D3986" t="s">
        <v>2124</v>
      </c>
      <c r="E3986">
        <v>34.85</v>
      </c>
      <c r="F3986">
        <v>20131120</v>
      </c>
      <c r="G3986" t="s">
        <v>1846</v>
      </c>
      <c r="H3986" t="s">
        <v>765</v>
      </c>
      <c r="I3986" t="s">
        <v>63</v>
      </c>
    </row>
    <row r="3987" spans="1:9" x14ac:dyDescent="0.25">
      <c r="A3987">
        <v>20131121</v>
      </c>
      <c r="B3987" t="str">
        <f>"112855"</f>
        <v>112855</v>
      </c>
      <c r="C3987" t="str">
        <f>"83493"</f>
        <v>83493</v>
      </c>
      <c r="D3987" t="s">
        <v>509</v>
      </c>
      <c r="E3987">
        <v>130</v>
      </c>
      <c r="F3987">
        <v>20131118</v>
      </c>
      <c r="G3987" t="s">
        <v>819</v>
      </c>
      <c r="H3987" t="s">
        <v>357</v>
      </c>
      <c r="I3987" t="s">
        <v>63</v>
      </c>
    </row>
    <row r="3988" spans="1:9" x14ac:dyDescent="0.25">
      <c r="A3988">
        <v>20131121</v>
      </c>
      <c r="B3988" t="str">
        <f>"112855"</f>
        <v>112855</v>
      </c>
      <c r="C3988" t="str">
        <f>"83493"</f>
        <v>83493</v>
      </c>
      <c r="D3988" t="s">
        <v>509</v>
      </c>
      <c r="E3988">
        <v>400</v>
      </c>
      <c r="F3988">
        <v>20131121</v>
      </c>
      <c r="G3988" t="s">
        <v>819</v>
      </c>
      <c r="H3988" t="s">
        <v>357</v>
      </c>
      <c r="I3988" t="s">
        <v>63</v>
      </c>
    </row>
    <row r="3989" spans="1:9" x14ac:dyDescent="0.25">
      <c r="A3989">
        <v>20131121</v>
      </c>
      <c r="B3989" t="str">
        <f>"112855"</f>
        <v>112855</v>
      </c>
      <c r="C3989" t="str">
        <f>"83493"</f>
        <v>83493</v>
      </c>
      <c r="D3989" t="s">
        <v>509</v>
      </c>
      <c r="E3989">
        <v>130</v>
      </c>
      <c r="F3989">
        <v>20131121</v>
      </c>
      <c r="G3989" t="s">
        <v>819</v>
      </c>
      <c r="H3989" t="s">
        <v>357</v>
      </c>
      <c r="I3989" t="s">
        <v>63</v>
      </c>
    </row>
    <row r="3990" spans="1:9" x14ac:dyDescent="0.25">
      <c r="A3990">
        <v>20131121</v>
      </c>
      <c r="B3990" t="str">
        <f>"112856"</f>
        <v>112856</v>
      </c>
      <c r="C3990" t="str">
        <f>"15955"</f>
        <v>15955</v>
      </c>
      <c r="D3990" t="s">
        <v>1204</v>
      </c>
      <c r="E3990">
        <v>830.93</v>
      </c>
      <c r="F3990">
        <v>20131118</v>
      </c>
      <c r="G3990" t="s">
        <v>1605</v>
      </c>
      <c r="H3990" t="s">
        <v>2335</v>
      </c>
      <c r="I3990" t="s">
        <v>21</v>
      </c>
    </row>
    <row r="3991" spans="1:9" x14ac:dyDescent="0.25">
      <c r="A3991">
        <v>20131121</v>
      </c>
      <c r="B3991" t="str">
        <f>"112857"</f>
        <v>112857</v>
      </c>
      <c r="C3991" t="str">
        <f>"18025"</f>
        <v>18025</v>
      </c>
      <c r="D3991" t="s">
        <v>514</v>
      </c>
      <c r="E3991">
        <v>125.79</v>
      </c>
      <c r="F3991">
        <v>20131115</v>
      </c>
      <c r="G3991" t="s">
        <v>834</v>
      </c>
      <c r="H3991" t="s">
        <v>2336</v>
      </c>
      <c r="I3991" t="s">
        <v>21</v>
      </c>
    </row>
    <row r="3992" spans="1:9" x14ac:dyDescent="0.25">
      <c r="A3992">
        <v>20131121</v>
      </c>
      <c r="B3992" t="str">
        <f>"112858"</f>
        <v>112858</v>
      </c>
      <c r="C3992" t="str">
        <f>"23122"</f>
        <v>23122</v>
      </c>
      <c r="D3992" t="s">
        <v>2337</v>
      </c>
      <c r="E3992">
        <v>391.8</v>
      </c>
      <c r="F3992">
        <v>20131115</v>
      </c>
      <c r="G3992" t="s">
        <v>1486</v>
      </c>
      <c r="H3992" t="s">
        <v>414</v>
      </c>
      <c r="I3992" t="s">
        <v>38</v>
      </c>
    </row>
    <row r="3993" spans="1:9" x14ac:dyDescent="0.25">
      <c r="A3993">
        <v>20131121</v>
      </c>
      <c r="B3993" t="str">
        <f>"112858"</f>
        <v>112858</v>
      </c>
      <c r="C3993" t="str">
        <f>"23122"</f>
        <v>23122</v>
      </c>
      <c r="D3993" t="s">
        <v>2337</v>
      </c>
      <c r="E3993">
        <v>86</v>
      </c>
      <c r="F3993">
        <v>20131115</v>
      </c>
      <c r="G3993" t="s">
        <v>1486</v>
      </c>
      <c r="H3993" t="s">
        <v>414</v>
      </c>
      <c r="I3993" t="s">
        <v>38</v>
      </c>
    </row>
    <row r="3994" spans="1:9" x14ac:dyDescent="0.25">
      <c r="A3994">
        <v>20131121</v>
      </c>
      <c r="B3994" t="str">
        <f>"112859"</f>
        <v>112859</v>
      </c>
      <c r="C3994" t="str">
        <f>"22200"</f>
        <v>22200</v>
      </c>
      <c r="D3994" t="s">
        <v>519</v>
      </c>
      <c r="E3994">
        <v>228.75</v>
      </c>
      <c r="F3994">
        <v>20131120</v>
      </c>
      <c r="G3994" t="s">
        <v>202</v>
      </c>
      <c r="H3994" t="s">
        <v>1394</v>
      </c>
      <c r="I3994" t="s">
        <v>12</v>
      </c>
    </row>
    <row r="3995" spans="1:9" x14ac:dyDescent="0.25">
      <c r="A3995">
        <v>20131121</v>
      </c>
      <c r="B3995" t="str">
        <f>"112860"</f>
        <v>112860</v>
      </c>
      <c r="C3995" t="str">
        <f>"21600"</f>
        <v>21600</v>
      </c>
      <c r="D3995" t="s">
        <v>1735</v>
      </c>
      <c r="E3995">
        <v>231.25</v>
      </c>
      <c r="F3995">
        <v>20131120</v>
      </c>
      <c r="G3995" t="s">
        <v>448</v>
      </c>
      <c r="H3995" t="s">
        <v>2338</v>
      </c>
      <c r="I3995" t="s">
        <v>21</v>
      </c>
    </row>
    <row r="3996" spans="1:9" x14ac:dyDescent="0.25">
      <c r="A3996">
        <v>20131121</v>
      </c>
      <c r="B3996" t="str">
        <f>"112861"</f>
        <v>112861</v>
      </c>
      <c r="C3996" t="str">
        <f>"84184"</f>
        <v>84184</v>
      </c>
      <c r="D3996" t="s">
        <v>2339</v>
      </c>
      <c r="E3996" s="1">
        <v>1582</v>
      </c>
      <c r="F3996">
        <v>20131120</v>
      </c>
      <c r="G3996" t="s">
        <v>448</v>
      </c>
      <c r="H3996" t="s">
        <v>2340</v>
      </c>
      <c r="I3996" t="s">
        <v>21</v>
      </c>
    </row>
    <row r="3997" spans="1:9" x14ac:dyDescent="0.25">
      <c r="A3997">
        <v>20131121</v>
      </c>
      <c r="B3997" t="str">
        <f>"112862"</f>
        <v>112862</v>
      </c>
      <c r="C3997" t="str">
        <f>"23827"</f>
        <v>23827</v>
      </c>
      <c r="D3997" t="s">
        <v>528</v>
      </c>
      <c r="E3997">
        <v>343.04</v>
      </c>
      <c r="F3997">
        <v>20131115</v>
      </c>
      <c r="G3997" t="s">
        <v>181</v>
      </c>
      <c r="H3997" t="s">
        <v>513</v>
      </c>
      <c r="I3997" t="s">
        <v>38</v>
      </c>
    </row>
    <row r="3998" spans="1:9" x14ac:dyDescent="0.25">
      <c r="A3998">
        <v>20131121</v>
      </c>
      <c r="B3998" t="str">
        <f>"112862"</f>
        <v>112862</v>
      </c>
      <c r="C3998" t="str">
        <f>"23827"</f>
        <v>23827</v>
      </c>
      <c r="D3998" t="s">
        <v>528</v>
      </c>
      <c r="E3998" s="1">
        <v>1332.8</v>
      </c>
      <c r="F3998">
        <v>20131121</v>
      </c>
      <c r="G3998" t="s">
        <v>181</v>
      </c>
      <c r="H3998" t="s">
        <v>1971</v>
      </c>
      <c r="I3998" t="s">
        <v>38</v>
      </c>
    </row>
    <row r="3999" spans="1:9" x14ac:dyDescent="0.25">
      <c r="A3999">
        <v>20131121</v>
      </c>
      <c r="B3999" t="str">
        <f>"112862"</f>
        <v>112862</v>
      </c>
      <c r="C3999" t="str">
        <f>"23827"</f>
        <v>23827</v>
      </c>
      <c r="D3999" t="s">
        <v>528</v>
      </c>
      <c r="E3999">
        <v>632</v>
      </c>
      <c r="F3999">
        <v>20131120</v>
      </c>
      <c r="G3999" t="s">
        <v>1052</v>
      </c>
      <c r="H3999" t="s">
        <v>513</v>
      </c>
      <c r="I3999" t="s">
        <v>25</v>
      </c>
    </row>
    <row r="4000" spans="1:9" x14ac:dyDescent="0.25">
      <c r="A4000">
        <v>20131121</v>
      </c>
      <c r="B4000" t="str">
        <f>"112862"</f>
        <v>112862</v>
      </c>
      <c r="C4000" t="str">
        <f>"23827"</f>
        <v>23827</v>
      </c>
      <c r="D4000" t="s">
        <v>528</v>
      </c>
      <c r="E4000" s="1">
        <v>1596.04</v>
      </c>
      <c r="F4000">
        <v>20131120</v>
      </c>
      <c r="G4000" t="s">
        <v>271</v>
      </c>
      <c r="H4000" t="s">
        <v>513</v>
      </c>
      <c r="I4000" t="s">
        <v>25</v>
      </c>
    </row>
    <row r="4001" spans="1:9" x14ac:dyDescent="0.25">
      <c r="A4001">
        <v>20131121</v>
      </c>
      <c r="B4001" t="str">
        <f>"112863"</f>
        <v>112863</v>
      </c>
      <c r="C4001" t="str">
        <f>"81177"</f>
        <v>81177</v>
      </c>
      <c r="D4001" t="s">
        <v>2341</v>
      </c>
      <c r="E4001">
        <v>435</v>
      </c>
      <c r="F4001">
        <v>20131118</v>
      </c>
      <c r="G4001" t="s">
        <v>356</v>
      </c>
      <c r="H4001" t="s">
        <v>357</v>
      </c>
      <c r="I4001" t="s">
        <v>61</v>
      </c>
    </row>
    <row r="4002" spans="1:9" x14ac:dyDescent="0.25">
      <c r="A4002">
        <v>20131121</v>
      </c>
      <c r="B4002" t="str">
        <f>"112863"</f>
        <v>112863</v>
      </c>
      <c r="C4002" t="str">
        <f>"81177"</f>
        <v>81177</v>
      </c>
      <c r="D4002" t="s">
        <v>2341</v>
      </c>
      <c r="E4002">
        <v>75</v>
      </c>
      <c r="F4002">
        <v>20131118</v>
      </c>
      <c r="G4002" t="s">
        <v>189</v>
      </c>
      <c r="H4002" t="s">
        <v>357</v>
      </c>
      <c r="I4002" t="s">
        <v>25</v>
      </c>
    </row>
    <row r="4003" spans="1:9" x14ac:dyDescent="0.25">
      <c r="A4003">
        <v>20131121</v>
      </c>
      <c r="B4003" t="str">
        <f>"112864"</f>
        <v>112864</v>
      </c>
      <c r="C4003" t="str">
        <f>"82357"</f>
        <v>82357</v>
      </c>
      <c r="D4003" t="s">
        <v>2342</v>
      </c>
      <c r="E4003" s="1">
        <v>5350</v>
      </c>
      <c r="F4003">
        <v>20131119</v>
      </c>
      <c r="G4003" t="s">
        <v>2343</v>
      </c>
      <c r="H4003" t="s">
        <v>2344</v>
      </c>
      <c r="I4003" t="s">
        <v>38</v>
      </c>
    </row>
    <row r="4004" spans="1:9" x14ac:dyDescent="0.25">
      <c r="A4004">
        <v>20131121</v>
      </c>
      <c r="B4004" t="str">
        <f>"112865"</f>
        <v>112865</v>
      </c>
      <c r="C4004" t="str">
        <f>"86566"</f>
        <v>86566</v>
      </c>
      <c r="D4004" t="s">
        <v>2345</v>
      </c>
      <c r="E4004" s="1">
        <v>2412</v>
      </c>
      <c r="F4004">
        <v>20131120</v>
      </c>
      <c r="G4004" t="s">
        <v>2346</v>
      </c>
      <c r="H4004" t="s">
        <v>2347</v>
      </c>
      <c r="I4004" t="s">
        <v>25</v>
      </c>
    </row>
    <row r="4005" spans="1:9" x14ac:dyDescent="0.25">
      <c r="A4005">
        <v>20131121</v>
      </c>
      <c r="B4005" t="str">
        <f>"112866"</f>
        <v>112866</v>
      </c>
      <c r="C4005" t="str">
        <f>"84625"</f>
        <v>84625</v>
      </c>
      <c r="D4005" t="s">
        <v>1580</v>
      </c>
      <c r="E4005">
        <v>245</v>
      </c>
      <c r="F4005">
        <v>20131120</v>
      </c>
      <c r="G4005" t="s">
        <v>837</v>
      </c>
      <c r="H4005" t="s">
        <v>2348</v>
      </c>
      <c r="I4005" t="s">
        <v>21</v>
      </c>
    </row>
    <row r="4006" spans="1:9" x14ac:dyDescent="0.25">
      <c r="A4006">
        <v>20131121</v>
      </c>
      <c r="B4006" t="str">
        <f>"112867"</f>
        <v>112867</v>
      </c>
      <c r="C4006" t="str">
        <f>"87607"</f>
        <v>87607</v>
      </c>
      <c r="D4006" t="s">
        <v>2160</v>
      </c>
      <c r="E4006">
        <v>10.88</v>
      </c>
      <c r="F4006">
        <v>20131120</v>
      </c>
      <c r="G4006" t="s">
        <v>1846</v>
      </c>
      <c r="H4006" t="s">
        <v>765</v>
      </c>
      <c r="I4006" t="s">
        <v>63</v>
      </c>
    </row>
    <row r="4007" spans="1:9" x14ac:dyDescent="0.25">
      <c r="A4007">
        <v>20131121</v>
      </c>
      <c r="B4007" t="str">
        <f>"112868"</f>
        <v>112868</v>
      </c>
      <c r="C4007" t="str">
        <f>"87528"</f>
        <v>87528</v>
      </c>
      <c r="D4007" t="s">
        <v>1048</v>
      </c>
      <c r="E4007">
        <v>640</v>
      </c>
      <c r="F4007">
        <v>20131120</v>
      </c>
      <c r="G4007" t="s">
        <v>1049</v>
      </c>
      <c r="H4007" t="s">
        <v>1050</v>
      </c>
      <c r="I4007" t="s">
        <v>21</v>
      </c>
    </row>
    <row r="4008" spans="1:9" x14ac:dyDescent="0.25">
      <c r="A4008">
        <v>20131121</v>
      </c>
      <c r="B4008" t="str">
        <f>"112869"</f>
        <v>112869</v>
      </c>
      <c r="C4008" t="str">
        <f>"86070"</f>
        <v>86070</v>
      </c>
      <c r="D4008" t="s">
        <v>2349</v>
      </c>
      <c r="E4008">
        <v>750.55</v>
      </c>
      <c r="F4008">
        <v>20131118</v>
      </c>
      <c r="G4008" t="s">
        <v>189</v>
      </c>
      <c r="H4008" t="s">
        <v>357</v>
      </c>
      <c r="I4008" t="s">
        <v>25</v>
      </c>
    </row>
    <row r="4009" spans="1:9" x14ac:dyDescent="0.25">
      <c r="A4009">
        <v>20131121</v>
      </c>
      <c r="B4009" t="str">
        <f>"112870"</f>
        <v>112870</v>
      </c>
      <c r="C4009" t="str">
        <f>"25680"</f>
        <v>25680</v>
      </c>
      <c r="D4009" t="s">
        <v>818</v>
      </c>
      <c r="E4009">
        <v>85.5</v>
      </c>
      <c r="F4009">
        <v>20131121</v>
      </c>
      <c r="G4009" t="s">
        <v>819</v>
      </c>
      <c r="H4009" t="s">
        <v>820</v>
      </c>
      <c r="I4009" t="s">
        <v>63</v>
      </c>
    </row>
    <row r="4010" spans="1:9" x14ac:dyDescent="0.25">
      <c r="A4010">
        <v>20131121</v>
      </c>
      <c r="B4010" t="str">
        <f>"112870"</f>
        <v>112870</v>
      </c>
      <c r="C4010" t="str">
        <f>"25680"</f>
        <v>25680</v>
      </c>
      <c r="D4010" t="s">
        <v>818</v>
      </c>
      <c r="E4010">
        <v>744.75</v>
      </c>
      <c r="F4010">
        <v>20131121</v>
      </c>
      <c r="G4010" t="s">
        <v>819</v>
      </c>
      <c r="H4010" t="s">
        <v>820</v>
      </c>
      <c r="I4010" t="s">
        <v>63</v>
      </c>
    </row>
    <row r="4011" spans="1:9" x14ac:dyDescent="0.25">
      <c r="A4011">
        <v>20131121</v>
      </c>
      <c r="B4011" t="str">
        <f>"112871"</f>
        <v>112871</v>
      </c>
      <c r="C4011" t="str">
        <f>"26990"</f>
        <v>26990</v>
      </c>
      <c r="D4011" t="s">
        <v>548</v>
      </c>
      <c r="E4011">
        <v>80</v>
      </c>
      <c r="F4011">
        <v>20131118</v>
      </c>
      <c r="G4011" t="s">
        <v>364</v>
      </c>
      <c r="H4011" t="s">
        <v>1054</v>
      </c>
      <c r="I4011" t="s">
        <v>21</v>
      </c>
    </row>
    <row r="4012" spans="1:9" x14ac:dyDescent="0.25">
      <c r="A4012">
        <v>20131121</v>
      </c>
      <c r="B4012" t="str">
        <f>"112872"</f>
        <v>112872</v>
      </c>
      <c r="C4012" t="str">
        <f>"00088"</f>
        <v>00088</v>
      </c>
      <c r="D4012" t="s">
        <v>2350</v>
      </c>
      <c r="E4012">
        <v>200</v>
      </c>
      <c r="F4012">
        <v>20131115</v>
      </c>
      <c r="G4012" t="s">
        <v>347</v>
      </c>
      <c r="H4012" t="s">
        <v>1360</v>
      </c>
      <c r="I4012" t="s">
        <v>61</v>
      </c>
    </row>
    <row r="4013" spans="1:9" x14ac:dyDescent="0.25">
      <c r="A4013">
        <v>20131121</v>
      </c>
      <c r="B4013" t="str">
        <f>"112873"</f>
        <v>112873</v>
      </c>
      <c r="C4013" t="str">
        <f>"84581"</f>
        <v>84581</v>
      </c>
      <c r="D4013" t="s">
        <v>2351</v>
      </c>
      <c r="E4013">
        <v>79.5</v>
      </c>
      <c r="F4013">
        <v>20131120</v>
      </c>
      <c r="G4013" t="s">
        <v>581</v>
      </c>
      <c r="H4013" t="s">
        <v>2352</v>
      </c>
      <c r="I4013" t="s">
        <v>21</v>
      </c>
    </row>
    <row r="4014" spans="1:9" x14ac:dyDescent="0.25">
      <c r="A4014">
        <v>20131121</v>
      </c>
      <c r="B4014" t="str">
        <f>"112874"</f>
        <v>112874</v>
      </c>
      <c r="C4014" t="str">
        <f>"84866"</f>
        <v>84866</v>
      </c>
      <c r="D4014" t="s">
        <v>1060</v>
      </c>
      <c r="E4014">
        <v>160.79</v>
      </c>
      <c r="F4014">
        <v>20131120</v>
      </c>
      <c r="G4014" t="s">
        <v>171</v>
      </c>
      <c r="H4014" t="s">
        <v>1741</v>
      </c>
      <c r="I4014" t="s">
        <v>38</v>
      </c>
    </row>
    <row r="4015" spans="1:9" x14ac:dyDescent="0.25">
      <c r="A4015">
        <v>20131121</v>
      </c>
      <c r="B4015" t="str">
        <f>"112875"</f>
        <v>112875</v>
      </c>
      <c r="C4015" t="str">
        <f>"00695"</f>
        <v>00695</v>
      </c>
      <c r="D4015" t="s">
        <v>2353</v>
      </c>
      <c r="E4015">
        <v>572</v>
      </c>
      <c r="F4015">
        <v>20131120</v>
      </c>
      <c r="G4015" t="s">
        <v>2354</v>
      </c>
      <c r="H4015" t="s">
        <v>1360</v>
      </c>
      <c r="I4015" t="s">
        <v>21</v>
      </c>
    </row>
    <row r="4016" spans="1:9" x14ac:dyDescent="0.25">
      <c r="A4016">
        <v>20131121</v>
      </c>
      <c r="B4016" t="str">
        <f>"112876"</f>
        <v>112876</v>
      </c>
      <c r="C4016" t="str">
        <f>"29235"</f>
        <v>29235</v>
      </c>
      <c r="D4016" t="s">
        <v>2355</v>
      </c>
      <c r="E4016" s="1">
        <v>5380</v>
      </c>
      <c r="F4016">
        <v>20131118</v>
      </c>
      <c r="G4016" t="s">
        <v>99</v>
      </c>
      <c r="H4016" t="s">
        <v>2356</v>
      </c>
      <c r="I4016" t="s">
        <v>21</v>
      </c>
    </row>
    <row r="4017" spans="1:9" x14ac:dyDescent="0.25">
      <c r="A4017">
        <v>20131121</v>
      </c>
      <c r="B4017" t="str">
        <f>"112877"</f>
        <v>112877</v>
      </c>
      <c r="C4017" t="str">
        <f>"30000"</f>
        <v>30000</v>
      </c>
      <c r="D4017" t="s">
        <v>556</v>
      </c>
      <c r="E4017">
        <v>601.63</v>
      </c>
      <c r="F4017">
        <v>20131118</v>
      </c>
      <c r="G4017" t="s">
        <v>579</v>
      </c>
      <c r="H4017" t="s">
        <v>2357</v>
      </c>
      <c r="I4017" t="s">
        <v>21</v>
      </c>
    </row>
    <row r="4018" spans="1:9" x14ac:dyDescent="0.25">
      <c r="A4018">
        <v>20131121</v>
      </c>
      <c r="B4018" t="str">
        <f>"112877"</f>
        <v>112877</v>
      </c>
      <c r="C4018" t="str">
        <f>"30000"</f>
        <v>30000</v>
      </c>
      <c r="D4018" t="s">
        <v>556</v>
      </c>
      <c r="E4018">
        <v>136</v>
      </c>
      <c r="F4018">
        <v>20131120</v>
      </c>
      <c r="G4018" t="s">
        <v>2358</v>
      </c>
      <c r="H4018" t="s">
        <v>2359</v>
      </c>
      <c r="I4018" t="s">
        <v>21</v>
      </c>
    </row>
    <row r="4019" spans="1:9" x14ac:dyDescent="0.25">
      <c r="A4019">
        <v>20131121</v>
      </c>
      <c r="B4019" t="str">
        <f>"112877"</f>
        <v>112877</v>
      </c>
      <c r="C4019" t="str">
        <f>"30000"</f>
        <v>30000</v>
      </c>
      <c r="D4019" t="s">
        <v>556</v>
      </c>
      <c r="E4019">
        <v>49.49</v>
      </c>
      <c r="F4019">
        <v>20131118</v>
      </c>
      <c r="G4019" t="s">
        <v>840</v>
      </c>
      <c r="I4019" t="s">
        <v>21</v>
      </c>
    </row>
    <row r="4020" spans="1:9" x14ac:dyDescent="0.25">
      <c r="A4020">
        <v>20131121</v>
      </c>
      <c r="B4020" t="str">
        <f>"112878"</f>
        <v>112878</v>
      </c>
      <c r="C4020" t="str">
        <f>"87631"</f>
        <v>87631</v>
      </c>
      <c r="D4020" t="s">
        <v>2360</v>
      </c>
      <c r="E4020">
        <v>118.96</v>
      </c>
      <c r="F4020">
        <v>20131121</v>
      </c>
      <c r="G4020" t="s">
        <v>1846</v>
      </c>
      <c r="H4020" t="s">
        <v>765</v>
      </c>
      <c r="I4020" t="s">
        <v>63</v>
      </c>
    </row>
    <row r="4021" spans="1:9" x14ac:dyDescent="0.25">
      <c r="A4021">
        <v>20131121</v>
      </c>
      <c r="B4021" t="str">
        <f>"112879"</f>
        <v>112879</v>
      </c>
      <c r="C4021" t="str">
        <f>"30004"</f>
        <v>30004</v>
      </c>
      <c r="D4021" t="s">
        <v>2361</v>
      </c>
      <c r="E4021">
        <v>674.4</v>
      </c>
      <c r="F4021">
        <v>20131118</v>
      </c>
      <c r="G4021" t="s">
        <v>1605</v>
      </c>
      <c r="H4021" t="s">
        <v>2362</v>
      </c>
      <c r="I4021" t="s">
        <v>21</v>
      </c>
    </row>
    <row r="4022" spans="1:9" x14ac:dyDescent="0.25">
      <c r="A4022">
        <v>20131121</v>
      </c>
      <c r="B4022" t="str">
        <f>"112880"</f>
        <v>112880</v>
      </c>
      <c r="C4022" t="str">
        <f>"86479"</f>
        <v>86479</v>
      </c>
      <c r="D4022" t="s">
        <v>849</v>
      </c>
      <c r="E4022">
        <v>75.430000000000007</v>
      </c>
      <c r="F4022">
        <v>20131118</v>
      </c>
      <c r="G4022" t="s">
        <v>1003</v>
      </c>
      <c r="H4022" t="s">
        <v>765</v>
      </c>
      <c r="I4022" t="s">
        <v>61</v>
      </c>
    </row>
    <row r="4023" spans="1:9" x14ac:dyDescent="0.25">
      <c r="A4023">
        <v>20131121</v>
      </c>
      <c r="B4023" t="str">
        <f>"112881"</f>
        <v>112881</v>
      </c>
      <c r="C4023" t="str">
        <f>"87621"</f>
        <v>87621</v>
      </c>
      <c r="D4023" t="s">
        <v>2363</v>
      </c>
      <c r="E4023">
        <v>80</v>
      </c>
      <c r="F4023">
        <v>20131120</v>
      </c>
      <c r="G4023" t="s">
        <v>289</v>
      </c>
      <c r="H4023" t="s">
        <v>133</v>
      </c>
      <c r="I4023" t="s">
        <v>38</v>
      </c>
    </row>
    <row r="4024" spans="1:9" x14ac:dyDescent="0.25">
      <c r="A4024">
        <v>20131121</v>
      </c>
      <c r="B4024" t="str">
        <f>"112882"</f>
        <v>112882</v>
      </c>
      <c r="C4024" t="str">
        <f>"81038"</f>
        <v>81038</v>
      </c>
      <c r="D4024" t="s">
        <v>2364</v>
      </c>
      <c r="E4024">
        <v>50</v>
      </c>
      <c r="F4024">
        <v>20131120</v>
      </c>
      <c r="G4024" t="s">
        <v>2365</v>
      </c>
      <c r="H4024" t="s">
        <v>2366</v>
      </c>
      <c r="I4024" t="s">
        <v>25</v>
      </c>
    </row>
    <row r="4025" spans="1:9" x14ac:dyDescent="0.25">
      <c r="A4025">
        <v>20131121</v>
      </c>
      <c r="B4025" t="str">
        <f>"112883"</f>
        <v>112883</v>
      </c>
      <c r="C4025" t="str">
        <f>"87590"</f>
        <v>87590</v>
      </c>
      <c r="D4025" t="s">
        <v>1957</v>
      </c>
      <c r="E4025" s="1">
        <v>5832.74</v>
      </c>
      <c r="F4025">
        <v>20131118</v>
      </c>
      <c r="G4025" t="s">
        <v>1272</v>
      </c>
      <c r="H4025" t="s">
        <v>2367</v>
      </c>
      <c r="I4025" t="s">
        <v>21</v>
      </c>
    </row>
    <row r="4026" spans="1:9" x14ac:dyDescent="0.25">
      <c r="A4026">
        <v>20131121</v>
      </c>
      <c r="B4026" t="str">
        <f>"112884"</f>
        <v>112884</v>
      </c>
      <c r="C4026" t="str">
        <f>"32725"</f>
        <v>32725</v>
      </c>
      <c r="D4026" t="s">
        <v>2368</v>
      </c>
      <c r="E4026" s="1">
        <v>2371.3000000000002</v>
      </c>
      <c r="F4026">
        <v>20131120</v>
      </c>
      <c r="G4026" t="s">
        <v>157</v>
      </c>
      <c r="H4026" t="s">
        <v>553</v>
      </c>
      <c r="I4026" t="s">
        <v>25</v>
      </c>
    </row>
    <row r="4027" spans="1:9" x14ac:dyDescent="0.25">
      <c r="A4027">
        <v>20131121</v>
      </c>
      <c r="B4027" t="str">
        <f>"112885"</f>
        <v>112885</v>
      </c>
      <c r="C4027" t="str">
        <f>"84980"</f>
        <v>84980</v>
      </c>
      <c r="D4027" t="s">
        <v>591</v>
      </c>
      <c r="E4027">
        <v>567</v>
      </c>
      <c r="F4027">
        <v>20131121</v>
      </c>
      <c r="G4027" t="s">
        <v>819</v>
      </c>
      <c r="H4027" t="s">
        <v>2369</v>
      </c>
      <c r="I4027" t="s">
        <v>63</v>
      </c>
    </row>
    <row r="4028" spans="1:9" x14ac:dyDescent="0.25">
      <c r="A4028">
        <v>20131121</v>
      </c>
      <c r="B4028" t="str">
        <f>"112886"</f>
        <v>112886</v>
      </c>
      <c r="C4028" t="str">
        <f>"33590"</f>
        <v>33590</v>
      </c>
      <c r="D4028" t="s">
        <v>1754</v>
      </c>
      <c r="E4028">
        <v>121.83</v>
      </c>
      <c r="F4028">
        <v>20131120</v>
      </c>
      <c r="G4028" t="s">
        <v>2211</v>
      </c>
      <c r="H4028" t="s">
        <v>921</v>
      </c>
      <c r="I4028" t="s">
        <v>2212</v>
      </c>
    </row>
    <row r="4029" spans="1:9" x14ac:dyDescent="0.25">
      <c r="A4029">
        <v>20131121</v>
      </c>
      <c r="B4029" t="str">
        <f>"112886"</f>
        <v>112886</v>
      </c>
      <c r="C4029" t="str">
        <f>"33590"</f>
        <v>33590</v>
      </c>
      <c r="D4029" t="s">
        <v>1754</v>
      </c>
      <c r="E4029">
        <v>-121.83</v>
      </c>
      <c r="F4029">
        <v>20131209</v>
      </c>
      <c r="G4029" t="s">
        <v>2211</v>
      </c>
      <c r="H4029" t="s">
        <v>2370</v>
      </c>
      <c r="I4029" t="s">
        <v>2212</v>
      </c>
    </row>
    <row r="4030" spans="1:9" x14ac:dyDescent="0.25">
      <c r="A4030">
        <v>20131121</v>
      </c>
      <c r="B4030" t="str">
        <f>"112887"</f>
        <v>112887</v>
      </c>
      <c r="C4030" t="str">
        <f>"86978"</f>
        <v>86978</v>
      </c>
      <c r="D4030" t="s">
        <v>1092</v>
      </c>
      <c r="E4030">
        <v>80</v>
      </c>
      <c r="F4030">
        <v>20131118</v>
      </c>
      <c r="G4030" t="s">
        <v>764</v>
      </c>
      <c r="H4030" t="s">
        <v>765</v>
      </c>
      <c r="I4030" t="s">
        <v>61</v>
      </c>
    </row>
    <row r="4031" spans="1:9" x14ac:dyDescent="0.25">
      <c r="A4031">
        <v>20131121</v>
      </c>
      <c r="B4031" t="str">
        <f>"112888"</f>
        <v>112888</v>
      </c>
      <c r="C4031" t="str">
        <f>"87615"</f>
        <v>87615</v>
      </c>
      <c r="D4031" t="s">
        <v>2371</v>
      </c>
      <c r="E4031">
        <v>150</v>
      </c>
      <c r="F4031">
        <v>20131115</v>
      </c>
      <c r="G4031" t="s">
        <v>1049</v>
      </c>
      <c r="H4031" t="s">
        <v>2372</v>
      </c>
      <c r="I4031" t="s">
        <v>21</v>
      </c>
    </row>
    <row r="4032" spans="1:9" x14ac:dyDescent="0.25">
      <c r="A4032">
        <v>20131121</v>
      </c>
      <c r="B4032" t="str">
        <f>"112889"</f>
        <v>112889</v>
      </c>
      <c r="C4032" t="str">
        <f>"86683"</f>
        <v>86683</v>
      </c>
      <c r="D4032" t="s">
        <v>1249</v>
      </c>
      <c r="E4032">
        <v>300.35000000000002</v>
      </c>
      <c r="F4032">
        <v>20131115</v>
      </c>
      <c r="G4032" t="s">
        <v>1250</v>
      </c>
      <c r="H4032" t="s">
        <v>365</v>
      </c>
      <c r="I4032" t="s">
        <v>66</v>
      </c>
    </row>
    <row r="4033" spans="1:9" x14ac:dyDescent="0.25">
      <c r="A4033">
        <v>20131121</v>
      </c>
      <c r="B4033" t="str">
        <f>"112890"</f>
        <v>112890</v>
      </c>
      <c r="C4033" t="str">
        <f>"87627"</f>
        <v>87627</v>
      </c>
      <c r="D4033" t="s">
        <v>2373</v>
      </c>
      <c r="E4033">
        <v>112.16</v>
      </c>
      <c r="F4033">
        <v>20131121</v>
      </c>
      <c r="G4033" t="s">
        <v>1846</v>
      </c>
      <c r="H4033" t="s">
        <v>765</v>
      </c>
      <c r="I4033" t="s">
        <v>63</v>
      </c>
    </row>
    <row r="4034" spans="1:9" x14ac:dyDescent="0.25">
      <c r="A4034">
        <v>20131121</v>
      </c>
      <c r="B4034" t="str">
        <f>"112891"</f>
        <v>112891</v>
      </c>
      <c r="C4034" t="str">
        <f>"87182"</f>
        <v>87182</v>
      </c>
      <c r="D4034" t="s">
        <v>1251</v>
      </c>
      <c r="E4034">
        <v>934.43</v>
      </c>
      <c r="F4034">
        <v>20131120</v>
      </c>
      <c r="G4034" t="s">
        <v>910</v>
      </c>
      <c r="H4034" t="s">
        <v>354</v>
      </c>
      <c r="I4034" t="s">
        <v>25</v>
      </c>
    </row>
    <row r="4035" spans="1:9" x14ac:dyDescent="0.25">
      <c r="A4035">
        <v>20131121</v>
      </c>
      <c r="B4035" t="str">
        <f>"112892"</f>
        <v>112892</v>
      </c>
      <c r="C4035" t="str">
        <f>"86395"</f>
        <v>86395</v>
      </c>
      <c r="D4035" t="s">
        <v>2205</v>
      </c>
      <c r="E4035">
        <v>111.83</v>
      </c>
      <c r="F4035">
        <v>20131121</v>
      </c>
      <c r="G4035" t="s">
        <v>910</v>
      </c>
      <c r="H4035" t="s">
        <v>2374</v>
      </c>
      <c r="I4035" t="s">
        <v>25</v>
      </c>
    </row>
    <row r="4036" spans="1:9" x14ac:dyDescent="0.25">
      <c r="A4036">
        <v>20131121</v>
      </c>
      <c r="B4036" t="str">
        <f>"112893"</f>
        <v>112893</v>
      </c>
      <c r="C4036" t="str">
        <f>"00198"</f>
        <v>00198</v>
      </c>
      <c r="D4036" t="s">
        <v>605</v>
      </c>
      <c r="E4036" s="1">
        <v>2804.22</v>
      </c>
      <c r="F4036">
        <v>20131118</v>
      </c>
      <c r="G4036" t="s">
        <v>830</v>
      </c>
      <c r="H4036" t="s">
        <v>2375</v>
      </c>
      <c r="I4036" t="s">
        <v>21</v>
      </c>
    </row>
    <row r="4037" spans="1:9" x14ac:dyDescent="0.25">
      <c r="A4037">
        <v>20131121</v>
      </c>
      <c r="B4037" t="str">
        <f>"112893"</f>
        <v>112893</v>
      </c>
      <c r="C4037" t="str">
        <f>"00198"</f>
        <v>00198</v>
      </c>
      <c r="D4037" t="s">
        <v>605</v>
      </c>
      <c r="E4037" s="1">
        <v>8619.4500000000007</v>
      </c>
      <c r="F4037">
        <v>20131120</v>
      </c>
      <c r="G4037" t="s">
        <v>606</v>
      </c>
      <c r="H4037" t="s">
        <v>2376</v>
      </c>
      <c r="I4037" t="s">
        <v>608</v>
      </c>
    </row>
    <row r="4038" spans="1:9" x14ac:dyDescent="0.25">
      <c r="A4038">
        <v>20131121</v>
      </c>
      <c r="B4038" t="str">
        <f>"112894"</f>
        <v>112894</v>
      </c>
      <c r="C4038" t="str">
        <f>"82134"</f>
        <v>82134</v>
      </c>
      <c r="D4038" t="s">
        <v>2377</v>
      </c>
      <c r="E4038">
        <v>457</v>
      </c>
      <c r="F4038">
        <v>20131120</v>
      </c>
      <c r="G4038" t="s">
        <v>327</v>
      </c>
      <c r="H4038" t="s">
        <v>1360</v>
      </c>
      <c r="I4038" t="s">
        <v>25</v>
      </c>
    </row>
    <row r="4039" spans="1:9" x14ac:dyDescent="0.25">
      <c r="A4039">
        <v>20131121</v>
      </c>
      <c r="B4039" t="str">
        <f>"112895"</f>
        <v>112895</v>
      </c>
      <c r="C4039" t="str">
        <f>"37565"</f>
        <v>37565</v>
      </c>
      <c r="D4039" t="s">
        <v>609</v>
      </c>
      <c r="E4039">
        <v>4.46</v>
      </c>
      <c r="F4039">
        <v>20131119</v>
      </c>
      <c r="G4039" t="s">
        <v>498</v>
      </c>
      <c r="H4039" t="s">
        <v>414</v>
      </c>
      <c r="I4039" t="s">
        <v>21</v>
      </c>
    </row>
    <row r="4040" spans="1:9" x14ac:dyDescent="0.25">
      <c r="A4040">
        <v>20131121</v>
      </c>
      <c r="B4040" t="str">
        <f>"112895"</f>
        <v>112895</v>
      </c>
      <c r="C4040" t="str">
        <f>"37565"</f>
        <v>37565</v>
      </c>
      <c r="D4040" t="s">
        <v>609</v>
      </c>
      <c r="E4040">
        <v>23.95</v>
      </c>
      <c r="F4040">
        <v>20131115</v>
      </c>
      <c r="G4040" t="s">
        <v>496</v>
      </c>
      <c r="H4040" t="s">
        <v>414</v>
      </c>
      <c r="I4040" t="s">
        <v>21</v>
      </c>
    </row>
    <row r="4041" spans="1:9" x14ac:dyDescent="0.25">
      <c r="A4041">
        <v>20131121</v>
      </c>
      <c r="B4041" t="str">
        <f>"112896"</f>
        <v>112896</v>
      </c>
      <c r="C4041" t="str">
        <f>"87173"</f>
        <v>87173</v>
      </c>
      <c r="D4041" t="s">
        <v>2378</v>
      </c>
      <c r="E4041">
        <v>120</v>
      </c>
      <c r="F4041">
        <v>20131119</v>
      </c>
      <c r="G4041" t="s">
        <v>2324</v>
      </c>
      <c r="H4041" t="s">
        <v>765</v>
      </c>
      <c r="I4041" t="s">
        <v>61</v>
      </c>
    </row>
    <row r="4042" spans="1:9" x14ac:dyDescent="0.25">
      <c r="A4042">
        <v>20131121</v>
      </c>
      <c r="B4042" t="str">
        <f>"112897"</f>
        <v>112897</v>
      </c>
      <c r="C4042" t="str">
        <f>"85938"</f>
        <v>85938</v>
      </c>
      <c r="D4042" t="s">
        <v>2379</v>
      </c>
      <c r="E4042">
        <v>125.2</v>
      </c>
      <c r="F4042">
        <v>20131118</v>
      </c>
      <c r="G4042" t="s">
        <v>764</v>
      </c>
      <c r="H4042" t="s">
        <v>765</v>
      </c>
      <c r="I4042" t="s">
        <v>61</v>
      </c>
    </row>
    <row r="4043" spans="1:9" x14ac:dyDescent="0.25">
      <c r="A4043">
        <v>20131121</v>
      </c>
      <c r="B4043" t="str">
        <f>"112898"</f>
        <v>112898</v>
      </c>
      <c r="C4043" t="str">
        <f>"40379"</f>
        <v>40379</v>
      </c>
      <c r="D4043" t="s">
        <v>2380</v>
      </c>
      <c r="E4043">
        <v>63.83</v>
      </c>
      <c r="F4043">
        <v>20131115</v>
      </c>
      <c r="G4043" t="s">
        <v>581</v>
      </c>
      <c r="H4043" t="s">
        <v>2381</v>
      </c>
      <c r="I4043" t="s">
        <v>21</v>
      </c>
    </row>
    <row r="4044" spans="1:9" x14ac:dyDescent="0.25">
      <c r="A4044">
        <v>20131121</v>
      </c>
      <c r="B4044" t="str">
        <f>"112899"</f>
        <v>112899</v>
      </c>
      <c r="C4044" t="str">
        <f>"82937"</f>
        <v>82937</v>
      </c>
      <c r="D4044" t="s">
        <v>2382</v>
      </c>
      <c r="E4044">
        <v>156.72</v>
      </c>
      <c r="F4044">
        <v>20131115</v>
      </c>
      <c r="G4044" t="s">
        <v>817</v>
      </c>
      <c r="H4044" t="s">
        <v>365</v>
      </c>
      <c r="I4044" t="s">
        <v>66</v>
      </c>
    </row>
    <row r="4045" spans="1:9" x14ac:dyDescent="0.25">
      <c r="A4045">
        <v>20131121</v>
      </c>
      <c r="B4045" t="str">
        <f>"112900"</f>
        <v>112900</v>
      </c>
      <c r="C4045" t="str">
        <f>"87354"</f>
        <v>87354</v>
      </c>
      <c r="D4045" t="s">
        <v>2224</v>
      </c>
      <c r="E4045">
        <v>150</v>
      </c>
      <c r="F4045">
        <v>20131120</v>
      </c>
      <c r="G4045" t="s">
        <v>840</v>
      </c>
      <c r="H4045" t="s">
        <v>2383</v>
      </c>
      <c r="I4045" t="s">
        <v>21</v>
      </c>
    </row>
    <row r="4046" spans="1:9" x14ac:dyDescent="0.25">
      <c r="A4046">
        <v>20131121</v>
      </c>
      <c r="B4046" t="str">
        <f>"112901"</f>
        <v>112901</v>
      </c>
      <c r="C4046" t="str">
        <f>"84161"</f>
        <v>84161</v>
      </c>
      <c r="D4046" t="s">
        <v>1767</v>
      </c>
      <c r="E4046">
        <v>55.44</v>
      </c>
      <c r="F4046">
        <v>20131115</v>
      </c>
      <c r="G4046" t="s">
        <v>810</v>
      </c>
      <c r="H4046" t="s">
        <v>365</v>
      </c>
      <c r="I4046" t="s">
        <v>66</v>
      </c>
    </row>
    <row r="4047" spans="1:9" x14ac:dyDescent="0.25">
      <c r="A4047">
        <v>20131121</v>
      </c>
      <c r="B4047" t="str">
        <f>"112902"</f>
        <v>112902</v>
      </c>
      <c r="C4047" t="str">
        <f>"84876"</f>
        <v>84876</v>
      </c>
      <c r="D4047" t="s">
        <v>1259</v>
      </c>
      <c r="E4047" s="1">
        <v>2248.39</v>
      </c>
      <c r="F4047">
        <v>20131118</v>
      </c>
      <c r="G4047" t="s">
        <v>1064</v>
      </c>
      <c r="H4047" t="s">
        <v>2384</v>
      </c>
      <c r="I4047" t="s">
        <v>21</v>
      </c>
    </row>
    <row r="4048" spans="1:9" x14ac:dyDescent="0.25">
      <c r="A4048">
        <v>20131121</v>
      </c>
      <c r="B4048" t="str">
        <f>"112903"</f>
        <v>112903</v>
      </c>
      <c r="C4048" t="str">
        <f>"87567"</f>
        <v>87567</v>
      </c>
      <c r="D4048" t="s">
        <v>1768</v>
      </c>
      <c r="E4048" s="1">
        <v>1417.38</v>
      </c>
      <c r="F4048">
        <v>20131119</v>
      </c>
      <c r="G4048" t="s">
        <v>340</v>
      </c>
      <c r="H4048" t="s">
        <v>656</v>
      </c>
      <c r="I4048" t="s">
        <v>21</v>
      </c>
    </row>
    <row r="4049" spans="1:9" x14ac:dyDescent="0.25">
      <c r="A4049">
        <v>20131121</v>
      </c>
      <c r="B4049" t="str">
        <f>"112904"</f>
        <v>112904</v>
      </c>
      <c r="C4049" t="str">
        <f>"45760"</f>
        <v>45760</v>
      </c>
      <c r="D4049" t="s">
        <v>895</v>
      </c>
      <c r="E4049">
        <v>80</v>
      </c>
      <c r="F4049">
        <v>20131118</v>
      </c>
      <c r="G4049" t="s">
        <v>764</v>
      </c>
      <c r="H4049" t="s">
        <v>765</v>
      </c>
      <c r="I4049" t="s">
        <v>61</v>
      </c>
    </row>
    <row r="4050" spans="1:9" x14ac:dyDescent="0.25">
      <c r="A4050">
        <v>20131121</v>
      </c>
      <c r="B4050" t="str">
        <f>"112905"</f>
        <v>112905</v>
      </c>
      <c r="C4050" t="str">
        <f>"81788"</f>
        <v>81788</v>
      </c>
      <c r="D4050" t="s">
        <v>1104</v>
      </c>
      <c r="E4050" s="1">
        <v>8253.5300000000007</v>
      </c>
      <c r="F4050">
        <v>20131120</v>
      </c>
      <c r="G4050" t="s">
        <v>830</v>
      </c>
      <c r="H4050" t="s">
        <v>2385</v>
      </c>
      <c r="I4050" t="s">
        <v>21</v>
      </c>
    </row>
    <row r="4051" spans="1:9" x14ac:dyDescent="0.25">
      <c r="A4051">
        <v>20131121</v>
      </c>
      <c r="B4051" t="str">
        <f>"112906"</f>
        <v>112906</v>
      </c>
      <c r="C4051" t="str">
        <f>"48820"</f>
        <v>48820</v>
      </c>
      <c r="D4051" t="s">
        <v>1106</v>
      </c>
      <c r="E4051">
        <v>43.01</v>
      </c>
      <c r="F4051">
        <v>20131115</v>
      </c>
      <c r="G4051" t="s">
        <v>1020</v>
      </c>
      <c r="H4051" t="s">
        <v>354</v>
      </c>
      <c r="I4051" t="s">
        <v>21</v>
      </c>
    </row>
    <row r="4052" spans="1:9" x14ac:dyDescent="0.25">
      <c r="A4052">
        <v>20131121</v>
      </c>
      <c r="B4052" t="str">
        <f>"112906"</f>
        <v>112906</v>
      </c>
      <c r="C4052" t="str">
        <f>"48820"</f>
        <v>48820</v>
      </c>
      <c r="D4052" t="s">
        <v>1106</v>
      </c>
      <c r="E4052">
        <v>519.99</v>
      </c>
      <c r="F4052">
        <v>20131115</v>
      </c>
      <c r="G4052" t="s">
        <v>1020</v>
      </c>
      <c r="H4052" t="s">
        <v>354</v>
      </c>
      <c r="I4052" t="s">
        <v>21</v>
      </c>
    </row>
    <row r="4053" spans="1:9" x14ac:dyDescent="0.25">
      <c r="A4053">
        <v>20131121</v>
      </c>
      <c r="B4053" t="str">
        <f>"112906"</f>
        <v>112906</v>
      </c>
      <c r="C4053" t="str">
        <f>"48820"</f>
        <v>48820</v>
      </c>
      <c r="D4053" t="s">
        <v>1106</v>
      </c>
      <c r="E4053">
        <v>112.6</v>
      </c>
      <c r="F4053">
        <v>20131120</v>
      </c>
      <c r="G4053" t="s">
        <v>209</v>
      </c>
      <c r="H4053" t="s">
        <v>354</v>
      </c>
      <c r="I4053" t="s">
        <v>25</v>
      </c>
    </row>
    <row r="4054" spans="1:9" x14ac:dyDescent="0.25">
      <c r="A4054">
        <v>20131121</v>
      </c>
      <c r="B4054" t="str">
        <f>"112907"</f>
        <v>112907</v>
      </c>
      <c r="C4054" t="str">
        <f>"85998"</f>
        <v>85998</v>
      </c>
      <c r="D4054" t="s">
        <v>906</v>
      </c>
      <c r="E4054">
        <v>89.43</v>
      </c>
      <c r="F4054">
        <v>20131118</v>
      </c>
      <c r="G4054" t="s">
        <v>1003</v>
      </c>
      <c r="H4054" t="s">
        <v>765</v>
      </c>
      <c r="I4054" t="s">
        <v>61</v>
      </c>
    </row>
    <row r="4055" spans="1:9" x14ac:dyDescent="0.25">
      <c r="A4055">
        <v>20131121</v>
      </c>
      <c r="B4055" t="str">
        <f>"112908"</f>
        <v>112908</v>
      </c>
      <c r="C4055" t="str">
        <f>"87404"</f>
        <v>87404</v>
      </c>
      <c r="D4055" t="s">
        <v>1108</v>
      </c>
      <c r="E4055">
        <v>32.72</v>
      </c>
      <c r="F4055">
        <v>20131119</v>
      </c>
      <c r="G4055" t="s">
        <v>426</v>
      </c>
      <c r="H4055" t="s">
        <v>968</v>
      </c>
      <c r="I4055" t="s">
        <v>21</v>
      </c>
    </row>
    <row r="4056" spans="1:9" x14ac:dyDescent="0.25">
      <c r="A4056">
        <v>20131121</v>
      </c>
      <c r="B4056" t="str">
        <f>"112909"</f>
        <v>112909</v>
      </c>
      <c r="C4056" t="str">
        <f>"87044"</f>
        <v>87044</v>
      </c>
      <c r="D4056" t="s">
        <v>2386</v>
      </c>
      <c r="E4056">
        <v>95</v>
      </c>
      <c r="F4056">
        <v>20131120</v>
      </c>
      <c r="G4056" t="s">
        <v>580</v>
      </c>
      <c r="H4056" t="s">
        <v>2387</v>
      </c>
      <c r="I4056" t="s">
        <v>21</v>
      </c>
    </row>
    <row r="4057" spans="1:9" x14ac:dyDescent="0.25">
      <c r="A4057">
        <v>20131121</v>
      </c>
      <c r="B4057" t="str">
        <f>"112910"</f>
        <v>112910</v>
      </c>
      <c r="C4057" t="str">
        <f>"49555"</f>
        <v>49555</v>
      </c>
      <c r="D4057" t="s">
        <v>2388</v>
      </c>
      <c r="E4057">
        <v>278.18</v>
      </c>
      <c r="F4057">
        <v>20131118</v>
      </c>
      <c r="G4057" t="s">
        <v>879</v>
      </c>
      <c r="H4057" t="s">
        <v>2389</v>
      </c>
      <c r="I4057" t="s">
        <v>21</v>
      </c>
    </row>
    <row r="4058" spans="1:9" x14ac:dyDescent="0.25">
      <c r="A4058">
        <v>20131121</v>
      </c>
      <c r="B4058" t="str">
        <f>"112911"</f>
        <v>112911</v>
      </c>
      <c r="C4058" t="str">
        <f>"85760"</f>
        <v>85760</v>
      </c>
      <c r="D4058" t="s">
        <v>1485</v>
      </c>
      <c r="E4058">
        <v>30.48</v>
      </c>
      <c r="F4058">
        <v>20131120</v>
      </c>
      <c r="G4058" t="s">
        <v>627</v>
      </c>
      <c r="H4058" t="s">
        <v>414</v>
      </c>
      <c r="I4058" t="s">
        <v>21</v>
      </c>
    </row>
    <row r="4059" spans="1:9" x14ac:dyDescent="0.25">
      <c r="A4059">
        <v>20131121</v>
      </c>
      <c r="B4059" t="str">
        <f>"112911"</f>
        <v>112911</v>
      </c>
      <c r="C4059" t="str">
        <f>"85760"</f>
        <v>85760</v>
      </c>
      <c r="D4059" t="s">
        <v>1485</v>
      </c>
      <c r="E4059">
        <v>27.2</v>
      </c>
      <c r="F4059">
        <v>20131115</v>
      </c>
      <c r="G4059" t="s">
        <v>1486</v>
      </c>
      <c r="H4059" t="s">
        <v>414</v>
      </c>
      <c r="I4059" t="s">
        <v>38</v>
      </c>
    </row>
    <row r="4060" spans="1:9" x14ac:dyDescent="0.25">
      <c r="A4060">
        <v>20131121</v>
      </c>
      <c r="B4060" t="str">
        <f>"112911"</f>
        <v>112911</v>
      </c>
      <c r="C4060" t="str">
        <f>"85760"</f>
        <v>85760</v>
      </c>
      <c r="D4060" t="s">
        <v>1485</v>
      </c>
      <c r="E4060">
        <v>23.1</v>
      </c>
      <c r="F4060">
        <v>20131115</v>
      </c>
      <c r="G4060" t="s">
        <v>1486</v>
      </c>
      <c r="H4060" t="s">
        <v>414</v>
      </c>
      <c r="I4060" t="s">
        <v>38</v>
      </c>
    </row>
    <row r="4061" spans="1:9" x14ac:dyDescent="0.25">
      <c r="A4061">
        <v>20131121</v>
      </c>
      <c r="B4061" t="str">
        <f>"112912"</f>
        <v>112912</v>
      </c>
      <c r="C4061" t="str">
        <f>"82625"</f>
        <v>82625</v>
      </c>
      <c r="D4061" t="s">
        <v>649</v>
      </c>
      <c r="E4061">
        <v>395.38</v>
      </c>
      <c r="F4061">
        <v>20131118</v>
      </c>
      <c r="G4061" t="s">
        <v>2390</v>
      </c>
      <c r="H4061" t="s">
        <v>2391</v>
      </c>
      <c r="I4061" t="s">
        <v>21</v>
      </c>
    </row>
    <row r="4062" spans="1:9" x14ac:dyDescent="0.25">
      <c r="A4062">
        <v>20131121</v>
      </c>
      <c r="B4062" t="str">
        <f>"112913"</f>
        <v>112913</v>
      </c>
      <c r="C4062" t="str">
        <f>"55625"</f>
        <v>55625</v>
      </c>
      <c r="D4062" t="s">
        <v>1639</v>
      </c>
      <c r="E4062">
        <v>64.98</v>
      </c>
      <c r="F4062">
        <v>20131115</v>
      </c>
      <c r="G4062" t="s">
        <v>1640</v>
      </c>
      <c r="H4062" t="s">
        <v>1788</v>
      </c>
      <c r="I4062" t="s">
        <v>21</v>
      </c>
    </row>
    <row r="4063" spans="1:9" x14ac:dyDescent="0.25">
      <c r="A4063">
        <v>20131121</v>
      </c>
      <c r="B4063" t="str">
        <f>"112914"</f>
        <v>112914</v>
      </c>
      <c r="C4063" t="str">
        <f>"57046"</f>
        <v>57046</v>
      </c>
      <c r="D4063" t="s">
        <v>1789</v>
      </c>
      <c r="E4063">
        <v>990</v>
      </c>
      <c r="F4063">
        <v>20131115</v>
      </c>
      <c r="G4063" t="s">
        <v>545</v>
      </c>
      <c r="H4063" t="s">
        <v>2392</v>
      </c>
      <c r="I4063" t="s">
        <v>21</v>
      </c>
    </row>
    <row r="4064" spans="1:9" x14ac:dyDescent="0.25">
      <c r="A4064">
        <v>20131121</v>
      </c>
      <c r="B4064" t="str">
        <f>"112915"</f>
        <v>112915</v>
      </c>
      <c r="C4064" t="str">
        <f>"85114"</f>
        <v>85114</v>
      </c>
      <c r="D4064" t="s">
        <v>1497</v>
      </c>
      <c r="E4064">
        <v>450</v>
      </c>
      <c r="F4064">
        <v>20131115</v>
      </c>
      <c r="G4064" t="s">
        <v>356</v>
      </c>
      <c r="H4064" t="s">
        <v>357</v>
      </c>
      <c r="I4064" t="s">
        <v>61</v>
      </c>
    </row>
    <row r="4065" spans="1:9" x14ac:dyDescent="0.25">
      <c r="A4065">
        <v>20131121</v>
      </c>
      <c r="B4065" t="str">
        <f>"112916"</f>
        <v>112916</v>
      </c>
      <c r="C4065" t="str">
        <f>"59500"</f>
        <v>59500</v>
      </c>
      <c r="D4065" t="s">
        <v>670</v>
      </c>
      <c r="E4065">
        <v>100.08</v>
      </c>
      <c r="F4065">
        <v>20131120</v>
      </c>
      <c r="G4065" t="s">
        <v>581</v>
      </c>
      <c r="H4065" t="s">
        <v>2393</v>
      </c>
      <c r="I4065" t="s">
        <v>21</v>
      </c>
    </row>
    <row r="4066" spans="1:9" x14ac:dyDescent="0.25">
      <c r="A4066">
        <v>20131121</v>
      </c>
      <c r="B4066" t="str">
        <f>"112917"</f>
        <v>112917</v>
      </c>
      <c r="C4066" t="str">
        <f>"87630"</f>
        <v>87630</v>
      </c>
      <c r="D4066" t="s">
        <v>2394</v>
      </c>
      <c r="E4066">
        <v>154.74</v>
      </c>
      <c r="F4066">
        <v>20131121</v>
      </c>
      <c r="G4066" t="s">
        <v>1846</v>
      </c>
      <c r="H4066" t="s">
        <v>765</v>
      </c>
      <c r="I4066" t="s">
        <v>63</v>
      </c>
    </row>
    <row r="4067" spans="1:9" x14ac:dyDescent="0.25">
      <c r="A4067">
        <v>20131121</v>
      </c>
      <c r="B4067" t="str">
        <f>"112918"</f>
        <v>112918</v>
      </c>
      <c r="C4067" t="str">
        <f>"87027"</f>
        <v>87027</v>
      </c>
      <c r="D4067" t="s">
        <v>941</v>
      </c>
      <c r="E4067">
        <v>100.85</v>
      </c>
      <c r="F4067">
        <v>20131118</v>
      </c>
      <c r="G4067" t="s">
        <v>1003</v>
      </c>
      <c r="H4067" t="s">
        <v>765</v>
      </c>
      <c r="I4067" t="s">
        <v>61</v>
      </c>
    </row>
    <row r="4068" spans="1:9" x14ac:dyDescent="0.25">
      <c r="A4068">
        <v>20131121</v>
      </c>
      <c r="B4068" t="str">
        <f>"112919"</f>
        <v>112919</v>
      </c>
      <c r="C4068" t="str">
        <f>"87623"</f>
        <v>87623</v>
      </c>
      <c r="D4068" t="s">
        <v>2395</v>
      </c>
      <c r="E4068">
        <v>166</v>
      </c>
      <c r="F4068">
        <v>20131120</v>
      </c>
      <c r="G4068" t="s">
        <v>327</v>
      </c>
      <c r="H4068" t="s">
        <v>1360</v>
      </c>
      <c r="I4068" t="s">
        <v>25</v>
      </c>
    </row>
    <row r="4069" spans="1:9" x14ac:dyDescent="0.25">
      <c r="A4069">
        <v>20131121</v>
      </c>
      <c r="B4069" t="str">
        <f>"112920"</f>
        <v>112920</v>
      </c>
      <c r="C4069" t="str">
        <f>"00265"</f>
        <v>00265</v>
      </c>
      <c r="D4069" t="s">
        <v>2396</v>
      </c>
      <c r="E4069">
        <v>110</v>
      </c>
      <c r="F4069">
        <v>20131120</v>
      </c>
      <c r="G4069" t="s">
        <v>1145</v>
      </c>
      <c r="H4069" t="s">
        <v>2128</v>
      </c>
      <c r="I4069" t="s">
        <v>73</v>
      </c>
    </row>
    <row r="4070" spans="1:9" x14ac:dyDescent="0.25">
      <c r="A4070">
        <v>20131121</v>
      </c>
      <c r="B4070" t="str">
        <f>"112921"</f>
        <v>112921</v>
      </c>
      <c r="C4070" t="str">
        <f>"87622"</f>
        <v>87622</v>
      </c>
      <c r="D4070" t="s">
        <v>2397</v>
      </c>
      <c r="E4070">
        <v>424</v>
      </c>
      <c r="F4070">
        <v>20131120</v>
      </c>
      <c r="G4070" t="s">
        <v>327</v>
      </c>
      <c r="H4070" t="s">
        <v>1360</v>
      </c>
      <c r="I4070" t="s">
        <v>25</v>
      </c>
    </row>
    <row r="4071" spans="1:9" x14ac:dyDescent="0.25">
      <c r="A4071">
        <v>20131121</v>
      </c>
      <c r="B4071" t="str">
        <f>"112922"</f>
        <v>112922</v>
      </c>
      <c r="C4071" t="str">
        <f>"83007"</f>
        <v>83007</v>
      </c>
      <c r="D4071" t="s">
        <v>1794</v>
      </c>
      <c r="E4071">
        <v>14.16</v>
      </c>
      <c r="F4071">
        <v>20131114</v>
      </c>
      <c r="G4071" t="s">
        <v>1795</v>
      </c>
      <c r="H4071" t="s">
        <v>2398</v>
      </c>
      <c r="I4071" t="s">
        <v>38</v>
      </c>
    </row>
    <row r="4072" spans="1:9" x14ac:dyDescent="0.25">
      <c r="A4072">
        <v>20131121</v>
      </c>
      <c r="B4072" t="str">
        <f>"112923"</f>
        <v>112923</v>
      </c>
      <c r="C4072" t="str">
        <f>"81382"</f>
        <v>81382</v>
      </c>
      <c r="D4072" t="s">
        <v>1655</v>
      </c>
      <c r="E4072">
        <v>121.88</v>
      </c>
      <c r="F4072">
        <v>20131120</v>
      </c>
      <c r="G4072" t="s">
        <v>581</v>
      </c>
      <c r="H4072" t="s">
        <v>2399</v>
      </c>
      <c r="I4072" t="s">
        <v>21</v>
      </c>
    </row>
    <row r="4073" spans="1:9" x14ac:dyDescent="0.25">
      <c r="A4073">
        <v>20131121</v>
      </c>
      <c r="B4073" t="str">
        <f>"112924"</f>
        <v>112924</v>
      </c>
      <c r="C4073" t="str">
        <f>"62900"</f>
        <v>62900</v>
      </c>
      <c r="D4073" t="s">
        <v>1293</v>
      </c>
      <c r="E4073">
        <v>154.91999999999999</v>
      </c>
      <c r="F4073">
        <v>20131120</v>
      </c>
      <c r="G4073" t="s">
        <v>581</v>
      </c>
      <c r="H4073" t="s">
        <v>2400</v>
      </c>
      <c r="I4073" t="s">
        <v>21</v>
      </c>
    </row>
    <row r="4074" spans="1:9" x14ac:dyDescent="0.25">
      <c r="A4074">
        <v>20131121</v>
      </c>
      <c r="B4074" t="str">
        <f>"112924"</f>
        <v>112924</v>
      </c>
      <c r="C4074" t="str">
        <f>"62900"</f>
        <v>62900</v>
      </c>
      <c r="D4074" t="s">
        <v>1293</v>
      </c>
      <c r="E4074">
        <v>205.97</v>
      </c>
      <c r="F4074">
        <v>20131120</v>
      </c>
      <c r="G4074" t="s">
        <v>583</v>
      </c>
      <c r="H4074" t="s">
        <v>2401</v>
      </c>
      <c r="I4074" t="s">
        <v>21</v>
      </c>
    </row>
    <row r="4075" spans="1:9" x14ac:dyDescent="0.25">
      <c r="A4075">
        <v>20131121</v>
      </c>
      <c r="B4075" t="str">
        <f>"112925"</f>
        <v>112925</v>
      </c>
      <c r="C4075" t="str">
        <f>"84165"</f>
        <v>84165</v>
      </c>
      <c r="D4075" t="s">
        <v>1298</v>
      </c>
      <c r="E4075">
        <v>110.88</v>
      </c>
      <c r="F4075">
        <v>20131118</v>
      </c>
      <c r="G4075" t="s">
        <v>810</v>
      </c>
      <c r="H4075" t="s">
        <v>365</v>
      </c>
      <c r="I4075" t="s">
        <v>66</v>
      </c>
    </row>
    <row r="4076" spans="1:9" x14ac:dyDescent="0.25">
      <c r="A4076">
        <v>20131121</v>
      </c>
      <c r="B4076" t="str">
        <f>"112926"</f>
        <v>112926</v>
      </c>
      <c r="C4076" t="str">
        <f>"64500"</f>
        <v>64500</v>
      </c>
      <c r="D4076" t="s">
        <v>949</v>
      </c>
      <c r="E4076" s="1">
        <v>1057.81</v>
      </c>
      <c r="F4076">
        <v>20131115</v>
      </c>
      <c r="G4076" t="s">
        <v>1224</v>
      </c>
      <c r="H4076" t="s">
        <v>414</v>
      </c>
      <c r="I4076" t="s">
        <v>21</v>
      </c>
    </row>
    <row r="4077" spans="1:9" x14ac:dyDescent="0.25">
      <c r="A4077">
        <v>20131121</v>
      </c>
      <c r="B4077" t="str">
        <f>"112927"</f>
        <v>112927</v>
      </c>
      <c r="C4077" t="str">
        <f>"87620"</f>
        <v>87620</v>
      </c>
      <c r="D4077" t="s">
        <v>2402</v>
      </c>
      <c r="E4077">
        <v>21</v>
      </c>
      <c r="F4077">
        <v>20131119</v>
      </c>
      <c r="G4077" t="s">
        <v>426</v>
      </c>
      <c r="H4077" t="s">
        <v>427</v>
      </c>
      <c r="I4077" t="s">
        <v>21</v>
      </c>
    </row>
    <row r="4078" spans="1:9" x14ac:dyDescent="0.25">
      <c r="A4078">
        <v>20131121</v>
      </c>
      <c r="B4078" t="str">
        <f>"112928"</f>
        <v>112928</v>
      </c>
      <c r="C4078" t="str">
        <f>"87520"</f>
        <v>87520</v>
      </c>
      <c r="D4078" t="s">
        <v>1139</v>
      </c>
      <c r="E4078" s="1">
        <v>1261.8</v>
      </c>
      <c r="F4078">
        <v>20131119</v>
      </c>
      <c r="G4078" t="s">
        <v>1140</v>
      </c>
      <c r="H4078" t="s">
        <v>1141</v>
      </c>
      <c r="I4078" t="s">
        <v>12</v>
      </c>
    </row>
    <row r="4079" spans="1:9" x14ac:dyDescent="0.25">
      <c r="A4079">
        <v>20131121</v>
      </c>
      <c r="B4079" t="str">
        <f>"112929"</f>
        <v>112929</v>
      </c>
      <c r="C4079" t="str">
        <f>"65430"</f>
        <v>65430</v>
      </c>
      <c r="D4079" t="s">
        <v>1518</v>
      </c>
      <c r="E4079">
        <v>145.72999999999999</v>
      </c>
      <c r="F4079">
        <v>20131119</v>
      </c>
      <c r="G4079" t="s">
        <v>413</v>
      </c>
      <c r="H4079" t="s">
        <v>414</v>
      </c>
      <c r="I4079" t="s">
        <v>21</v>
      </c>
    </row>
    <row r="4080" spans="1:9" x14ac:dyDescent="0.25">
      <c r="A4080">
        <v>20131121</v>
      </c>
      <c r="B4080" t="str">
        <f>"112930"</f>
        <v>112930</v>
      </c>
      <c r="C4080" t="str">
        <f>"86055"</f>
        <v>86055</v>
      </c>
      <c r="D4080" t="s">
        <v>1934</v>
      </c>
      <c r="E4080">
        <v>120</v>
      </c>
      <c r="F4080">
        <v>20131119</v>
      </c>
      <c r="G4080" t="s">
        <v>2324</v>
      </c>
      <c r="H4080" t="s">
        <v>765</v>
      </c>
      <c r="I4080" t="s">
        <v>61</v>
      </c>
    </row>
    <row r="4081" spans="1:9" x14ac:dyDescent="0.25">
      <c r="A4081">
        <v>20131121</v>
      </c>
      <c r="B4081" t="str">
        <f>"112931"</f>
        <v>112931</v>
      </c>
      <c r="C4081" t="str">
        <f>"87629"</f>
        <v>87629</v>
      </c>
      <c r="D4081" t="s">
        <v>2403</v>
      </c>
      <c r="E4081">
        <v>157.80000000000001</v>
      </c>
      <c r="F4081">
        <v>20131121</v>
      </c>
      <c r="G4081" t="s">
        <v>1846</v>
      </c>
      <c r="H4081" t="s">
        <v>765</v>
      </c>
      <c r="I4081" t="s">
        <v>63</v>
      </c>
    </row>
    <row r="4082" spans="1:9" x14ac:dyDescent="0.25">
      <c r="A4082">
        <v>20131121</v>
      </c>
      <c r="B4082" t="str">
        <f>"112932"</f>
        <v>112932</v>
      </c>
      <c r="C4082" t="str">
        <f>"83181"</f>
        <v>83181</v>
      </c>
      <c r="D4082" t="s">
        <v>2404</v>
      </c>
      <c r="E4082">
        <v>36.72</v>
      </c>
      <c r="F4082">
        <v>20131120</v>
      </c>
      <c r="G4082" t="s">
        <v>128</v>
      </c>
      <c r="H4082" t="s">
        <v>354</v>
      </c>
      <c r="I4082" t="s">
        <v>21</v>
      </c>
    </row>
    <row r="4083" spans="1:9" x14ac:dyDescent="0.25">
      <c r="A4083">
        <v>20131121</v>
      </c>
      <c r="B4083" t="str">
        <f>"112933"</f>
        <v>112933</v>
      </c>
      <c r="C4083" t="str">
        <f>"82845"</f>
        <v>82845</v>
      </c>
      <c r="D4083" t="s">
        <v>2405</v>
      </c>
      <c r="E4083">
        <v>415</v>
      </c>
      <c r="F4083">
        <v>20131120</v>
      </c>
      <c r="G4083" t="s">
        <v>866</v>
      </c>
      <c r="H4083" t="s">
        <v>1309</v>
      </c>
      <c r="I4083" t="s">
        <v>25</v>
      </c>
    </row>
    <row r="4084" spans="1:9" x14ac:dyDescent="0.25">
      <c r="A4084">
        <v>20131121</v>
      </c>
      <c r="B4084" t="str">
        <f>"112934"</f>
        <v>112934</v>
      </c>
      <c r="C4084" t="str">
        <f>"68960"</f>
        <v>68960</v>
      </c>
      <c r="D4084" t="s">
        <v>689</v>
      </c>
      <c r="E4084">
        <v>100</v>
      </c>
      <c r="F4084">
        <v>20131120</v>
      </c>
      <c r="G4084" t="s">
        <v>356</v>
      </c>
      <c r="H4084" t="s">
        <v>357</v>
      </c>
      <c r="I4084" t="s">
        <v>61</v>
      </c>
    </row>
    <row r="4085" spans="1:9" x14ac:dyDescent="0.25">
      <c r="A4085">
        <v>20131121</v>
      </c>
      <c r="B4085" t="str">
        <f>"112934"</f>
        <v>112934</v>
      </c>
      <c r="C4085" t="str">
        <f>"68960"</f>
        <v>68960</v>
      </c>
      <c r="D4085" t="s">
        <v>689</v>
      </c>
      <c r="E4085">
        <v>215</v>
      </c>
      <c r="F4085">
        <v>20131121</v>
      </c>
      <c r="G4085" t="s">
        <v>356</v>
      </c>
      <c r="H4085" t="s">
        <v>357</v>
      </c>
      <c r="I4085" t="s">
        <v>61</v>
      </c>
    </row>
    <row r="4086" spans="1:9" x14ac:dyDescent="0.25">
      <c r="A4086">
        <v>20131121</v>
      </c>
      <c r="B4086" t="str">
        <f>"112935"</f>
        <v>112935</v>
      </c>
      <c r="C4086" t="str">
        <f>"68950"</f>
        <v>68950</v>
      </c>
      <c r="D4086" t="s">
        <v>2288</v>
      </c>
      <c r="E4086">
        <v>18.5</v>
      </c>
      <c r="F4086">
        <v>20131120</v>
      </c>
      <c r="G4086" t="s">
        <v>327</v>
      </c>
      <c r="H4086" t="s">
        <v>414</v>
      </c>
      <c r="I4086" t="s">
        <v>25</v>
      </c>
    </row>
    <row r="4087" spans="1:9" x14ac:dyDescent="0.25">
      <c r="A4087">
        <v>20131121</v>
      </c>
      <c r="B4087" t="str">
        <f>"112935"</f>
        <v>112935</v>
      </c>
      <c r="C4087" t="str">
        <f>"68950"</f>
        <v>68950</v>
      </c>
      <c r="D4087" t="s">
        <v>2288</v>
      </c>
      <c r="E4087">
        <v>-18.5</v>
      </c>
      <c r="F4087">
        <v>20131209</v>
      </c>
      <c r="G4087" t="s">
        <v>327</v>
      </c>
      <c r="H4087" t="s">
        <v>2406</v>
      </c>
      <c r="I4087" t="s">
        <v>25</v>
      </c>
    </row>
    <row r="4088" spans="1:9" x14ac:dyDescent="0.25">
      <c r="A4088">
        <v>20131121</v>
      </c>
      <c r="B4088" t="str">
        <f>"112936"</f>
        <v>112936</v>
      </c>
      <c r="C4088" t="str">
        <f>"00079"</f>
        <v>00079</v>
      </c>
      <c r="D4088" t="s">
        <v>2407</v>
      </c>
      <c r="E4088">
        <v>30</v>
      </c>
      <c r="F4088">
        <v>20131121</v>
      </c>
      <c r="G4088" t="s">
        <v>1153</v>
      </c>
      <c r="H4088" t="s">
        <v>388</v>
      </c>
      <c r="I4088" t="s">
        <v>61</v>
      </c>
    </row>
    <row r="4089" spans="1:9" x14ac:dyDescent="0.25">
      <c r="A4089">
        <v>20131121</v>
      </c>
      <c r="B4089" t="str">
        <f>"112937"</f>
        <v>112937</v>
      </c>
      <c r="C4089" t="str">
        <f>"84210"</f>
        <v>84210</v>
      </c>
      <c r="D4089" t="s">
        <v>2408</v>
      </c>
      <c r="E4089">
        <v>300</v>
      </c>
      <c r="F4089">
        <v>20131120</v>
      </c>
      <c r="G4089" t="s">
        <v>2409</v>
      </c>
      <c r="H4089" t="s">
        <v>954</v>
      </c>
      <c r="I4089" t="s">
        <v>66</v>
      </c>
    </row>
    <row r="4090" spans="1:9" x14ac:dyDescent="0.25">
      <c r="A4090">
        <v>20131121</v>
      </c>
      <c r="B4090" t="str">
        <f>"112938"</f>
        <v>112938</v>
      </c>
      <c r="C4090" t="str">
        <f>"84210"</f>
        <v>84210</v>
      </c>
      <c r="D4090" t="s">
        <v>2408</v>
      </c>
      <c r="E4090">
        <v>300</v>
      </c>
      <c r="F4090">
        <v>20131120</v>
      </c>
      <c r="G4090" t="s">
        <v>2409</v>
      </c>
      <c r="H4090" t="s">
        <v>954</v>
      </c>
      <c r="I4090" t="s">
        <v>66</v>
      </c>
    </row>
    <row r="4091" spans="1:9" x14ac:dyDescent="0.25">
      <c r="A4091">
        <v>20131121</v>
      </c>
      <c r="B4091" t="str">
        <f>"112939"</f>
        <v>112939</v>
      </c>
      <c r="C4091" t="str">
        <f>"69330"</f>
        <v>69330</v>
      </c>
      <c r="D4091" t="s">
        <v>953</v>
      </c>
      <c r="E4091" s="1">
        <v>1320</v>
      </c>
      <c r="F4091">
        <v>20131114</v>
      </c>
      <c r="G4091" t="s">
        <v>877</v>
      </c>
      <c r="H4091" t="s">
        <v>2410</v>
      </c>
      <c r="I4091" t="s">
        <v>66</v>
      </c>
    </row>
    <row r="4092" spans="1:9" x14ac:dyDescent="0.25">
      <c r="A4092">
        <v>20131121</v>
      </c>
      <c r="B4092" t="str">
        <f>"112940"</f>
        <v>112940</v>
      </c>
      <c r="C4092" t="str">
        <f>"87522"</f>
        <v>87522</v>
      </c>
      <c r="D4092" t="s">
        <v>1152</v>
      </c>
      <c r="E4092">
        <v>125</v>
      </c>
      <c r="F4092">
        <v>20131120</v>
      </c>
      <c r="G4092" t="s">
        <v>503</v>
      </c>
      <c r="H4092" t="s">
        <v>2411</v>
      </c>
      <c r="I4092" t="s">
        <v>21</v>
      </c>
    </row>
    <row r="4093" spans="1:9" x14ac:dyDescent="0.25">
      <c r="A4093">
        <v>20131121</v>
      </c>
      <c r="B4093" t="str">
        <f>"112941"</f>
        <v>112941</v>
      </c>
      <c r="C4093" t="str">
        <f>"69331"</f>
        <v>69331</v>
      </c>
      <c r="D4093" t="s">
        <v>383</v>
      </c>
      <c r="E4093" s="1">
        <v>1250</v>
      </c>
      <c r="F4093">
        <v>20131115</v>
      </c>
      <c r="G4093" t="s">
        <v>704</v>
      </c>
      <c r="H4093" t="s">
        <v>2412</v>
      </c>
      <c r="I4093" t="s">
        <v>21</v>
      </c>
    </row>
    <row r="4094" spans="1:9" x14ac:dyDescent="0.25">
      <c r="A4094">
        <v>20131121</v>
      </c>
      <c r="B4094" t="str">
        <f>"112942"</f>
        <v>112942</v>
      </c>
      <c r="C4094" t="str">
        <f>"00332"</f>
        <v>00332</v>
      </c>
      <c r="D4094" t="s">
        <v>1160</v>
      </c>
      <c r="E4094">
        <v>402</v>
      </c>
      <c r="F4094">
        <v>20131118</v>
      </c>
      <c r="G4094" t="s">
        <v>367</v>
      </c>
      <c r="H4094" t="s">
        <v>1161</v>
      </c>
      <c r="I4094" t="s">
        <v>21</v>
      </c>
    </row>
    <row r="4095" spans="1:9" x14ac:dyDescent="0.25">
      <c r="A4095">
        <v>20131121</v>
      </c>
      <c r="B4095" t="str">
        <f>"112943"</f>
        <v>112943</v>
      </c>
      <c r="C4095" t="str">
        <f>"70776"</f>
        <v>70776</v>
      </c>
      <c r="D4095" t="s">
        <v>2413</v>
      </c>
      <c r="E4095">
        <v>40</v>
      </c>
      <c r="F4095">
        <v>20131121</v>
      </c>
      <c r="G4095" t="s">
        <v>1153</v>
      </c>
      <c r="H4095" t="s">
        <v>2414</v>
      </c>
      <c r="I4095" t="s">
        <v>61</v>
      </c>
    </row>
    <row r="4096" spans="1:9" x14ac:dyDescent="0.25">
      <c r="A4096">
        <v>20131121</v>
      </c>
      <c r="B4096" t="str">
        <f>"112943"</f>
        <v>112943</v>
      </c>
      <c r="C4096" t="str">
        <f>"70776"</f>
        <v>70776</v>
      </c>
      <c r="D4096" t="s">
        <v>2413</v>
      </c>
      <c r="E4096">
        <v>40</v>
      </c>
      <c r="F4096">
        <v>20131121</v>
      </c>
      <c r="G4096" t="s">
        <v>1153</v>
      </c>
      <c r="H4096" t="s">
        <v>2414</v>
      </c>
      <c r="I4096" t="s">
        <v>61</v>
      </c>
    </row>
    <row r="4097" spans="1:9" x14ac:dyDescent="0.25">
      <c r="A4097">
        <v>20131121</v>
      </c>
      <c r="B4097" t="str">
        <f>"112943"</f>
        <v>112943</v>
      </c>
      <c r="C4097" t="str">
        <f>"70776"</f>
        <v>70776</v>
      </c>
      <c r="D4097" t="s">
        <v>2413</v>
      </c>
      <c r="E4097">
        <v>40</v>
      </c>
      <c r="F4097">
        <v>20131121</v>
      </c>
      <c r="G4097" t="s">
        <v>1153</v>
      </c>
      <c r="H4097" t="s">
        <v>2414</v>
      </c>
      <c r="I4097" t="s">
        <v>61</v>
      </c>
    </row>
    <row r="4098" spans="1:9" x14ac:dyDescent="0.25">
      <c r="A4098">
        <v>20131121</v>
      </c>
      <c r="B4098" t="str">
        <f>"112944"</f>
        <v>112944</v>
      </c>
      <c r="C4098" t="str">
        <f>"87614"</f>
        <v>87614</v>
      </c>
      <c r="D4098" t="s">
        <v>2415</v>
      </c>
      <c r="E4098">
        <v>710</v>
      </c>
      <c r="F4098">
        <v>20131115</v>
      </c>
      <c r="G4098" t="s">
        <v>653</v>
      </c>
      <c r="H4098" t="s">
        <v>679</v>
      </c>
      <c r="I4098" t="s">
        <v>21</v>
      </c>
    </row>
    <row r="4099" spans="1:9" x14ac:dyDescent="0.25">
      <c r="A4099">
        <v>20131121</v>
      </c>
      <c r="B4099" t="str">
        <f>"112945"</f>
        <v>112945</v>
      </c>
      <c r="C4099" t="str">
        <f>"81385"</f>
        <v>81385</v>
      </c>
      <c r="D4099" t="s">
        <v>2416</v>
      </c>
      <c r="E4099">
        <v>215</v>
      </c>
      <c r="F4099">
        <v>20131120</v>
      </c>
      <c r="G4099" t="s">
        <v>1153</v>
      </c>
      <c r="H4099" t="s">
        <v>1534</v>
      </c>
      <c r="I4099" t="s">
        <v>61</v>
      </c>
    </row>
    <row r="4100" spans="1:9" x14ac:dyDescent="0.25">
      <c r="A4100">
        <v>20131121</v>
      </c>
      <c r="B4100" t="str">
        <f>"112946"</f>
        <v>112946</v>
      </c>
      <c r="C4100" t="str">
        <f>"86085"</f>
        <v>86085</v>
      </c>
      <c r="D4100" t="s">
        <v>703</v>
      </c>
      <c r="E4100">
        <v>76</v>
      </c>
      <c r="F4100">
        <v>20131118</v>
      </c>
      <c r="G4100" t="s">
        <v>704</v>
      </c>
      <c r="H4100" t="s">
        <v>357</v>
      </c>
      <c r="I4100" t="s">
        <v>21</v>
      </c>
    </row>
    <row r="4101" spans="1:9" x14ac:dyDescent="0.25">
      <c r="A4101">
        <v>20131121</v>
      </c>
      <c r="B4101" t="str">
        <f>"112947"</f>
        <v>112947</v>
      </c>
      <c r="C4101" t="str">
        <f>"85763"</f>
        <v>85763</v>
      </c>
      <c r="D4101" t="s">
        <v>710</v>
      </c>
      <c r="E4101">
        <v>880</v>
      </c>
      <c r="F4101">
        <v>20131120</v>
      </c>
      <c r="G4101" t="s">
        <v>746</v>
      </c>
      <c r="H4101" t="s">
        <v>555</v>
      </c>
      <c r="I4101" t="s">
        <v>21</v>
      </c>
    </row>
    <row r="4102" spans="1:9" x14ac:dyDescent="0.25">
      <c r="A4102">
        <v>20131121</v>
      </c>
      <c r="B4102" t="str">
        <f>"112947"</f>
        <v>112947</v>
      </c>
      <c r="C4102" t="str">
        <f>"85763"</f>
        <v>85763</v>
      </c>
      <c r="D4102" t="s">
        <v>710</v>
      </c>
      <c r="E4102">
        <v>300</v>
      </c>
      <c r="F4102">
        <v>20131120</v>
      </c>
      <c r="G4102" t="s">
        <v>746</v>
      </c>
      <c r="H4102" t="s">
        <v>555</v>
      </c>
      <c r="I4102" t="s">
        <v>21</v>
      </c>
    </row>
    <row r="4103" spans="1:9" x14ac:dyDescent="0.25">
      <c r="A4103">
        <v>20131121</v>
      </c>
      <c r="B4103" t="str">
        <f>"112947"</f>
        <v>112947</v>
      </c>
      <c r="C4103" t="str">
        <f>"85763"</f>
        <v>85763</v>
      </c>
      <c r="D4103" t="s">
        <v>710</v>
      </c>
      <c r="E4103">
        <v>730</v>
      </c>
      <c r="F4103">
        <v>20131120</v>
      </c>
      <c r="G4103" t="s">
        <v>746</v>
      </c>
      <c r="H4103" t="s">
        <v>555</v>
      </c>
      <c r="I4103" t="s">
        <v>21</v>
      </c>
    </row>
    <row r="4104" spans="1:9" x14ac:dyDescent="0.25">
      <c r="A4104">
        <v>20131121</v>
      </c>
      <c r="B4104" t="str">
        <f>"112947"</f>
        <v>112947</v>
      </c>
      <c r="C4104" t="str">
        <f>"85763"</f>
        <v>85763</v>
      </c>
      <c r="D4104" t="s">
        <v>710</v>
      </c>
      <c r="E4104">
        <v>840</v>
      </c>
      <c r="F4104">
        <v>20131120</v>
      </c>
      <c r="G4104" t="s">
        <v>746</v>
      </c>
      <c r="H4104" t="s">
        <v>555</v>
      </c>
      <c r="I4104" t="s">
        <v>21</v>
      </c>
    </row>
    <row r="4105" spans="1:9" x14ac:dyDescent="0.25">
      <c r="A4105">
        <v>20131121</v>
      </c>
      <c r="B4105" t="str">
        <f>"112948"</f>
        <v>112948</v>
      </c>
      <c r="C4105" t="str">
        <f>"87616"</f>
        <v>87616</v>
      </c>
      <c r="D4105" t="s">
        <v>711</v>
      </c>
      <c r="E4105">
        <v>170</v>
      </c>
      <c r="F4105">
        <v>20131118</v>
      </c>
      <c r="G4105" t="s">
        <v>1030</v>
      </c>
      <c r="H4105" t="s">
        <v>2417</v>
      </c>
      <c r="I4105" t="s">
        <v>63</v>
      </c>
    </row>
    <row r="4106" spans="1:9" x14ac:dyDescent="0.25">
      <c r="A4106">
        <v>20131121</v>
      </c>
      <c r="B4106" t="str">
        <f>"112948"</f>
        <v>112948</v>
      </c>
      <c r="C4106" t="str">
        <f>"87616"</f>
        <v>87616</v>
      </c>
      <c r="D4106" t="s">
        <v>711</v>
      </c>
      <c r="E4106">
        <v>225</v>
      </c>
      <c r="F4106">
        <v>20131121</v>
      </c>
      <c r="G4106" t="s">
        <v>1030</v>
      </c>
      <c r="H4106" t="s">
        <v>2418</v>
      </c>
      <c r="I4106" t="s">
        <v>63</v>
      </c>
    </row>
    <row r="4107" spans="1:9" x14ac:dyDescent="0.25">
      <c r="A4107">
        <v>20131121</v>
      </c>
      <c r="B4107" t="str">
        <f>"112949"</f>
        <v>112949</v>
      </c>
      <c r="C4107" t="str">
        <f>"69310"</f>
        <v>69310</v>
      </c>
      <c r="D4107" t="s">
        <v>716</v>
      </c>
      <c r="E4107" s="1">
        <v>1425.77</v>
      </c>
      <c r="F4107">
        <v>20131115</v>
      </c>
      <c r="G4107" t="s">
        <v>718</v>
      </c>
      <c r="H4107" t="s">
        <v>488</v>
      </c>
      <c r="I4107" t="s">
        <v>21</v>
      </c>
    </row>
    <row r="4108" spans="1:9" x14ac:dyDescent="0.25">
      <c r="A4108">
        <v>20131121</v>
      </c>
      <c r="B4108" t="str">
        <f>"112950"</f>
        <v>112950</v>
      </c>
      <c r="C4108" t="str">
        <f>"86951"</f>
        <v>86951</v>
      </c>
      <c r="D4108" t="s">
        <v>394</v>
      </c>
      <c r="E4108">
        <v>244.02</v>
      </c>
      <c r="F4108">
        <v>20131119</v>
      </c>
      <c r="G4108" t="s">
        <v>337</v>
      </c>
      <c r="H4108" t="s">
        <v>547</v>
      </c>
      <c r="I4108" t="s">
        <v>21</v>
      </c>
    </row>
    <row r="4109" spans="1:9" x14ac:dyDescent="0.25">
      <c r="A4109">
        <v>20131121</v>
      </c>
      <c r="B4109" t="str">
        <f>"112951"</f>
        <v>112951</v>
      </c>
      <c r="C4109" t="str">
        <f>"00242"</f>
        <v>00242</v>
      </c>
      <c r="D4109" t="s">
        <v>977</v>
      </c>
      <c r="E4109">
        <v>77.2</v>
      </c>
      <c r="F4109">
        <v>20131120</v>
      </c>
      <c r="G4109" t="s">
        <v>637</v>
      </c>
      <c r="H4109" t="s">
        <v>2419</v>
      </c>
      <c r="I4109" t="s">
        <v>38</v>
      </c>
    </row>
    <row r="4110" spans="1:9" x14ac:dyDescent="0.25">
      <c r="A4110">
        <v>20131121</v>
      </c>
      <c r="B4110" t="str">
        <f>"112952"</f>
        <v>112952</v>
      </c>
      <c r="C4110" t="str">
        <f>"76825"</f>
        <v>76825</v>
      </c>
      <c r="D4110" t="s">
        <v>2420</v>
      </c>
      <c r="E4110">
        <v>196.5</v>
      </c>
      <c r="F4110">
        <v>20131118</v>
      </c>
      <c r="G4110" t="s">
        <v>1672</v>
      </c>
      <c r="H4110" t="s">
        <v>2421</v>
      </c>
      <c r="I4110" t="s">
        <v>21</v>
      </c>
    </row>
    <row r="4111" spans="1:9" x14ac:dyDescent="0.25">
      <c r="A4111">
        <v>20131121</v>
      </c>
      <c r="B4111" t="str">
        <f>"112953"</f>
        <v>112953</v>
      </c>
      <c r="C4111" t="str">
        <f>"76856"</f>
        <v>76856</v>
      </c>
      <c r="D4111" t="s">
        <v>981</v>
      </c>
      <c r="E4111">
        <v>20.309999999999999</v>
      </c>
      <c r="F4111">
        <v>20131115</v>
      </c>
      <c r="G4111" t="s">
        <v>1064</v>
      </c>
      <c r="H4111" t="s">
        <v>354</v>
      </c>
      <c r="I4111" t="s">
        <v>21</v>
      </c>
    </row>
    <row r="4112" spans="1:9" x14ac:dyDescent="0.25">
      <c r="A4112">
        <v>20131121</v>
      </c>
      <c r="B4112" t="str">
        <f>"112954"</f>
        <v>112954</v>
      </c>
      <c r="C4112" t="str">
        <f>"85605"</f>
        <v>85605</v>
      </c>
      <c r="D4112" t="s">
        <v>1949</v>
      </c>
      <c r="E4112">
        <v>83.71</v>
      </c>
      <c r="F4112">
        <v>20131118</v>
      </c>
      <c r="G4112" t="s">
        <v>367</v>
      </c>
      <c r="H4112" t="s">
        <v>414</v>
      </c>
      <c r="I4112" t="s">
        <v>21</v>
      </c>
    </row>
    <row r="4113" spans="1:9" x14ac:dyDescent="0.25">
      <c r="A4113">
        <v>20131121</v>
      </c>
      <c r="B4113" t="str">
        <f>"112954"</f>
        <v>112954</v>
      </c>
      <c r="C4113" t="str">
        <f>"85605"</f>
        <v>85605</v>
      </c>
      <c r="D4113" t="s">
        <v>1949</v>
      </c>
      <c r="E4113">
        <v>-83.71</v>
      </c>
      <c r="F4113">
        <v>20131218</v>
      </c>
      <c r="G4113" t="s">
        <v>367</v>
      </c>
      <c r="H4113" t="s">
        <v>2422</v>
      </c>
      <c r="I4113" t="s">
        <v>21</v>
      </c>
    </row>
    <row r="4114" spans="1:9" x14ac:dyDescent="0.25">
      <c r="A4114">
        <v>20131121</v>
      </c>
      <c r="B4114" t="str">
        <f>"112955"</f>
        <v>112955</v>
      </c>
      <c r="C4114" t="str">
        <f>"78385"</f>
        <v>78385</v>
      </c>
      <c r="D4114" t="s">
        <v>985</v>
      </c>
      <c r="E4114">
        <v>394.01</v>
      </c>
      <c r="F4114">
        <v>20131119</v>
      </c>
      <c r="G4114" t="s">
        <v>2423</v>
      </c>
      <c r="H4114" t="s">
        <v>365</v>
      </c>
      <c r="I4114" t="s">
        <v>21</v>
      </c>
    </row>
    <row r="4115" spans="1:9" x14ac:dyDescent="0.25">
      <c r="A4115">
        <v>20131121</v>
      </c>
      <c r="B4115" t="str">
        <f>"112956"</f>
        <v>112956</v>
      </c>
      <c r="C4115" t="str">
        <f>"87143"</f>
        <v>87143</v>
      </c>
      <c r="D4115" t="s">
        <v>2424</v>
      </c>
      <c r="E4115">
        <v>65</v>
      </c>
      <c r="F4115">
        <v>20131119</v>
      </c>
      <c r="G4115" t="s">
        <v>2324</v>
      </c>
      <c r="H4115" t="s">
        <v>765</v>
      </c>
      <c r="I4115" t="s">
        <v>61</v>
      </c>
    </row>
    <row r="4116" spans="1:9" x14ac:dyDescent="0.25">
      <c r="A4116">
        <v>20131121</v>
      </c>
      <c r="B4116" t="str">
        <f>"112957"</f>
        <v>112957</v>
      </c>
      <c r="C4116" t="str">
        <f>"87176"</f>
        <v>87176</v>
      </c>
      <c r="D4116" t="s">
        <v>2425</v>
      </c>
      <c r="E4116">
        <v>120</v>
      </c>
      <c r="F4116">
        <v>20131119</v>
      </c>
      <c r="G4116" t="s">
        <v>2324</v>
      </c>
      <c r="H4116" t="s">
        <v>765</v>
      </c>
      <c r="I4116" t="s">
        <v>61</v>
      </c>
    </row>
    <row r="4117" spans="1:9" x14ac:dyDescent="0.25">
      <c r="A4117">
        <v>20131121</v>
      </c>
      <c r="B4117" t="str">
        <f>"112958"</f>
        <v>112958</v>
      </c>
      <c r="C4117" t="str">
        <f>"80162"</f>
        <v>80162</v>
      </c>
      <c r="D4117" t="s">
        <v>2426</v>
      </c>
      <c r="E4117" s="1">
        <v>3198.84</v>
      </c>
      <c r="F4117">
        <v>20131115</v>
      </c>
      <c r="G4117" t="s">
        <v>2190</v>
      </c>
      <c r="H4117" t="s">
        <v>414</v>
      </c>
      <c r="I4117" t="s">
        <v>66</v>
      </c>
    </row>
    <row r="4118" spans="1:9" x14ac:dyDescent="0.25">
      <c r="A4118">
        <v>20131122</v>
      </c>
      <c r="B4118" t="str">
        <f>"112959"</f>
        <v>112959</v>
      </c>
      <c r="C4118" t="str">
        <f>"87563"</f>
        <v>87563</v>
      </c>
      <c r="D4118" t="s">
        <v>2427</v>
      </c>
      <c r="E4118">
        <v>390</v>
      </c>
      <c r="F4118">
        <v>20131121</v>
      </c>
      <c r="G4118" t="s">
        <v>1200</v>
      </c>
      <c r="H4118" t="s">
        <v>2428</v>
      </c>
      <c r="I4118" t="s">
        <v>61</v>
      </c>
    </row>
    <row r="4119" spans="1:9" x14ac:dyDescent="0.25">
      <c r="A4119">
        <v>20131122</v>
      </c>
      <c r="B4119" t="str">
        <f>"112960"</f>
        <v>112960</v>
      </c>
      <c r="C4119" t="str">
        <f>"00500"</f>
        <v>00500</v>
      </c>
      <c r="D4119" t="s">
        <v>486</v>
      </c>
      <c r="E4119" s="1">
        <v>1933.47</v>
      </c>
      <c r="F4119">
        <v>20131122</v>
      </c>
      <c r="G4119" t="s">
        <v>1182</v>
      </c>
      <c r="H4119" t="s">
        <v>488</v>
      </c>
      <c r="I4119" t="s">
        <v>21</v>
      </c>
    </row>
    <row r="4120" spans="1:9" x14ac:dyDescent="0.25">
      <c r="A4120">
        <v>20131122</v>
      </c>
      <c r="B4120" t="str">
        <f>"112961"</f>
        <v>112961</v>
      </c>
      <c r="C4120" t="str">
        <f>"00500"</f>
        <v>00500</v>
      </c>
      <c r="D4120" t="s">
        <v>486</v>
      </c>
      <c r="E4120">
        <v>87.36</v>
      </c>
      <c r="F4120">
        <v>20131122</v>
      </c>
      <c r="G4120" t="s">
        <v>1705</v>
      </c>
      <c r="H4120" t="s">
        <v>488</v>
      </c>
      <c r="I4120" t="s">
        <v>21</v>
      </c>
    </row>
    <row r="4121" spans="1:9" x14ac:dyDescent="0.25">
      <c r="A4121">
        <v>20131122</v>
      </c>
      <c r="B4121" t="str">
        <f>"112962"</f>
        <v>112962</v>
      </c>
      <c r="C4121" t="str">
        <f>"85983"</f>
        <v>85983</v>
      </c>
      <c r="D4121" t="s">
        <v>2429</v>
      </c>
      <c r="E4121">
        <v>950</v>
      </c>
      <c r="F4121">
        <v>20131122</v>
      </c>
      <c r="G4121" t="s">
        <v>1017</v>
      </c>
      <c r="H4121" t="s">
        <v>2430</v>
      </c>
      <c r="I4121" t="s">
        <v>63</v>
      </c>
    </row>
    <row r="4122" spans="1:9" x14ac:dyDescent="0.25">
      <c r="A4122">
        <v>20131122</v>
      </c>
      <c r="B4122" t="str">
        <f>"112963"</f>
        <v>112963</v>
      </c>
      <c r="C4122" t="str">
        <f>"87100"</f>
        <v>87100</v>
      </c>
      <c r="D4122" t="s">
        <v>2431</v>
      </c>
      <c r="E4122">
        <v>55.46</v>
      </c>
      <c r="F4122">
        <v>20131121</v>
      </c>
      <c r="G4122" t="s">
        <v>2432</v>
      </c>
      <c r="H4122" t="s">
        <v>365</v>
      </c>
      <c r="I4122" t="s">
        <v>66</v>
      </c>
    </row>
    <row r="4123" spans="1:9" x14ac:dyDescent="0.25">
      <c r="A4123">
        <v>20131122</v>
      </c>
      <c r="B4123" t="str">
        <f>"112964"</f>
        <v>112964</v>
      </c>
      <c r="C4123" t="str">
        <f>"87636"</f>
        <v>87636</v>
      </c>
      <c r="D4123" t="s">
        <v>2433</v>
      </c>
      <c r="E4123">
        <v>169.66</v>
      </c>
      <c r="F4123">
        <v>20131122</v>
      </c>
      <c r="G4123" t="s">
        <v>1846</v>
      </c>
      <c r="H4123" t="s">
        <v>765</v>
      </c>
      <c r="I4123" t="s">
        <v>63</v>
      </c>
    </row>
    <row r="4124" spans="1:9" x14ac:dyDescent="0.25">
      <c r="A4124">
        <v>20131122</v>
      </c>
      <c r="B4124" t="str">
        <f>"112965"</f>
        <v>112965</v>
      </c>
      <c r="C4124" t="str">
        <f>"87638"</f>
        <v>87638</v>
      </c>
      <c r="D4124" t="s">
        <v>2434</v>
      </c>
      <c r="E4124">
        <v>80</v>
      </c>
      <c r="F4124">
        <v>20131122</v>
      </c>
      <c r="G4124" t="s">
        <v>1846</v>
      </c>
      <c r="H4124" t="s">
        <v>765</v>
      </c>
      <c r="I4124" t="s">
        <v>63</v>
      </c>
    </row>
    <row r="4125" spans="1:9" x14ac:dyDescent="0.25">
      <c r="A4125">
        <v>20131122</v>
      </c>
      <c r="B4125" t="str">
        <f t="shared" ref="B4125:B4156" si="273">"112966"</f>
        <v>112966</v>
      </c>
      <c r="C4125" t="str">
        <f t="shared" ref="C4125:C4156" si="274">"83878"</f>
        <v>83878</v>
      </c>
      <c r="D4125" t="s">
        <v>1016</v>
      </c>
      <c r="E4125">
        <v>280</v>
      </c>
      <c r="F4125">
        <v>20131121</v>
      </c>
      <c r="G4125" t="s">
        <v>1017</v>
      </c>
      <c r="H4125" t="s">
        <v>1018</v>
      </c>
      <c r="I4125" t="s">
        <v>63</v>
      </c>
    </row>
    <row r="4126" spans="1:9" x14ac:dyDescent="0.25">
      <c r="A4126">
        <v>20131122</v>
      </c>
      <c r="B4126" t="str">
        <f t="shared" si="273"/>
        <v>112966</v>
      </c>
      <c r="C4126" t="str">
        <f t="shared" si="274"/>
        <v>83878</v>
      </c>
      <c r="D4126" t="s">
        <v>1016</v>
      </c>
      <c r="E4126">
        <v>78.540000000000006</v>
      </c>
      <c r="F4126">
        <v>20131121</v>
      </c>
      <c r="G4126" t="s">
        <v>577</v>
      </c>
      <c r="H4126" t="s">
        <v>1018</v>
      </c>
      <c r="I4126" t="s">
        <v>21</v>
      </c>
    </row>
    <row r="4127" spans="1:9" x14ac:dyDescent="0.25">
      <c r="A4127">
        <v>20131122</v>
      </c>
      <c r="B4127" t="str">
        <f t="shared" si="273"/>
        <v>112966</v>
      </c>
      <c r="C4127" t="str">
        <f t="shared" si="274"/>
        <v>83878</v>
      </c>
      <c r="D4127" t="s">
        <v>1016</v>
      </c>
      <c r="E4127">
        <v>299.20999999999998</v>
      </c>
      <c r="F4127">
        <v>20131121</v>
      </c>
      <c r="G4127" t="s">
        <v>1067</v>
      </c>
      <c r="H4127" t="s">
        <v>1716</v>
      </c>
      <c r="I4127" t="s">
        <v>21</v>
      </c>
    </row>
    <row r="4128" spans="1:9" x14ac:dyDescent="0.25">
      <c r="A4128">
        <v>20131122</v>
      </c>
      <c r="B4128" t="str">
        <f t="shared" si="273"/>
        <v>112966</v>
      </c>
      <c r="C4128" t="str">
        <f t="shared" si="274"/>
        <v>83878</v>
      </c>
      <c r="D4128" t="s">
        <v>1016</v>
      </c>
      <c r="E4128">
        <v>20.27</v>
      </c>
      <c r="F4128">
        <v>20131121</v>
      </c>
      <c r="G4128" t="s">
        <v>1067</v>
      </c>
      <c r="H4128" t="s">
        <v>1021</v>
      </c>
      <c r="I4128" t="s">
        <v>21</v>
      </c>
    </row>
    <row r="4129" spans="1:9" x14ac:dyDescent="0.25">
      <c r="A4129">
        <v>20131122</v>
      </c>
      <c r="B4129" t="str">
        <f t="shared" si="273"/>
        <v>112966</v>
      </c>
      <c r="C4129" t="str">
        <f t="shared" si="274"/>
        <v>83878</v>
      </c>
      <c r="D4129" t="s">
        <v>1016</v>
      </c>
      <c r="E4129">
        <v>101.04</v>
      </c>
      <c r="F4129">
        <v>20131121</v>
      </c>
      <c r="G4129" t="s">
        <v>1067</v>
      </c>
      <c r="H4129" t="s">
        <v>1090</v>
      </c>
      <c r="I4129" t="s">
        <v>21</v>
      </c>
    </row>
    <row r="4130" spans="1:9" x14ac:dyDescent="0.25">
      <c r="A4130">
        <v>20131122</v>
      </c>
      <c r="B4130" t="str">
        <f t="shared" si="273"/>
        <v>112966</v>
      </c>
      <c r="C4130" t="str">
        <f t="shared" si="274"/>
        <v>83878</v>
      </c>
      <c r="D4130" t="s">
        <v>1016</v>
      </c>
      <c r="E4130">
        <v>100</v>
      </c>
      <c r="F4130">
        <v>20131121</v>
      </c>
      <c r="G4130" t="s">
        <v>579</v>
      </c>
      <c r="H4130" t="s">
        <v>1018</v>
      </c>
      <c r="I4130" t="s">
        <v>21</v>
      </c>
    </row>
    <row r="4131" spans="1:9" x14ac:dyDescent="0.25">
      <c r="A4131">
        <v>20131122</v>
      </c>
      <c r="B4131" t="str">
        <f t="shared" si="273"/>
        <v>112966</v>
      </c>
      <c r="C4131" t="str">
        <f t="shared" si="274"/>
        <v>83878</v>
      </c>
      <c r="D4131" t="s">
        <v>1016</v>
      </c>
      <c r="E4131">
        <v>28.79</v>
      </c>
      <c r="F4131">
        <v>20131121</v>
      </c>
      <c r="G4131" t="s">
        <v>828</v>
      </c>
      <c r="H4131" t="s">
        <v>1018</v>
      </c>
      <c r="I4131" t="s">
        <v>21</v>
      </c>
    </row>
    <row r="4132" spans="1:9" x14ac:dyDescent="0.25">
      <c r="A4132">
        <v>20131122</v>
      </c>
      <c r="B4132" t="str">
        <f t="shared" si="273"/>
        <v>112966</v>
      </c>
      <c r="C4132" t="str">
        <f t="shared" si="274"/>
        <v>83878</v>
      </c>
      <c r="D4132" t="s">
        <v>1016</v>
      </c>
      <c r="E4132">
        <v>896.56</v>
      </c>
      <c r="F4132">
        <v>20131121</v>
      </c>
      <c r="G4132" t="s">
        <v>935</v>
      </c>
      <c r="H4132" t="s">
        <v>1018</v>
      </c>
      <c r="I4132" t="s">
        <v>21</v>
      </c>
    </row>
    <row r="4133" spans="1:9" x14ac:dyDescent="0.25">
      <c r="A4133">
        <v>20131122</v>
      </c>
      <c r="B4133" t="str">
        <f t="shared" si="273"/>
        <v>112966</v>
      </c>
      <c r="C4133" t="str">
        <f t="shared" si="274"/>
        <v>83878</v>
      </c>
      <c r="D4133" t="s">
        <v>1016</v>
      </c>
      <c r="E4133">
        <v>293.45</v>
      </c>
      <c r="F4133">
        <v>20131121</v>
      </c>
      <c r="G4133" t="s">
        <v>1020</v>
      </c>
      <c r="H4133" t="s">
        <v>1021</v>
      </c>
      <c r="I4133" t="s">
        <v>21</v>
      </c>
    </row>
    <row r="4134" spans="1:9" x14ac:dyDescent="0.25">
      <c r="A4134">
        <v>20131122</v>
      </c>
      <c r="B4134" t="str">
        <f t="shared" si="273"/>
        <v>112966</v>
      </c>
      <c r="C4134" t="str">
        <f t="shared" si="274"/>
        <v>83878</v>
      </c>
      <c r="D4134" t="s">
        <v>1016</v>
      </c>
      <c r="E4134">
        <v>128.49</v>
      </c>
      <c r="F4134">
        <v>20131121</v>
      </c>
      <c r="G4134" t="s">
        <v>1020</v>
      </c>
      <c r="H4134" t="s">
        <v>2435</v>
      </c>
      <c r="I4134" t="s">
        <v>21</v>
      </c>
    </row>
    <row r="4135" spans="1:9" x14ac:dyDescent="0.25">
      <c r="A4135">
        <v>20131122</v>
      </c>
      <c r="B4135" t="str">
        <f t="shared" si="273"/>
        <v>112966</v>
      </c>
      <c r="C4135" t="str">
        <f t="shared" si="274"/>
        <v>83878</v>
      </c>
      <c r="D4135" t="s">
        <v>1016</v>
      </c>
      <c r="E4135">
        <v>125.7</v>
      </c>
      <c r="F4135">
        <v>20131121</v>
      </c>
      <c r="G4135" t="s">
        <v>1020</v>
      </c>
      <c r="H4135" t="s">
        <v>2436</v>
      </c>
      <c r="I4135" t="s">
        <v>21</v>
      </c>
    </row>
    <row r="4136" spans="1:9" x14ac:dyDescent="0.25">
      <c r="A4136">
        <v>20131122</v>
      </c>
      <c r="B4136" t="str">
        <f t="shared" si="273"/>
        <v>112966</v>
      </c>
      <c r="C4136" t="str">
        <f t="shared" si="274"/>
        <v>83878</v>
      </c>
      <c r="D4136" t="s">
        <v>1016</v>
      </c>
      <c r="E4136">
        <v>230.33</v>
      </c>
      <c r="F4136">
        <v>20131121</v>
      </c>
      <c r="G4136" t="s">
        <v>1020</v>
      </c>
      <c r="H4136" t="s">
        <v>2437</v>
      </c>
      <c r="I4136" t="s">
        <v>21</v>
      </c>
    </row>
    <row r="4137" spans="1:9" x14ac:dyDescent="0.25">
      <c r="A4137">
        <v>20131122</v>
      </c>
      <c r="B4137" t="str">
        <f t="shared" si="273"/>
        <v>112966</v>
      </c>
      <c r="C4137" t="str">
        <f t="shared" si="274"/>
        <v>83878</v>
      </c>
      <c r="D4137" t="s">
        <v>1016</v>
      </c>
      <c r="E4137">
        <v>113.49</v>
      </c>
      <c r="F4137">
        <v>20131121</v>
      </c>
      <c r="G4137" t="s">
        <v>1020</v>
      </c>
      <c r="H4137" t="s">
        <v>2438</v>
      </c>
      <c r="I4137" t="s">
        <v>21</v>
      </c>
    </row>
    <row r="4138" spans="1:9" x14ac:dyDescent="0.25">
      <c r="A4138">
        <v>20131122</v>
      </c>
      <c r="B4138" t="str">
        <f t="shared" si="273"/>
        <v>112966</v>
      </c>
      <c r="C4138" t="str">
        <f t="shared" si="274"/>
        <v>83878</v>
      </c>
      <c r="D4138" t="s">
        <v>1016</v>
      </c>
      <c r="E4138">
        <v>91.19</v>
      </c>
      <c r="F4138">
        <v>20131121</v>
      </c>
      <c r="G4138" t="s">
        <v>2439</v>
      </c>
      <c r="H4138" t="s">
        <v>1018</v>
      </c>
      <c r="I4138" t="s">
        <v>21</v>
      </c>
    </row>
    <row r="4139" spans="1:9" x14ac:dyDescent="0.25">
      <c r="A4139">
        <v>20131122</v>
      </c>
      <c r="B4139" t="str">
        <f t="shared" si="273"/>
        <v>112966</v>
      </c>
      <c r="C4139" t="str">
        <f t="shared" si="274"/>
        <v>83878</v>
      </c>
      <c r="D4139" t="s">
        <v>1016</v>
      </c>
      <c r="E4139">
        <v>162.53</v>
      </c>
      <c r="F4139">
        <v>20131121</v>
      </c>
      <c r="G4139" t="s">
        <v>1605</v>
      </c>
      <c r="H4139" t="s">
        <v>2440</v>
      </c>
      <c r="I4139" t="s">
        <v>21</v>
      </c>
    </row>
    <row r="4140" spans="1:9" x14ac:dyDescent="0.25">
      <c r="A4140">
        <v>20131122</v>
      </c>
      <c r="B4140" t="str">
        <f t="shared" si="273"/>
        <v>112966</v>
      </c>
      <c r="C4140" t="str">
        <f t="shared" si="274"/>
        <v>83878</v>
      </c>
      <c r="D4140" t="s">
        <v>1016</v>
      </c>
      <c r="E4140">
        <v>133.13</v>
      </c>
      <c r="F4140">
        <v>20131121</v>
      </c>
      <c r="G4140" t="s">
        <v>1126</v>
      </c>
      <c r="H4140" t="s">
        <v>1018</v>
      </c>
      <c r="I4140" t="s">
        <v>21</v>
      </c>
    </row>
    <row r="4141" spans="1:9" x14ac:dyDescent="0.25">
      <c r="A4141">
        <v>20131122</v>
      </c>
      <c r="B4141" t="str">
        <f t="shared" si="273"/>
        <v>112966</v>
      </c>
      <c r="C4141" t="str">
        <f t="shared" si="274"/>
        <v>83878</v>
      </c>
      <c r="D4141" t="s">
        <v>1016</v>
      </c>
      <c r="E4141">
        <v>17.2</v>
      </c>
      <c r="F4141">
        <v>20131121</v>
      </c>
      <c r="G4141" t="s">
        <v>834</v>
      </c>
      <c r="H4141" t="s">
        <v>1018</v>
      </c>
      <c r="I4141" t="s">
        <v>21</v>
      </c>
    </row>
    <row r="4142" spans="1:9" x14ac:dyDescent="0.25">
      <c r="A4142">
        <v>20131122</v>
      </c>
      <c r="B4142" t="str">
        <f t="shared" si="273"/>
        <v>112966</v>
      </c>
      <c r="C4142" t="str">
        <f t="shared" si="274"/>
        <v>83878</v>
      </c>
      <c r="D4142" t="s">
        <v>1016</v>
      </c>
      <c r="E4142">
        <v>65</v>
      </c>
      <c r="F4142">
        <v>20131121</v>
      </c>
      <c r="G4142" t="s">
        <v>1033</v>
      </c>
      <c r="H4142" t="s">
        <v>1018</v>
      </c>
      <c r="I4142" t="s">
        <v>21</v>
      </c>
    </row>
    <row r="4143" spans="1:9" x14ac:dyDescent="0.25">
      <c r="A4143">
        <v>20131122</v>
      </c>
      <c r="B4143" t="str">
        <f t="shared" si="273"/>
        <v>112966</v>
      </c>
      <c r="C4143" t="str">
        <f t="shared" si="274"/>
        <v>83878</v>
      </c>
      <c r="D4143" t="s">
        <v>1016</v>
      </c>
      <c r="E4143">
        <v>16</v>
      </c>
      <c r="F4143">
        <v>20131121</v>
      </c>
      <c r="G4143" t="s">
        <v>808</v>
      </c>
      <c r="H4143" t="s">
        <v>1018</v>
      </c>
      <c r="I4143" t="s">
        <v>21</v>
      </c>
    </row>
    <row r="4144" spans="1:9" x14ac:dyDescent="0.25">
      <c r="A4144">
        <v>20131122</v>
      </c>
      <c r="B4144" t="str">
        <f t="shared" si="273"/>
        <v>112966</v>
      </c>
      <c r="C4144" t="str">
        <f t="shared" si="274"/>
        <v>83878</v>
      </c>
      <c r="D4144" t="s">
        <v>1016</v>
      </c>
      <c r="E4144">
        <v>255.92</v>
      </c>
      <c r="F4144">
        <v>20131121</v>
      </c>
      <c r="G4144" t="s">
        <v>808</v>
      </c>
      <c r="H4144" t="s">
        <v>1018</v>
      </c>
      <c r="I4144" t="s">
        <v>21</v>
      </c>
    </row>
    <row r="4145" spans="1:9" x14ac:dyDescent="0.25">
      <c r="A4145">
        <v>20131122</v>
      </c>
      <c r="B4145" t="str">
        <f t="shared" si="273"/>
        <v>112966</v>
      </c>
      <c r="C4145" t="str">
        <f t="shared" si="274"/>
        <v>83878</v>
      </c>
      <c r="D4145" t="s">
        <v>1016</v>
      </c>
      <c r="E4145">
        <v>308.81</v>
      </c>
      <c r="F4145">
        <v>20131121</v>
      </c>
      <c r="G4145" t="s">
        <v>1548</v>
      </c>
      <c r="H4145" t="s">
        <v>1018</v>
      </c>
      <c r="I4145" t="s">
        <v>21</v>
      </c>
    </row>
    <row r="4146" spans="1:9" x14ac:dyDescent="0.25">
      <c r="A4146">
        <v>20131122</v>
      </c>
      <c r="B4146" t="str">
        <f t="shared" si="273"/>
        <v>112966</v>
      </c>
      <c r="C4146" t="str">
        <f t="shared" si="274"/>
        <v>83878</v>
      </c>
      <c r="D4146" t="s">
        <v>1016</v>
      </c>
      <c r="E4146">
        <v>220.07</v>
      </c>
      <c r="F4146">
        <v>20131121</v>
      </c>
      <c r="G4146" t="s">
        <v>2441</v>
      </c>
      <c r="H4146" t="s">
        <v>1018</v>
      </c>
      <c r="I4146" t="s">
        <v>21</v>
      </c>
    </row>
    <row r="4147" spans="1:9" x14ac:dyDescent="0.25">
      <c r="A4147">
        <v>20131122</v>
      </c>
      <c r="B4147" t="str">
        <f t="shared" si="273"/>
        <v>112966</v>
      </c>
      <c r="C4147" t="str">
        <f t="shared" si="274"/>
        <v>83878</v>
      </c>
      <c r="D4147" t="s">
        <v>1016</v>
      </c>
      <c r="E4147">
        <v>55.6</v>
      </c>
      <c r="F4147">
        <v>20131121</v>
      </c>
      <c r="G4147" t="s">
        <v>1024</v>
      </c>
      <c r="H4147" t="s">
        <v>1018</v>
      </c>
      <c r="I4147" t="s">
        <v>21</v>
      </c>
    </row>
    <row r="4148" spans="1:9" x14ac:dyDescent="0.25">
      <c r="A4148">
        <v>20131122</v>
      </c>
      <c r="B4148" t="str">
        <f t="shared" si="273"/>
        <v>112966</v>
      </c>
      <c r="C4148" t="str">
        <f t="shared" si="274"/>
        <v>83878</v>
      </c>
      <c r="D4148" t="s">
        <v>1016</v>
      </c>
      <c r="E4148">
        <v>101.72</v>
      </c>
      <c r="F4148">
        <v>20131121</v>
      </c>
      <c r="G4148" t="s">
        <v>2442</v>
      </c>
      <c r="H4148" t="s">
        <v>1018</v>
      </c>
      <c r="I4148" t="s">
        <v>21</v>
      </c>
    </row>
    <row r="4149" spans="1:9" x14ac:dyDescent="0.25">
      <c r="A4149">
        <v>20131122</v>
      </c>
      <c r="B4149" t="str">
        <f t="shared" si="273"/>
        <v>112966</v>
      </c>
      <c r="C4149" t="str">
        <f t="shared" si="274"/>
        <v>83878</v>
      </c>
      <c r="D4149" t="s">
        <v>1016</v>
      </c>
      <c r="E4149">
        <v>98.22</v>
      </c>
      <c r="F4149">
        <v>20131121</v>
      </c>
      <c r="G4149" t="s">
        <v>496</v>
      </c>
      <c r="H4149" t="s">
        <v>1018</v>
      </c>
      <c r="I4149" t="s">
        <v>21</v>
      </c>
    </row>
    <row r="4150" spans="1:9" x14ac:dyDescent="0.25">
      <c r="A4150">
        <v>20131122</v>
      </c>
      <c r="B4150" t="str">
        <f t="shared" si="273"/>
        <v>112966</v>
      </c>
      <c r="C4150" t="str">
        <f t="shared" si="274"/>
        <v>83878</v>
      </c>
      <c r="D4150" t="s">
        <v>1016</v>
      </c>
      <c r="E4150">
        <v>196.92</v>
      </c>
      <c r="F4150">
        <v>20131121</v>
      </c>
      <c r="G4150" t="s">
        <v>496</v>
      </c>
      <c r="H4150" t="s">
        <v>1018</v>
      </c>
      <c r="I4150" t="s">
        <v>21</v>
      </c>
    </row>
    <row r="4151" spans="1:9" x14ac:dyDescent="0.25">
      <c r="A4151">
        <v>20131122</v>
      </c>
      <c r="B4151" t="str">
        <f t="shared" si="273"/>
        <v>112966</v>
      </c>
      <c r="C4151" t="str">
        <f t="shared" si="274"/>
        <v>83878</v>
      </c>
      <c r="D4151" t="s">
        <v>1016</v>
      </c>
      <c r="E4151">
        <v>685.59</v>
      </c>
      <c r="F4151">
        <v>20131121</v>
      </c>
      <c r="G4151" t="s">
        <v>426</v>
      </c>
      <c r="H4151" t="s">
        <v>1018</v>
      </c>
      <c r="I4151" t="s">
        <v>21</v>
      </c>
    </row>
    <row r="4152" spans="1:9" x14ac:dyDescent="0.25">
      <c r="A4152">
        <v>20131122</v>
      </c>
      <c r="B4152" t="str">
        <f t="shared" si="273"/>
        <v>112966</v>
      </c>
      <c r="C4152" t="str">
        <f t="shared" si="274"/>
        <v>83878</v>
      </c>
      <c r="D4152" t="s">
        <v>1016</v>
      </c>
      <c r="E4152">
        <v>421.16</v>
      </c>
      <c r="F4152">
        <v>20131121</v>
      </c>
      <c r="G4152" t="s">
        <v>426</v>
      </c>
      <c r="H4152" t="s">
        <v>1018</v>
      </c>
      <c r="I4152" t="s">
        <v>21</v>
      </c>
    </row>
    <row r="4153" spans="1:9" x14ac:dyDescent="0.25">
      <c r="A4153">
        <v>20131122</v>
      </c>
      <c r="B4153" t="str">
        <f t="shared" si="273"/>
        <v>112966</v>
      </c>
      <c r="C4153" t="str">
        <f t="shared" si="274"/>
        <v>83878</v>
      </c>
      <c r="D4153" t="s">
        <v>1016</v>
      </c>
      <c r="E4153">
        <v>163.34</v>
      </c>
      <c r="F4153">
        <v>20131121</v>
      </c>
      <c r="G4153" t="s">
        <v>1969</v>
      </c>
      <c r="H4153" t="s">
        <v>1018</v>
      </c>
      <c r="I4153" t="s">
        <v>21</v>
      </c>
    </row>
    <row r="4154" spans="1:9" x14ac:dyDescent="0.25">
      <c r="A4154">
        <v>20131122</v>
      </c>
      <c r="B4154" t="str">
        <f t="shared" si="273"/>
        <v>112966</v>
      </c>
      <c r="C4154" t="str">
        <f t="shared" si="274"/>
        <v>83878</v>
      </c>
      <c r="D4154" t="s">
        <v>1016</v>
      </c>
      <c r="E4154">
        <v>220.04</v>
      </c>
      <c r="F4154">
        <v>20131121</v>
      </c>
      <c r="G4154" t="s">
        <v>585</v>
      </c>
      <c r="H4154" t="s">
        <v>1018</v>
      </c>
      <c r="I4154" t="s">
        <v>21</v>
      </c>
    </row>
    <row r="4155" spans="1:9" x14ac:dyDescent="0.25">
      <c r="A4155">
        <v>20131122</v>
      </c>
      <c r="B4155" t="str">
        <f t="shared" si="273"/>
        <v>112966</v>
      </c>
      <c r="C4155" t="str">
        <f t="shared" si="274"/>
        <v>83878</v>
      </c>
      <c r="D4155" t="s">
        <v>1016</v>
      </c>
      <c r="E4155">
        <v>109.98</v>
      </c>
      <c r="F4155">
        <v>20131121</v>
      </c>
      <c r="G4155" t="s">
        <v>137</v>
      </c>
      <c r="H4155" t="s">
        <v>1018</v>
      </c>
      <c r="I4155" t="s">
        <v>21</v>
      </c>
    </row>
    <row r="4156" spans="1:9" x14ac:dyDescent="0.25">
      <c r="A4156">
        <v>20131122</v>
      </c>
      <c r="B4156" t="str">
        <f t="shared" si="273"/>
        <v>112966</v>
      </c>
      <c r="C4156" t="str">
        <f t="shared" si="274"/>
        <v>83878</v>
      </c>
      <c r="D4156" t="s">
        <v>1016</v>
      </c>
      <c r="E4156">
        <v>64.8</v>
      </c>
      <c r="F4156">
        <v>20131121</v>
      </c>
      <c r="G4156" t="s">
        <v>137</v>
      </c>
      <c r="H4156" t="s">
        <v>1018</v>
      </c>
      <c r="I4156" t="s">
        <v>21</v>
      </c>
    </row>
    <row r="4157" spans="1:9" x14ac:dyDescent="0.25">
      <c r="A4157">
        <v>20131122</v>
      </c>
      <c r="B4157" t="str">
        <f t="shared" ref="B4157:B4180" si="275">"112966"</f>
        <v>112966</v>
      </c>
      <c r="C4157" t="str">
        <f t="shared" ref="C4157:C4180" si="276">"83878"</f>
        <v>83878</v>
      </c>
      <c r="D4157" t="s">
        <v>1016</v>
      </c>
      <c r="E4157">
        <v>122.4</v>
      </c>
      <c r="F4157">
        <v>20131121</v>
      </c>
      <c r="G4157" t="s">
        <v>837</v>
      </c>
      <c r="H4157" t="s">
        <v>1018</v>
      </c>
      <c r="I4157" t="s">
        <v>21</v>
      </c>
    </row>
    <row r="4158" spans="1:9" x14ac:dyDescent="0.25">
      <c r="A4158">
        <v>20131122</v>
      </c>
      <c r="B4158" t="str">
        <f t="shared" si="275"/>
        <v>112966</v>
      </c>
      <c r="C4158" t="str">
        <f t="shared" si="276"/>
        <v>83878</v>
      </c>
      <c r="D4158" t="s">
        <v>1016</v>
      </c>
      <c r="E4158" s="1">
        <v>1963.7</v>
      </c>
      <c r="F4158">
        <v>20131121</v>
      </c>
      <c r="G4158" t="s">
        <v>1026</v>
      </c>
      <c r="H4158" t="s">
        <v>1018</v>
      </c>
      <c r="I4158" t="s">
        <v>21</v>
      </c>
    </row>
    <row r="4159" spans="1:9" x14ac:dyDescent="0.25">
      <c r="A4159">
        <v>20131122</v>
      </c>
      <c r="B4159" t="str">
        <f t="shared" si="275"/>
        <v>112966</v>
      </c>
      <c r="C4159" t="str">
        <f t="shared" si="276"/>
        <v>83878</v>
      </c>
      <c r="D4159" t="s">
        <v>1016</v>
      </c>
      <c r="E4159">
        <v>59.31</v>
      </c>
      <c r="F4159">
        <v>20131121</v>
      </c>
      <c r="G4159" t="s">
        <v>973</v>
      </c>
      <c r="H4159" t="s">
        <v>1018</v>
      </c>
      <c r="I4159" t="s">
        <v>21</v>
      </c>
    </row>
    <row r="4160" spans="1:9" x14ac:dyDescent="0.25">
      <c r="A4160">
        <v>20131122</v>
      </c>
      <c r="B4160" t="str">
        <f t="shared" si="275"/>
        <v>112966</v>
      </c>
      <c r="C4160" t="str">
        <f t="shared" si="276"/>
        <v>83878</v>
      </c>
      <c r="D4160" t="s">
        <v>1016</v>
      </c>
      <c r="E4160">
        <v>15.09</v>
      </c>
      <c r="F4160">
        <v>20131121</v>
      </c>
      <c r="G4160" t="s">
        <v>926</v>
      </c>
      <c r="H4160" t="s">
        <v>1018</v>
      </c>
      <c r="I4160" t="s">
        <v>21</v>
      </c>
    </row>
    <row r="4161" spans="1:9" x14ac:dyDescent="0.25">
      <c r="A4161">
        <v>20131122</v>
      </c>
      <c r="B4161" t="str">
        <f t="shared" si="275"/>
        <v>112966</v>
      </c>
      <c r="C4161" t="str">
        <f t="shared" si="276"/>
        <v>83878</v>
      </c>
      <c r="D4161" t="s">
        <v>1016</v>
      </c>
      <c r="E4161">
        <v>72.67</v>
      </c>
      <c r="F4161">
        <v>20131121</v>
      </c>
      <c r="G4161" t="s">
        <v>367</v>
      </c>
      <c r="H4161" t="s">
        <v>1018</v>
      </c>
      <c r="I4161" t="s">
        <v>21</v>
      </c>
    </row>
    <row r="4162" spans="1:9" x14ac:dyDescent="0.25">
      <c r="A4162">
        <v>20131122</v>
      </c>
      <c r="B4162" t="str">
        <f t="shared" si="275"/>
        <v>112966</v>
      </c>
      <c r="C4162" t="str">
        <f t="shared" si="276"/>
        <v>83878</v>
      </c>
      <c r="D4162" t="s">
        <v>1016</v>
      </c>
      <c r="E4162">
        <v>542.25</v>
      </c>
      <c r="F4162">
        <v>20131121</v>
      </c>
      <c r="G4162" t="s">
        <v>413</v>
      </c>
      <c r="H4162" t="s">
        <v>1018</v>
      </c>
      <c r="I4162" t="s">
        <v>21</v>
      </c>
    </row>
    <row r="4163" spans="1:9" x14ac:dyDescent="0.25">
      <c r="A4163">
        <v>20131122</v>
      </c>
      <c r="B4163" t="str">
        <f t="shared" si="275"/>
        <v>112966</v>
      </c>
      <c r="C4163" t="str">
        <f t="shared" si="276"/>
        <v>83878</v>
      </c>
      <c r="D4163" t="s">
        <v>1016</v>
      </c>
      <c r="E4163">
        <v>79</v>
      </c>
      <c r="F4163">
        <v>20131121</v>
      </c>
      <c r="G4163" t="s">
        <v>627</v>
      </c>
      <c r="H4163" t="s">
        <v>1018</v>
      </c>
      <c r="I4163" t="s">
        <v>21</v>
      </c>
    </row>
    <row r="4164" spans="1:9" x14ac:dyDescent="0.25">
      <c r="A4164">
        <v>20131122</v>
      </c>
      <c r="B4164" t="str">
        <f t="shared" si="275"/>
        <v>112966</v>
      </c>
      <c r="C4164" t="str">
        <f t="shared" si="276"/>
        <v>83878</v>
      </c>
      <c r="D4164" t="s">
        <v>1016</v>
      </c>
      <c r="E4164">
        <v>511.78</v>
      </c>
      <c r="F4164">
        <v>20131121</v>
      </c>
      <c r="G4164" t="s">
        <v>392</v>
      </c>
      <c r="H4164" t="s">
        <v>1018</v>
      </c>
      <c r="I4164" t="s">
        <v>21</v>
      </c>
    </row>
    <row r="4165" spans="1:9" x14ac:dyDescent="0.25">
      <c r="A4165">
        <v>20131122</v>
      </c>
      <c r="B4165" t="str">
        <f t="shared" si="275"/>
        <v>112966</v>
      </c>
      <c r="C4165" t="str">
        <f t="shared" si="276"/>
        <v>83878</v>
      </c>
      <c r="D4165" t="s">
        <v>1016</v>
      </c>
      <c r="E4165">
        <v>724</v>
      </c>
      <c r="F4165">
        <v>20131121</v>
      </c>
      <c r="G4165" t="s">
        <v>1224</v>
      </c>
      <c r="H4165" t="s">
        <v>1018</v>
      </c>
      <c r="I4165" t="s">
        <v>21</v>
      </c>
    </row>
    <row r="4166" spans="1:9" x14ac:dyDescent="0.25">
      <c r="A4166">
        <v>20131122</v>
      </c>
      <c r="B4166" t="str">
        <f t="shared" si="275"/>
        <v>112966</v>
      </c>
      <c r="C4166" t="str">
        <f t="shared" si="276"/>
        <v>83878</v>
      </c>
      <c r="D4166" t="s">
        <v>1016</v>
      </c>
      <c r="E4166">
        <v>99</v>
      </c>
      <c r="F4166">
        <v>20131121</v>
      </c>
      <c r="G4166" t="s">
        <v>1224</v>
      </c>
      <c r="H4166" t="s">
        <v>1018</v>
      </c>
      <c r="I4166" t="s">
        <v>21</v>
      </c>
    </row>
    <row r="4167" spans="1:9" x14ac:dyDescent="0.25">
      <c r="A4167">
        <v>20131122</v>
      </c>
      <c r="B4167" t="str">
        <f t="shared" si="275"/>
        <v>112966</v>
      </c>
      <c r="C4167" t="str">
        <f t="shared" si="276"/>
        <v>83878</v>
      </c>
      <c r="D4167" t="s">
        <v>1016</v>
      </c>
      <c r="E4167" s="1">
        <v>4616.2</v>
      </c>
      <c r="F4167">
        <v>20131121</v>
      </c>
      <c r="G4167" t="s">
        <v>840</v>
      </c>
      <c r="H4167" t="s">
        <v>1018</v>
      </c>
      <c r="I4167" t="s">
        <v>21</v>
      </c>
    </row>
    <row r="4168" spans="1:9" x14ac:dyDescent="0.25">
      <c r="A4168">
        <v>20131122</v>
      </c>
      <c r="B4168" t="str">
        <f t="shared" si="275"/>
        <v>112966</v>
      </c>
      <c r="C4168" t="str">
        <f t="shared" si="276"/>
        <v>83878</v>
      </c>
      <c r="D4168" t="s">
        <v>1016</v>
      </c>
      <c r="E4168">
        <v>311.32</v>
      </c>
      <c r="F4168">
        <v>20131121</v>
      </c>
      <c r="G4168" t="s">
        <v>1247</v>
      </c>
      <c r="H4168" t="s">
        <v>1018</v>
      </c>
      <c r="I4168" t="s">
        <v>66</v>
      </c>
    </row>
    <row r="4169" spans="1:9" x14ac:dyDescent="0.25">
      <c r="A4169">
        <v>20131122</v>
      </c>
      <c r="B4169" t="str">
        <f t="shared" si="275"/>
        <v>112966</v>
      </c>
      <c r="C4169" t="str">
        <f t="shared" si="276"/>
        <v>83878</v>
      </c>
      <c r="D4169" t="s">
        <v>1016</v>
      </c>
      <c r="E4169">
        <v>183.57</v>
      </c>
      <c r="F4169">
        <v>20131121</v>
      </c>
      <c r="G4169" t="s">
        <v>810</v>
      </c>
      <c r="H4169" t="s">
        <v>1018</v>
      </c>
      <c r="I4169" t="s">
        <v>66</v>
      </c>
    </row>
    <row r="4170" spans="1:9" x14ac:dyDescent="0.25">
      <c r="A4170">
        <v>20131122</v>
      </c>
      <c r="B4170" t="str">
        <f t="shared" si="275"/>
        <v>112966</v>
      </c>
      <c r="C4170" t="str">
        <f t="shared" si="276"/>
        <v>83878</v>
      </c>
      <c r="D4170" t="s">
        <v>1016</v>
      </c>
      <c r="E4170">
        <v>457.25</v>
      </c>
      <c r="F4170">
        <v>20131121</v>
      </c>
      <c r="G4170" t="s">
        <v>331</v>
      </c>
      <c r="H4170" t="s">
        <v>1018</v>
      </c>
      <c r="I4170" t="s">
        <v>12</v>
      </c>
    </row>
    <row r="4171" spans="1:9" x14ac:dyDescent="0.25">
      <c r="A4171">
        <v>20131122</v>
      </c>
      <c r="B4171" t="str">
        <f t="shared" si="275"/>
        <v>112966</v>
      </c>
      <c r="C4171" t="str">
        <f t="shared" si="276"/>
        <v>83878</v>
      </c>
      <c r="D4171" t="s">
        <v>1016</v>
      </c>
      <c r="E4171">
        <v>19.52</v>
      </c>
      <c r="F4171">
        <v>20131121</v>
      </c>
      <c r="G4171" t="s">
        <v>1145</v>
      </c>
      <c r="H4171" t="s">
        <v>1018</v>
      </c>
      <c r="I4171" t="s">
        <v>73</v>
      </c>
    </row>
    <row r="4172" spans="1:9" x14ac:dyDescent="0.25">
      <c r="A4172">
        <v>20131122</v>
      </c>
      <c r="B4172" t="str">
        <f t="shared" si="275"/>
        <v>112966</v>
      </c>
      <c r="C4172" t="str">
        <f t="shared" si="276"/>
        <v>83878</v>
      </c>
      <c r="D4172" t="s">
        <v>1016</v>
      </c>
      <c r="E4172">
        <v>680</v>
      </c>
      <c r="F4172">
        <v>20131121</v>
      </c>
      <c r="G4172" t="s">
        <v>1145</v>
      </c>
      <c r="H4172" t="s">
        <v>1018</v>
      </c>
      <c r="I4172" t="s">
        <v>73</v>
      </c>
    </row>
    <row r="4173" spans="1:9" x14ac:dyDescent="0.25">
      <c r="A4173">
        <v>20131122</v>
      </c>
      <c r="B4173" t="str">
        <f t="shared" si="275"/>
        <v>112966</v>
      </c>
      <c r="C4173" t="str">
        <f t="shared" si="276"/>
        <v>83878</v>
      </c>
      <c r="D4173" t="s">
        <v>1016</v>
      </c>
      <c r="E4173">
        <v>100</v>
      </c>
      <c r="F4173">
        <v>20131121</v>
      </c>
      <c r="G4173" t="s">
        <v>2443</v>
      </c>
      <c r="H4173" t="s">
        <v>1018</v>
      </c>
      <c r="I4173" t="s">
        <v>233</v>
      </c>
    </row>
    <row r="4174" spans="1:9" x14ac:dyDescent="0.25">
      <c r="A4174">
        <v>20131122</v>
      </c>
      <c r="B4174" t="str">
        <f t="shared" si="275"/>
        <v>112966</v>
      </c>
      <c r="C4174" t="str">
        <f t="shared" si="276"/>
        <v>83878</v>
      </c>
      <c r="D4174" t="s">
        <v>1016</v>
      </c>
      <c r="E4174">
        <v>891.44</v>
      </c>
      <c r="F4174">
        <v>20131121</v>
      </c>
      <c r="G4174" t="s">
        <v>181</v>
      </c>
      <c r="H4174" t="s">
        <v>2444</v>
      </c>
      <c r="I4174" t="s">
        <v>38</v>
      </c>
    </row>
    <row r="4175" spans="1:9" x14ac:dyDescent="0.25">
      <c r="A4175">
        <v>20131122</v>
      </c>
      <c r="B4175" t="str">
        <f t="shared" si="275"/>
        <v>112966</v>
      </c>
      <c r="C4175" t="str">
        <f t="shared" si="276"/>
        <v>83878</v>
      </c>
      <c r="D4175" t="s">
        <v>1016</v>
      </c>
      <c r="E4175">
        <v>79.08</v>
      </c>
      <c r="F4175">
        <v>20131121</v>
      </c>
      <c r="G4175" t="s">
        <v>39</v>
      </c>
      <c r="H4175" t="s">
        <v>1018</v>
      </c>
      <c r="I4175" t="s">
        <v>38</v>
      </c>
    </row>
    <row r="4176" spans="1:9" x14ac:dyDescent="0.25">
      <c r="A4176">
        <v>20131122</v>
      </c>
      <c r="B4176" t="str">
        <f t="shared" si="275"/>
        <v>112966</v>
      </c>
      <c r="C4176" t="str">
        <f t="shared" si="276"/>
        <v>83878</v>
      </c>
      <c r="D4176" t="s">
        <v>1016</v>
      </c>
      <c r="E4176">
        <v>714</v>
      </c>
      <c r="F4176">
        <v>20131121</v>
      </c>
      <c r="G4176" t="s">
        <v>1028</v>
      </c>
      <c r="H4176" t="s">
        <v>1018</v>
      </c>
      <c r="I4176" t="s">
        <v>38</v>
      </c>
    </row>
    <row r="4177" spans="1:9" x14ac:dyDescent="0.25">
      <c r="A4177">
        <v>20131122</v>
      </c>
      <c r="B4177" t="str">
        <f t="shared" si="275"/>
        <v>112966</v>
      </c>
      <c r="C4177" t="str">
        <f t="shared" si="276"/>
        <v>83878</v>
      </c>
      <c r="D4177" t="s">
        <v>1016</v>
      </c>
      <c r="E4177" s="1">
        <v>2174.7800000000002</v>
      </c>
      <c r="F4177">
        <v>20131121</v>
      </c>
      <c r="G4177" t="s">
        <v>1426</v>
      </c>
      <c r="H4177" t="s">
        <v>1018</v>
      </c>
      <c r="I4177" t="s">
        <v>38</v>
      </c>
    </row>
    <row r="4178" spans="1:9" x14ac:dyDescent="0.25">
      <c r="A4178">
        <v>20131122</v>
      </c>
      <c r="B4178" t="str">
        <f t="shared" si="275"/>
        <v>112966</v>
      </c>
      <c r="C4178" t="str">
        <f t="shared" si="276"/>
        <v>83878</v>
      </c>
      <c r="D4178" t="s">
        <v>1016</v>
      </c>
      <c r="E4178">
        <v>833.95</v>
      </c>
      <c r="F4178">
        <v>20131121</v>
      </c>
      <c r="G4178" t="s">
        <v>189</v>
      </c>
      <c r="H4178" t="s">
        <v>1018</v>
      </c>
      <c r="I4178" t="s">
        <v>25</v>
      </c>
    </row>
    <row r="4179" spans="1:9" x14ac:dyDescent="0.25">
      <c r="A4179">
        <v>20131122</v>
      </c>
      <c r="B4179" t="str">
        <f t="shared" si="275"/>
        <v>112966</v>
      </c>
      <c r="C4179" t="str">
        <f t="shared" si="276"/>
        <v>83878</v>
      </c>
      <c r="D4179" t="s">
        <v>1016</v>
      </c>
      <c r="E4179">
        <v>479.75</v>
      </c>
      <c r="F4179">
        <v>20131121</v>
      </c>
      <c r="G4179" t="s">
        <v>209</v>
      </c>
      <c r="H4179" t="s">
        <v>1018</v>
      </c>
      <c r="I4179" t="s">
        <v>25</v>
      </c>
    </row>
    <row r="4180" spans="1:9" x14ac:dyDescent="0.25">
      <c r="A4180">
        <v>20131122</v>
      </c>
      <c r="B4180" t="str">
        <f t="shared" si="275"/>
        <v>112966</v>
      </c>
      <c r="C4180" t="str">
        <f t="shared" si="276"/>
        <v>83878</v>
      </c>
      <c r="D4180" t="s">
        <v>1016</v>
      </c>
      <c r="E4180">
        <v>509.28</v>
      </c>
      <c r="F4180">
        <v>20131121</v>
      </c>
      <c r="G4180" t="s">
        <v>910</v>
      </c>
      <c r="H4180" t="s">
        <v>1018</v>
      </c>
      <c r="I4180" t="s">
        <v>25</v>
      </c>
    </row>
    <row r="4181" spans="1:9" x14ac:dyDescent="0.25">
      <c r="A4181">
        <v>20131122</v>
      </c>
      <c r="B4181" t="str">
        <f>"112967"</f>
        <v>112967</v>
      </c>
      <c r="C4181" t="str">
        <f>"18025"</f>
        <v>18025</v>
      </c>
      <c r="D4181" t="s">
        <v>514</v>
      </c>
      <c r="E4181">
        <v>49.9</v>
      </c>
      <c r="F4181">
        <v>20131122</v>
      </c>
      <c r="G4181" t="s">
        <v>356</v>
      </c>
      <c r="H4181" t="s">
        <v>357</v>
      </c>
      <c r="I4181" t="s">
        <v>61</v>
      </c>
    </row>
    <row r="4182" spans="1:9" x14ac:dyDescent="0.25">
      <c r="A4182">
        <v>20131122</v>
      </c>
      <c r="B4182" t="str">
        <f>"112967"</f>
        <v>112967</v>
      </c>
      <c r="C4182" t="str">
        <f>"18025"</f>
        <v>18025</v>
      </c>
      <c r="D4182" t="s">
        <v>514</v>
      </c>
      <c r="E4182">
        <v>130</v>
      </c>
      <c r="F4182">
        <v>20131122</v>
      </c>
      <c r="G4182" t="s">
        <v>1030</v>
      </c>
      <c r="H4182" t="s">
        <v>357</v>
      </c>
      <c r="I4182" t="s">
        <v>63</v>
      </c>
    </row>
    <row r="4183" spans="1:9" x14ac:dyDescent="0.25">
      <c r="A4183">
        <v>20131122</v>
      </c>
      <c r="B4183" t="str">
        <f>"112967"</f>
        <v>112967</v>
      </c>
      <c r="C4183" t="str">
        <f>"18025"</f>
        <v>18025</v>
      </c>
      <c r="D4183" t="s">
        <v>514</v>
      </c>
      <c r="E4183">
        <v>400</v>
      </c>
      <c r="F4183">
        <v>20131122</v>
      </c>
      <c r="G4183" t="s">
        <v>1030</v>
      </c>
      <c r="H4183" t="s">
        <v>357</v>
      </c>
      <c r="I4183" t="s">
        <v>63</v>
      </c>
    </row>
    <row r="4184" spans="1:9" x14ac:dyDescent="0.25">
      <c r="A4184">
        <v>20131122</v>
      </c>
      <c r="B4184" t="str">
        <f>"112968"</f>
        <v>112968</v>
      </c>
      <c r="C4184" t="str">
        <f>"19750"</f>
        <v>19750</v>
      </c>
      <c r="D4184" t="s">
        <v>2445</v>
      </c>
      <c r="E4184">
        <v>264.92</v>
      </c>
      <c r="F4184">
        <v>20131121</v>
      </c>
      <c r="G4184" t="s">
        <v>2423</v>
      </c>
      <c r="H4184" t="s">
        <v>365</v>
      </c>
      <c r="I4184" t="s">
        <v>21</v>
      </c>
    </row>
    <row r="4185" spans="1:9" x14ac:dyDescent="0.25">
      <c r="A4185">
        <v>20131122</v>
      </c>
      <c r="B4185" t="str">
        <f>"112969"</f>
        <v>112969</v>
      </c>
      <c r="C4185" t="str">
        <f>"23827"</f>
        <v>23827</v>
      </c>
      <c r="D4185" t="s">
        <v>528</v>
      </c>
      <c r="E4185">
        <v>57</v>
      </c>
      <c r="F4185">
        <v>20131122</v>
      </c>
      <c r="G4185" t="s">
        <v>1193</v>
      </c>
      <c r="H4185" t="s">
        <v>2446</v>
      </c>
      <c r="I4185" t="s">
        <v>25</v>
      </c>
    </row>
    <row r="4186" spans="1:9" x14ac:dyDescent="0.25">
      <c r="A4186">
        <v>20131122</v>
      </c>
      <c r="B4186" t="str">
        <f>"112970"</f>
        <v>112970</v>
      </c>
      <c r="C4186" t="str">
        <f>"26185"</f>
        <v>26185</v>
      </c>
      <c r="D4186" t="s">
        <v>2447</v>
      </c>
      <c r="E4186">
        <v>466</v>
      </c>
      <c r="F4186">
        <v>20131121</v>
      </c>
      <c r="G4186" t="s">
        <v>1729</v>
      </c>
      <c r="H4186" t="s">
        <v>2448</v>
      </c>
      <c r="I4186" t="s">
        <v>61</v>
      </c>
    </row>
    <row r="4187" spans="1:9" x14ac:dyDescent="0.25">
      <c r="A4187">
        <v>20131122</v>
      </c>
      <c r="B4187" t="str">
        <f>"112971"</f>
        <v>112971</v>
      </c>
      <c r="C4187" t="str">
        <f>"87637"</f>
        <v>87637</v>
      </c>
      <c r="D4187" t="s">
        <v>2449</v>
      </c>
      <c r="E4187">
        <v>163.02000000000001</v>
      </c>
      <c r="F4187">
        <v>20131122</v>
      </c>
      <c r="G4187" t="s">
        <v>1846</v>
      </c>
      <c r="H4187" t="s">
        <v>765</v>
      </c>
      <c r="I4187" t="s">
        <v>63</v>
      </c>
    </row>
    <row r="4188" spans="1:9" x14ac:dyDescent="0.25">
      <c r="A4188">
        <v>20131122</v>
      </c>
      <c r="B4188" t="str">
        <f>"112972"</f>
        <v>112972</v>
      </c>
      <c r="C4188" t="str">
        <f>"84980"</f>
        <v>84980</v>
      </c>
      <c r="D4188" t="s">
        <v>591</v>
      </c>
      <c r="E4188">
        <v>24.07</v>
      </c>
      <c r="F4188">
        <v>20131122</v>
      </c>
      <c r="G4188" t="s">
        <v>834</v>
      </c>
      <c r="H4188" t="s">
        <v>2450</v>
      </c>
      <c r="I4188" t="s">
        <v>21</v>
      </c>
    </row>
    <row r="4189" spans="1:9" x14ac:dyDescent="0.25">
      <c r="A4189">
        <v>20131122</v>
      </c>
      <c r="B4189" t="str">
        <f>"112972"</f>
        <v>112972</v>
      </c>
      <c r="C4189" t="str">
        <f>"84980"</f>
        <v>84980</v>
      </c>
      <c r="D4189" t="s">
        <v>591</v>
      </c>
      <c r="E4189">
        <v>49.4</v>
      </c>
      <c r="F4189">
        <v>20131121</v>
      </c>
      <c r="G4189" t="s">
        <v>837</v>
      </c>
      <c r="H4189" t="s">
        <v>2451</v>
      </c>
      <c r="I4189" t="s">
        <v>21</v>
      </c>
    </row>
    <row r="4190" spans="1:9" x14ac:dyDescent="0.25">
      <c r="A4190">
        <v>20131122</v>
      </c>
      <c r="B4190" t="str">
        <f>"112973"</f>
        <v>112973</v>
      </c>
      <c r="C4190" t="str">
        <f>"83093"</f>
        <v>83093</v>
      </c>
      <c r="D4190" t="s">
        <v>1439</v>
      </c>
      <c r="E4190">
        <v>553.70000000000005</v>
      </c>
      <c r="F4190">
        <v>20131121</v>
      </c>
      <c r="G4190" t="s">
        <v>699</v>
      </c>
      <c r="H4190" t="s">
        <v>2452</v>
      </c>
      <c r="I4190" t="s">
        <v>61</v>
      </c>
    </row>
    <row r="4191" spans="1:9" x14ac:dyDescent="0.25">
      <c r="A4191">
        <v>20131122</v>
      </c>
      <c r="B4191" t="str">
        <f>"112974"</f>
        <v>112974</v>
      </c>
      <c r="C4191" t="str">
        <f>"37565"</f>
        <v>37565</v>
      </c>
      <c r="D4191" t="s">
        <v>609</v>
      </c>
      <c r="E4191">
        <v>107.25</v>
      </c>
      <c r="F4191">
        <v>20131122</v>
      </c>
      <c r="G4191" t="s">
        <v>872</v>
      </c>
      <c r="H4191" t="s">
        <v>2453</v>
      </c>
      <c r="I4191" t="s">
        <v>21</v>
      </c>
    </row>
    <row r="4192" spans="1:9" x14ac:dyDescent="0.25">
      <c r="A4192">
        <v>20131122</v>
      </c>
      <c r="B4192" t="str">
        <f>"112975"</f>
        <v>112975</v>
      </c>
      <c r="C4192" t="str">
        <f>"87634"</f>
        <v>87634</v>
      </c>
      <c r="D4192" t="s">
        <v>2454</v>
      </c>
      <c r="E4192">
        <v>229.23</v>
      </c>
      <c r="F4192">
        <v>20131121</v>
      </c>
      <c r="G4192" t="s">
        <v>1723</v>
      </c>
      <c r="H4192" t="s">
        <v>365</v>
      </c>
      <c r="I4192" t="s">
        <v>66</v>
      </c>
    </row>
    <row r="4193" spans="1:9" x14ac:dyDescent="0.25">
      <c r="A4193">
        <v>20131122</v>
      </c>
      <c r="B4193" t="str">
        <f>"112976"</f>
        <v>112976</v>
      </c>
      <c r="C4193" t="str">
        <f>"87639"</f>
        <v>87639</v>
      </c>
      <c r="D4193" t="s">
        <v>2455</v>
      </c>
      <c r="E4193">
        <v>80</v>
      </c>
      <c r="F4193">
        <v>20131122</v>
      </c>
      <c r="G4193" t="s">
        <v>1846</v>
      </c>
      <c r="H4193" t="s">
        <v>765</v>
      </c>
      <c r="I4193" t="s">
        <v>63</v>
      </c>
    </row>
    <row r="4194" spans="1:9" x14ac:dyDescent="0.25">
      <c r="A4194">
        <v>20131122</v>
      </c>
      <c r="B4194" t="str">
        <f>"112977"</f>
        <v>112977</v>
      </c>
      <c r="C4194" t="str">
        <f>"87635"</f>
        <v>87635</v>
      </c>
      <c r="D4194" t="s">
        <v>2456</v>
      </c>
      <c r="E4194">
        <v>80</v>
      </c>
      <c r="F4194">
        <v>20131122</v>
      </c>
      <c r="G4194" t="s">
        <v>1846</v>
      </c>
      <c r="H4194" t="s">
        <v>765</v>
      </c>
      <c r="I4194" t="s">
        <v>63</v>
      </c>
    </row>
    <row r="4195" spans="1:9" x14ac:dyDescent="0.25">
      <c r="A4195">
        <v>20131122</v>
      </c>
      <c r="B4195" t="str">
        <f>"112978"</f>
        <v>112978</v>
      </c>
      <c r="C4195" t="str">
        <f>"85770"</f>
        <v>85770</v>
      </c>
      <c r="D4195" t="s">
        <v>363</v>
      </c>
      <c r="E4195">
        <v>87.21</v>
      </c>
      <c r="F4195">
        <v>20131121</v>
      </c>
      <c r="G4195" t="s">
        <v>364</v>
      </c>
      <c r="H4195" t="s">
        <v>365</v>
      </c>
      <c r="I4195" t="s">
        <v>21</v>
      </c>
    </row>
    <row r="4196" spans="1:9" x14ac:dyDescent="0.25">
      <c r="A4196">
        <v>20131122</v>
      </c>
      <c r="B4196" t="str">
        <f>"112978"</f>
        <v>112978</v>
      </c>
      <c r="C4196" t="str">
        <f>"85770"</f>
        <v>85770</v>
      </c>
      <c r="D4196" t="s">
        <v>363</v>
      </c>
      <c r="E4196">
        <v>41.22</v>
      </c>
      <c r="F4196">
        <v>20131122</v>
      </c>
      <c r="G4196" t="s">
        <v>364</v>
      </c>
      <c r="H4196" t="s">
        <v>563</v>
      </c>
      <c r="I4196" t="s">
        <v>21</v>
      </c>
    </row>
    <row r="4197" spans="1:9" x14ac:dyDescent="0.25">
      <c r="A4197">
        <v>20131122</v>
      </c>
      <c r="B4197" t="str">
        <f>"112979"</f>
        <v>112979</v>
      </c>
      <c r="C4197" t="str">
        <f>"55675"</f>
        <v>55675</v>
      </c>
      <c r="D4197" t="s">
        <v>1114</v>
      </c>
      <c r="E4197">
        <v>496.99</v>
      </c>
      <c r="F4197">
        <v>20131122</v>
      </c>
      <c r="G4197" t="s">
        <v>506</v>
      </c>
      <c r="H4197" t="s">
        <v>2457</v>
      </c>
      <c r="I4197" t="s">
        <v>21</v>
      </c>
    </row>
    <row r="4198" spans="1:9" x14ac:dyDescent="0.25">
      <c r="A4198">
        <v>20131122</v>
      </c>
      <c r="B4198" t="str">
        <f>"112980"</f>
        <v>112980</v>
      </c>
      <c r="C4198" t="str">
        <f>"58772"</f>
        <v>58772</v>
      </c>
      <c r="D4198" t="s">
        <v>934</v>
      </c>
      <c r="E4198">
        <v>247.8</v>
      </c>
      <c r="F4198">
        <v>20131121</v>
      </c>
      <c r="G4198" t="s">
        <v>2458</v>
      </c>
      <c r="H4198" t="s">
        <v>2459</v>
      </c>
      <c r="I4198" t="s">
        <v>21</v>
      </c>
    </row>
    <row r="4199" spans="1:9" x14ac:dyDescent="0.25">
      <c r="A4199">
        <v>20131122</v>
      </c>
      <c r="B4199" t="str">
        <f>"112981"</f>
        <v>112981</v>
      </c>
      <c r="C4199" t="str">
        <f>"86695"</f>
        <v>86695</v>
      </c>
      <c r="D4199" t="s">
        <v>2460</v>
      </c>
      <c r="E4199" s="1">
        <v>2234</v>
      </c>
      <c r="F4199">
        <v>20131121</v>
      </c>
      <c r="G4199" t="s">
        <v>574</v>
      </c>
      <c r="H4199" t="s">
        <v>2461</v>
      </c>
      <c r="I4199" t="s">
        <v>21</v>
      </c>
    </row>
    <row r="4200" spans="1:9" x14ac:dyDescent="0.25">
      <c r="A4200">
        <v>20131122</v>
      </c>
      <c r="B4200" t="str">
        <f>"112982"</f>
        <v>112982</v>
      </c>
      <c r="C4200" t="str">
        <f>"00033"</f>
        <v>00033</v>
      </c>
      <c r="D4200" t="s">
        <v>2462</v>
      </c>
      <c r="E4200">
        <v>459.73</v>
      </c>
      <c r="F4200">
        <v>20131121</v>
      </c>
      <c r="G4200" t="s">
        <v>699</v>
      </c>
      <c r="H4200" t="s">
        <v>2463</v>
      </c>
      <c r="I4200" t="s">
        <v>61</v>
      </c>
    </row>
    <row r="4201" spans="1:9" x14ac:dyDescent="0.25">
      <c r="A4201">
        <v>20131122</v>
      </c>
      <c r="B4201" t="str">
        <f>"112983"</f>
        <v>112983</v>
      </c>
      <c r="C4201" t="str">
        <f>"69575"</f>
        <v>69575</v>
      </c>
      <c r="D4201" t="s">
        <v>2032</v>
      </c>
      <c r="E4201">
        <v>40</v>
      </c>
      <c r="F4201">
        <v>20131122</v>
      </c>
      <c r="G4201" t="s">
        <v>2358</v>
      </c>
      <c r="H4201" t="s">
        <v>2464</v>
      </c>
      <c r="I4201" t="s">
        <v>21</v>
      </c>
    </row>
    <row r="4202" spans="1:9" x14ac:dyDescent="0.25">
      <c r="A4202">
        <v>20131122</v>
      </c>
      <c r="B4202" t="str">
        <f>"112984"</f>
        <v>112984</v>
      </c>
      <c r="C4202" t="str">
        <f>"70760"</f>
        <v>70760</v>
      </c>
      <c r="D4202" t="s">
        <v>963</v>
      </c>
      <c r="E4202">
        <v>367</v>
      </c>
      <c r="F4202">
        <v>20131121</v>
      </c>
      <c r="G4202" t="s">
        <v>2465</v>
      </c>
      <c r="H4202" t="s">
        <v>2466</v>
      </c>
      <c r="I4202" t="s">
        <v>21</v>
      </c>
    </row>
    <row r="4203" spans="1:9" x14ac:dyDescent="0.25">
      <c r="A4203">
        <v>20131122</v>
      </c>
      <c r="B4203" t="str">
        <f t="shared" ref="B4203:B4210" si="277">"112985"</f>
        <v>112985</v>
      </c>
      <c r="C4203" t="str">
        <f t="shared" ref="C4203:C4210" si="278">"81458"</f>
        <v>81458</v>
      </c>
      <c r="D4203" t="s">
        <v>2036</v>
      </c>
      <c r="E4203">
        <v>250</v>
      </c>
      <c r="F4203">
        <v>20131121</v>
      </c>
      <c r="G4203" t="s">
        <v>2467</v>
      </c>
      <c r="H4203" t="s">
        <v>2468</v>
      </c>
      <c r="I4203" t="s">
        <v>21</v>
      </c>
    </row>
    <row r="4204" spans="1:9" x14ac:dyDescent="0.25">
      <c r="A4204">
        <v>20131122</v>
      </c>
      <c r="B4204" t="str">
        <f t="shared" si="277"/>
        <v>112985</v>
      </c>
      <c r="C4204" t="str">
        <f t="shared" si="278"/>
        <v>81458</v>
      </c>
      <c r="D4204" t="s">
        <v>2036</v>
      </c>
      <c r="E4204">
        <v>125</v>
      </c>
      <c r="F4204">
        <v>20131121</v>
      </c>
      <c r="G4204" t="s">
        <v>2469</v>
      </c>
      <c r="H4204" t="s">
        <v>2468</v>
      </c>
      <c r="I4204" t="s">
        <v>21</v>
      </c>
    </row>
    <row r="4205" spans="1:9" x14ac:dyDescent="0.25">
      <c r="A4205">
        <v>20131122</v>
      </c>
      <c r="B4205" t="str">
        <f t="shared" si="277"/>
        <v>112985</v>
      </c>
      <c r="C4205" t="str">
        <f t="shared" si="278"/>
        <v>81458</v>
      </c>
      <c r="D4205" t="s">
        <v>2036</v>
      </c>
      <c r="E4205">
        <v>125</v>
      </c>
      <c r="F4205">
        <v>20131121</v>
      </c>
      <c r="G4205" t="s">
        <v>2470</v>
      </c>
      <c r="H4205" t="s">
        <v>2468</v>
      </c>
      <c r="I4205" t="s">
        <v>21</v>
      </c>
    </row>
    <row r="4206" spans="1:9" x14ac:dyDescent="0.25">
      <c r="A4206">
        <v>20131122</v>
      </c>
      <c r="B4206" t="str">
        <f t="shared" si="277"/>
        <v>112985</v>
      </c>
      <c r="C4206" t="str">
        <f t="shared" si="278"/>
        <v>81458</v>
      </c>
      <c r="D4206" t="s">
        <v>2036</v>
      </c>
      <c r="E4206">
        <v>125</v>
      </c>
      <c r="F4206">
        <v>20131121</v>
      </c>
      <c r="G4206" t="s">
        <v>2471</v>
      </c>
      <c r="H4206" t="s">
        <v>2468</v>
      </c>
      <c r="I4206" t="s">
        <v>21</v>
      </c>
    </row>
    <row r="4207" spans="1:9" x14ac:dyDescent="0.25">
      <c r="A4207">
        <v>20131122</v>
      </c>
      <c r="B4207" t="str">
        <f t="shared" si="277"/>
        <v>112985</v>
      </c>
      <c r="C4207" t="str">
        <f t="shared" si="278"/>
        <v>81458</v>
      </c>
      <c r="D4207" t="s">
        <v>2036</v>
      </c>
      <c r="E4207">
        <v>125</v>
      </c>
      <c r="F4207">
        <v>20131121</v>
      </c>
      <c r="G4207" t="s">
        <v>2472</v>
      </c>
      <c r="H4207" t="s">
        <v>2468</v>
      </c>
      <c r="I4207" t="s">
        <v>21</v>
      </c>
    </row>
    <row r="4208" spans="1:9" x14ac:dyDescent="0.25">
      <c r="A4208">
        <v>20131122</v>
      </c>
      <c r="B4208" t="str">
        <f t="shared" si="277"/>
        <v>112985</v>
      </c>
      <c r="C4208" t="str">
        <f t="shared" si="278"/>
        <v>81458</v>
      </c>
      <c r="D4208" t="s">
        <v>2036</v>
      </c>
      <c r="E4208">
        <v>125</v>
      </c>
      <c r="F4208">
        <v>20131121</v>
      </c>
      <c r="G4208" t="s">
        <v>2473</v>
      </c>
      <c r="H4208" t="s">
        <v>2468</v>
      </c>
      <c r="I4208" t="s">
        <v>21</v>
      </c>
    </row>
    <row r="4209" spans="1:9" x14ac:dyDescent="0.25">
      <c r="A4209">
        <v>20131122</v>
      </c>
      <c r="B4209" t="str">
        <f t="shared" si="277"/>
        <v>112985</v>
      </c>
      <c r="C4209" t="str">
        <f t="shared" si="278"/>
        <v>81458</v>
      </c>
      <c r="D4209" t="s">
        <v>2036</v>
      </c>
      <c r="E4209">
        <v>125</v>
      </c>
      <c r="F4209">
        <v>20131121</v>
      </c>
      <c r="G4209" t="s">
        <v>2474</v>
      </c>
      <c r="H4209" t="s">
        <v>2468</v>
      </c>
      <c r="I4209" t="s">
        <v>21</v>
      </c>
    </row>
    <row r="4210" spans="1:9" x14ac:dyDescent="0.25">
      <c r="A4210">
        <v>20131122</v>
      </c>
      <c r="B4210" t="str">
        <f t="shared" si="277"/>
        <v>112985</v>
      </c>
      <c r="C4210" t="str">
        <f t="shared" si="278"/>
        <v>81458</v>
      </c>
      <c r="D4210" t="s">
        <v>2036</v>
      </c>
      <c r="E4210">
        <v>500</v>
      </c>
      <c r="F4210">
        <v>20131121</v>
      </c>
      <c r="G4210" t="s">
        <v>1724</v>
      </c>
      <c r="H4210" t="s">
        <v>2468</v>
      </c>
      <c r="I4210" t="s">
        <v>66</v>
      </c>
    </row>
    <row r="4211" spans="1:9" x14ac:dyDescent="0.25">
      <c r="A4211">
        <v>20131122</v>
      </c>
      <c r="B4211" t="str">
        <f>"112986"</f>
        <v>112986</v>
      </c>
      <c r="C4211" t="str">
        <f>"76904"</f>
        <v>76904</v>
      </c>
      <c r="D4211" t="s">
        <v>1323</v>
      </c>
      <c r="E4211">
        <v>135</v>
      </c>
      <c r="F4211">
        <v>20131122</v>
      </c>
      <c r="G4211" t="s">
        <v>48</v>
      </c>
      <c r="H4211" t="s">
        <v>2475</v>
      </c>
      <c r="I4211" t="s">
        <v>25</v>
      </c>
    </row>
    <row r="4212" spans="1:9" x14ac:dyDescent="0.25">
      <c r="A4212">
        <v>20131205</v>
      </c>
      <c r="B4212" t="str">
        <f>"112987"</f>
        <v>112987</v>
      </c>
      <c r="C4212" t="str">
        <f>"00925"</f>
        <v>00925</v>
      </c>
      <c r="D4212" t="s">
        <v>1553</v>
      </c>
      <c r="E4212" s="1">
        <v>1187.28</v>
      </c>
      <c r="F4212">
        <v>20131204</v>
      </c>
      <c r="G4212" t="s">
        <v>1426</v>
      </c>
      <c r="H4212" t="s">
        <v>354</v>
      </c>
      <c r="I4212" t="s">
        <v>38</v>
      </c>
    </row>
    <row r="4213" spans="1:9" x14ac:dyDescent="0.25">
      <c r="A4213">
        <v>20131205</v>
      </c>
      <c r="B4213" t="str">
        <f>"112988"</f>
        <v>112988</v>
      </c>
      <c r="C4213" t="str">
        <f>"00954"</f>
        <v>00954</v>
      </c>
      <c r="D4213" t="s">
        <v>445</v>
      </c>
      <c r="E4213">
        <v>75</v>
      </c>
      <c r="F4213">
        <v>20131204</v>
      </c>
      <c r="G4213" t="s">
        <v>1030</v>
      </c>
      <c r="H4213" t="s">
        <v>1138</v>
      </c>
      <c r="I4213" t="s">
        <v>63</v>
      </c>
    </row>
    <row r="4214" spans="1:9" x14ac:dyDescent="0.25">
      <c r="A4214">
        <v>20131205</v>
      </c>
      <c r="B4214" t="str">
        <f>"112989"</f>
        <v>112989</v>
      </c>
      <c r="C4214" t="str">
        <f>"52460"</f>
        <v>52460</v>
      </c>
      <c r="D4214" t="s">
        <v>452</v>
      </c>
      <c r="E4214">
        <v>29.54</v>
      </c>
      <c r="F4214">
        <v>20131204</v>
      </c>
      <c r="G4214" t="s">
        <v>145</v>
      </c>
      <c r="H4214" t="s">
        <v>997</v>
      </c>
      <c r="I4214" t="s">
        <v>38</v>
      </c>
    </row>
    <row r="4215" spans="1:9" x14ac:dyDescent="0.25">
      <c r="A4215">
        <v>20131205</v>
      </c>
      <c r="B4215" t="str">
        <f>"112990"</f>
        <v>112990</v>
      </c>
      <c r="C4215" t="str">
        <f>"87466"</f>
        <v>87466</v>
      </c>
      <c r="D4215" t="s">
        <v>468</v>
      </c>
      <c r="E4215">
        <v>200</v>
      </c>
      <c r="F4215">
        <v>20131204</v>
      </c>
      <c r="G4215" t="s">
        <v>469</v>
      </c>
      <c r="H4215" t="s">
        <v>501</v>
      </c>
      <c r="I4215" t="s">
        <v>21</v>
      </c>
    </row>
    <row r="4216" spans="1:9" x14ac:dyDescent="0.25">
      <c r="A4216">
        <v>20131205</v>
      </c>
      <c r="B4216" t="str">
        <f>"112990"</f>
        <v>112990</v>
      </c>
      <c r="C4216" t="str">
        <f>"87466"</f>
        <v>87466</v>
      </c>
      <c r="D4216" t="s">
        <v>468</v>
      </c>
      <c r="E4216">
        <v>490</v>
      </c>
      <c r="F4216">
        <v>20131204</v>
      </c>
      <c r="G4216" t="s">
        <v>469</v>
      </c>
      <c r="H4216" t="s">
        <v>501</v>
      </c>
      <c r="I4216" t="s">
        <v>21</v>
      </c>
    </row>
    <row r="4217" spans="1:9" x14ac:dyDescent="0.25">
      <c r="A4217">
        <v>20131205</v>
      </c>
      <c r="B4217" t="str">
        <f>"112991"</f>
        <v>112991</v>
      </c>
      <c r="C4217" t="str">
        <f>"86628"</f>
        <v>86628</v>
      </c>
      <c r="D4217" t="s">
        <v>2323</v>
      </c>
      <c r="E4217">
        <v>65</v>
      </c>
      <c r="F4217">
        <v>20131203</v>
      </c>
      <c r="G4217" t="s">
        <v>2324</v>
      </c>
      <c r="H4217" t="s">
        <v>765</v>
      </c>
      <c r="I4217" t="s">
        <v>61</v>
      </c>
    </row>
    <row r="4218" spans="1:9" x14ac:dyDescent="0.25">
      <c r="A4218">
        <v>20131205</v>
      </c>
      <c r="B4218" t="str">
        <f>"112992"</f>
        <v>112992</v>
      </c>
      <c r="C4218" t="str">
        <f>"00500"</f>
        <v>00500</v>
      </c>
      <c r="D4218" t="s">
        <v>486</v>
      </c>
      <c r="E4218" s="1">
        <v>10437.26</v>
      </c>
      <c r="F4218">
        <v>20131204</v>
      </c>
      <c r="G4218" t="s">
        <v>487</v>
      </c>
      <c r="H4218" t="s">
        <v>488</v>
      </c>
      <c r="I4218" t="s">
        <v>21</v>
      </c>
    </row>
    <row r="4219" spans="1:9" x14ac:dyDescent="0.25">
      <c r="A4219">
        <v>20131205</v>
      </c>
      <c r="B4219" t="str">
        <f>"112993"</f>
        <v>112993</v>
      </c>
      <c r="C4219" t="str">
        <f>"00500"</f>
        <v>00500</v>
      </c>
      <c r="D4219" t="s">
        <v>486</v>
      </c>
      <c r="E4219">
        <v>981.43</v>
      </c>
      <c r="F4219">
        <v>20131204</v>
      </c>
      <c r="G4219" t="s">
        <v>1705</v>
      </c>
      <c r="H4219" t="s">
        <v>488</v>
      </c>
      <c r="I4219" t="s">
        <v>21</v>
      </c>
    </row>
    <row r="4220" spans="1:9" x14ac:dyDescent="0.25">
      <c r="A4220">
        <v>20131205</v>
      </c>
      <c r="B4220" t="str">
        <f>"112994"</f>
        <v>112994</v>
      </c>
      <c r="C4220" t="str">
        <f>"00500"</f>
        <v>00500</v>
      </c>
      <c r="D4220" t="s">
        <v>486</v>
      </c>
      <c r="E4220">
        <v>604.45000000000005</v>
      </c>
      <c r="F4220">
        <v>20131204</v>
      </c>
      <c r="G4220" t="s">
        <v>1705</v>
      </c>
      <c r="H4220" t="s">
        <v>488</v>
      </c>
      <c r="I4220" t="s">
        <v>21</v>
      </c>
    </row>
    <row r="4221" spans="1:9" x14ac:dyDescent="0.25">
      <c r="A4221">
        <v>20131205</v>
      </c>
      <c r="B4221" t="str">
        <f>"112995"</f>
        <v>112995</v>
      </c>
      <c r="C4221" t="str">
        <f>"86164"</f>
        <v>86164</v>
      </c>
      <c r="D4221" t="s">
        <v>1002</v>
      </c>
      <c r="E4221">
        <v>120</v>
      </c>
      <c r="F4221">
        <v>20131203</v>
      </c>
      <c r="G4221" t="s">
        <v>2324</v>
      </c>
      <c r="H4221" t="s">
        <v>765</v>
      </c>
      <c r="I4221" t="s">
        <v>61</v>
      </c>
    </row>
    <row r="4222" spans="1:9" x14ac:dyDescent="0.25">
      <c r="A4222">
        <v>20131205</v>
      </c>
      <c r="B4222" t="str">
        <f>"112996"</f>
        <v>112996</v>
      </c>
      <c r="C4222" t="str">
        <f>"00130"</f>
        <v>00130</v>
      </c>
      <c r="D4222" t="s">
        <v>1005</v>
      </c>
      <c r="E4222">
        <v>356</v>
      </c>
      <c r="F4222">
        <v>20131204</v>
      </c>
      <c r="G4222" t="s">
        <v>1672</v>
      </c>
      <c r="H4222" t="s">
        <v>361</v>
      </c>
      <c r="I4222" t="s">
        <v>21</v>
      </c>
    </row>
    <row r="4223" spans="1:9" x14ac:dyDescent="0.25">
      <c r="A4223">
        <v>20131205</v>
      </c>
      <c r="B4223" t="str">
        <f t="shared" ref="B4223:B4231" si="279">"112997"</f>
        <v>112997</v>
      </c>
      <c r="C4223" t="str">
        <f t="shared" ref="C4223:C4231" si="280">"00255"</f>
        <v>00255</v>
      </c>
      <c r="D4223" t="s">
        <v>489</v>
      </c>
      <c r="E4223" s="1">
        <v>3436.64</v>
      </c>
      <c r="F4223">
        <v>20131203</v>
      </c>
      <c r="G4223" t="s">
        <v>1351</v>
      </c>
      <c r="H4223" t="s">
        <v>488</v>
      </c>
      <c r="I4223" t="s">
        <v>21</v>
      </c>
    </row>
    <row r="4224" spans="1:9" x14ac:dyDescent="0.25">
      <c r="A4224">
        <v>20131205</v>
      </c>
      <c r="B4224" t="str">
        <f t="shared" si="279"/>
        <v>112997</v>
      </c>
      <c r="C4224" t="str">
        <f t="shared" si="280"/>
        <v>00255</v>
      </c>
      <c r="D4224" t="s">
        <v>489</v>
      </c>
      <c r="E4224">
        <v>764.84</v>
      </c>
      <c r="F4224">
        <v>20131203</v>
      </c>
      <c r="G4224" t="s">
        <v>1183</v>
      </c>
      <c r="H4224" t="s">
        <v>488</v>
      </c>
      <c r="I4224" t="s">
        <v>21</v>
      </c>
    </row>
    <row r="4225" spans="1:9" x14ac:dyDescent="0.25">
      <c r="A4225">
        <v>20131205</v>
      </c>
      <c r="B4225" t="str">
        <f t="shared" si="279"/>
        <v>112997</v>
      </c>
      <c r="C4225" t="str">
        <f t="shared" si="280"/>
        <v>00255</v>
      </c>
      <c r="D4225" t="s">
        <v>489</v>
      </c>
      <c r="E4225">
        <v>100.39</v>
      </c>
      <c r="F4225">
        <v>20131203</v>
      </c>
      <c r="G4225" t="s">
        <v>490</v>
      </c>
      <c r="H4225" t="s">
        <v>488</v>
      </c>
      <c r="I4225" t="s">
        <v>21</v>
      </c>
    </row>
    <row r="4226" spans="1:9" x14ac:dyDescent="0.25">
      <c r="A4226">
        <v>20131205</v>
      </c>
      <c r="B4226" t="str">
        <f t="shared" si="279"/>
        <v>112997</v>
      </c>
      <c r="C4226" t="str">
        <f t="shared" si="280"/>
        <v>00255</v>
      </c>
      <c r="D4226" t="s">
        <v>489</v>
      </c>
      <c r="E4226">
        <v>63.77</v>
      </c>
      <c r="F4226">
        <v>20131203</v>
      </c>
      <c r="G4226" t="s">
        <v>490</v>
      </c>
      <c r="H4226" t="s">
        <v>488</v>
      </c>
      <c r="I4226" t="s">
        <v>21</v>
      </c>
    </row>
    <row r="4227" spans="1:9" x14ac:dyDescent="0.25">
      <c r="A4227">
        <v>20131205</v>
      </c>
      <c r="B4227" t="str">
        <f t="shared" si="279"/>
        <v>112997</v>
      </c>
      <c r="C4227" t="str">
        <f t="shared" si="280"/>
        <v>00255</v>
      </c>
      <c r="D4227" t="s">
        <v>489</v>
      </c>
      <c r="E4227">
        <v>790.24</v>
      </c>
      <c r="F4227">
        <v>20131203</v>
      </c>
      <c r="G4227" t="s">
        <v>490</v>
      </c>
      <c r="H4227" t="s">
        <v>488</v>
      </c>
      <c r="I4227" t="s">
        <v>21</v>
      </c>
    </row>
    <row r="4228" spans="1:9" x14ac:dyDescent="0.25">
      <c r="A4228">
        <v>20131205</v>
      </c>
      <c r="B4228" t="str">
        <f t="shared" si="279"/>
        <v>112997</v>
      </c>
      <c r="C4228" t="str">
        <f t="shared" si="280"/>
        <v>00255</v>
      </c>
      <c r="D4228" t="s">
        <v>489</v>
      </c>
      <c r="E4228">
        <v>630.16</v>
      </c>
      <c r="F4228">
        <v>20131203</v>
      </c>
      <c r="G4228" t="s">
        <v>1184</v>
      </c>
      <c r="H4228" t="s">
        <v>488</v>
      </c>
      <c r="I4228" t="s">
        <v>21</v>
      </c>
    </row>
    <row r="4229" spans="1:9" x14ac:dyDescent="0.25">
      <c r="A4229">
        <v>20131205</v>
      </c>
      <c r="B4229" t="str">
        <f t="shared" si="279"/>
        <v>112997</v>
      </c>
      <c r="C4229" t="str">
        <f t="shared" si="280"/>
        <v>00255</v>
      </c>
      <c r="D4229" t="s">
        <v>489</v>
      </c>
      <c r="E4229" s="1">
        <v>1090.48</v>
      </c>
      <c r="F4229">
        <v>20131203</v>
      </c>
      <c r="G4229" t="s">
        <v>1185</v>
      </c>
      <c r="H4229" t="s">
        <v>488</v>
      </c>
      <c r="I4229" t="s">
        <v>21</v>
      </c>
    </row>
    <row r="4230" spans="1:9" x14ac:dyDescent="0.25">
      <c r="A4230">
        <v>20131205</v>
      </c>
      <c r="B4230" t="str">
        <f t="shared" si="279"/>
        <v>112997</v>
      </c>
      <c r="C4230" t="str">
        <f t="shared" si="280"/>
        <v>00255</v>
      </c>
      <c r="D4230" t="s">
        <v>489</v>
      </c>
      <c r="E4230">
        <v>118.02</v>
      </c>
      <c r="F4230">
        <v>20131203</v>
      </c>
      <c r="G4230" t="s">
        <v>492</v>
      </c>
      <c r="H4230" t="s">
        <v>488</v>
      </c>
      <c r="I4230" t="s">
        <v>21</v>
      </c>
    </row>
    <row r="4231" spans="1:9" x14ac:dyDescent="0.25">
      <c r="A4231">
        <v>20131205</v>
      </c>
      <c r="B4231" t="str">
        <f t="shared" si="279"/>
        <v>112997</v>
      </c>
      <c r="C4231" t="str">
        <f t="shared" si="280"/>
        <v>00255</v>
      </c>
      <c r="D4231" t="s">
        <v>489</v>
      </c>
      <c r="E4231">
        <v>258.42</v>
      </c>
      <c r="F4231">
        <v>20131203</v>
      </c>
      <c r="G4231" t="s">
        <v>1352</v>
      </c>
      <c r="H4231" t="s">
        <v>488</v>
      </c>
      <c r="I4231" t="s">
        <v>21</v>
      </c>
    </row>
    <row r="4232" spans="1:9" x14ac:dyDescent="0.25">
      <c r="A4232">
        <v>20131205</v>
      </c>
      <c r="B4232" t="str">
        <f>"112998"</f>
        <v>112998</v>
      </c>
      <c r="C4232" t="str">
        <f>"87646"</f>
        <v>87646</v>
      </c>
      <c r="D4232" t="s">
        <v>2476</v>
      </c>
      <c r="E4232">
        <v>84</v>
      </c>
      <c r="F4232">
        <v>20131203</v>
      </c>
      <c r="G4232" t="s">
        <v>448</v>
      </c>
      <c r="H4232" t="s">
        <v>414</v>
      </c>
      <c r="I4232" t="s">
        <v>21</v>
      </c>
    </row>
    <row r="4233" spans="1:9" x14ac:dyDescent="0.25">
      <c r="A4233">
        <v>20131205</v>
      </c>
      <c r="B4233" t="str">
        <f>"112999"</f>
        <v>112999</v>
      </c>
      <c r="C4233" t="str">
        <f>"09575"</f>
        <v>09575</v>
      </c>
      <c r="D4233" t="s">
        <v>2109</v>
      </c>
      <c r="E4233" s="1">
        <v>3148.5</v>
      </c>
      <c r="F4233">
        <v>20131202</v>
      </c>
      <c r="G4233" t="s">
        <v>1200</v>
      </c>
      <c r="H4233" t="s">
        <v>2477</v>
      </c>
      <c r="I4233" t="s">
        <v>61</v>
      </c>
    </row>
    <row r="4234" spans="1:9" x14ac:dyDescent="0.25">
      <c r="A4234">
        <v>20131205</v>
      </c>
      <c r="B4234" t="str">
        <f>"112999"</f>
        <v>112999</v>
      </c>
      <c r="C4234" t="str">
        <f>"09575"</f>
        <v>09575</v>
      </c>
      <c r="D4234" t="s">
        <v>2109</v>
      </c>
      <c r="E4234" s="1">
        <v>3755</v>
      </c>
      <c r="F4234">
        <v>20131202</v>
      </c>
      <c r="G4234" t="s">
        <v>2478</v>
      </c>
      <c r="H4234" t="s">
        <v>2479</v>
      </c>
      <c r="I4234" t="s">
        <v>61</v>
      </c>
    </row>
    <row r="4235" spans="1:9" x14ac:dyDescent="0.25">
      <c r="A4235">
        <v>20131205</v>
      </c>
      <c r="B4235" t="str">
        <f>"113000"</f>
        <v>113000</v>
      </c>
      <c r="C4235" t="str">
        <f>"83583"</f>
        <v>83583</v>
      </c>
      <c r="D4235" t="s">
        <v>2331</v>
      </c>
      <c r="E4235">
        <v>39.9</v>
      </c>
      <c r="F4235">
        <v>20131204</v>
      </c>
      <c r="G4235" t="s">
        <v>2188</v>
      </c>
      <c r="H4235" t="s">
        <v>354</v>
      </c>
      <c r="I4235" t="s">
        <v>21</v>
      </c>
    </row>
    <row r="4236" spans="1:9" x14ac:dyDescent="0.25">
      <c r="A4236">
        <v>20131205</v>
      </c>
      <c r="B4236" t="str">
        <f>"113000"</f>
        <v>113000</v>
      </c>
      <c r="C4236" t="str">
        <f>"83583"</f>
        <v>83583</v>
      </c>
      <c r="D4236" t="s">
        <v>2331</v>
      </c>
      <c r="E4236">
        <v>49.88</v>
      </c>
      <c r="F4236">
        <v>20131204</v>
      </c>
      <c r="G4236" t="s">
        <v>214</v>
      </c>
      <c r="H4236" t="s">
        <v>354</v>
      </c>
      <c r="I4236" t="s">
        <v>38</v>
      </c>
    </row>
    <row r="4237" spans="1:9" x14ac:dyDescent="0.25">
      <c r="A4237">
        <v>20131205</v>
      </c>
      <c r="B4237" t="str">
        <f>"113001"</f>
        <v>113001</v>
      </c>
      <c r="C4237" t="str">
        <f>"87465"</f>
        <v>87465</v>
      </c>
      <c r="D4237" t="s">
        <v>500</v>
      </c>
      <c r="E4237">
        <v>110</v>
      </c>
      <c r="F4237">
        <v>20131204</v>
      </c>
      <c r="G4237" t="s">
        <v>469</v>
      </c>
      <c r="H4237" t="s">
        <v>501</v>
      </c>
      <c r="I4237" t="s">
        <v>21</v>
      </c>
    </row>
    <row r="4238" spans="1:9" x14ac:dyDescent="0.25">
      <c r="A4238">
        <v>20131205</v>
      </c>
      <c r="B4238" t="str">
        <f>"113002"</f>
        <v>113002</v>
      </c>
      <c r="C4238" t="str">
        <f>"87642"</f>
        <v>87642</v>
      </c>
      <c r="D4238" t="s">
        <v>2480</v>
      </c>
      <c r="E4238">
        <v>110</v>
      </c>
      <c r="F4238">
        <v>20131203</v>
      </c>
      <c r="G4238" t="s">
        <v>2324</v>
      </c>
      <c r="H4238" t="s">
        <v>765</v>
      </c>
      <c r="I4238" t="s">
        <v>61</v>
      </c>
    </row>
    <row r="4239" spans="1:9" x14ac:dyDescent="0.25">
      <c r="A4239">
        <v>20131205</v>
      </c>
      <c r="B4239" t="str">
        <f>"113002"</f>
        <v>113002</v>
      </c>
      <c r="C4239" t="str">
        <f>"87642"</f>
        <v>87642</v>
      </c>
      <c r="D4239" t="s">
        <v>2480</v>
      </c>
      <c r="E4239">
        <v>110</v>
      </c>
      <c r="F4239">
        <v>20131203</v>
      </c>
      <c r="G4239" t="s">
        <v>2324</v>
      </c>
      <c r="H4239" t="s">
        <v>765</v>
      </c>
      <c r="I4239" t="s">
        <v>61</v>
      </c>
    </row>
    <row r="4240" spans="1:9" x14ac:dyDescent="0.25">
      <c r="A4240">
        <v>20131205</v>
      </c>
      <c r="B4240" t="str">
        <f>"113002"</f>
        <v>113002</v>
      </c>
      <c r="C4240" t="str">
        <f>"87642"</f>
        <v>87642</v>
      </c>
      <c r="D4240" t="s">
        <v>2480</v>
      </c>
      <c r="E4240">
        <v>110</v>
      </c>
      <c r="F4240">
        <v>20131203</v>
      </c>
      <c r="G4240" t="s">
        <v>2324</v>
      </c>
      <c r="H4240" t="s">
        <v>765</v>
      </c>
      <c r="I4240" t="s">
        <v>61</v>
      </c>
    </row>
    <row r="4241" spans="1:9" x14ac:dyDescent="0.25">
      <c r="A4241">
        <v>20131205</v>
      </c>
      <c r="B4241" t="str">
        <f>"113003"</f>
        <v>113003</v>
      </c>
      <c r="C4241" t="str">
        <f>"87643"</f>
        <v>87643</v>
      </c>
      <c r="D4241" t="s">
        <v>2481</v>
      </c>
      <c r="E4241">
        <v>110</v>
      </c>
      <c r="F4241">
        <v>20131203</v>
      </c>
      <c r="G4241" t="s">
        <v>2324</v>
      </c>
      <c r="H4241" t="s">
        <v>765</v>
      </c>
      <c r="I4241" t="s">
        <v>61</v>
      </c>
    </row>
    <row r="4242" spans="1:9" x14ac:dyDescent="0.25">
      <c r="A4242">
        <v>20131205</v>
      </c>
      <c r="B4242" t="str">
        <f>"113003"</f>
        <v>113003</v>
      </c>
      <c r="C4242" t="str">
        <f>"87643"</f>
        <v>87643</v>
      </c>
      <c r="D4242" t="s">
        <v>2481</v>
      </c>
      <c r="E4242">
        <v>220</v>
      </c>
      <c r="F4242">
        <v>20131203</v>
      </c>
      <c r="G4242" t="s">
        <v>2324</v>
      </c>
      <c r="H4242" t="s">
        <v>765</v>
      </c>
      <c r="I4242" t="s">
        <v>61</v>
      </c>
    </row>
    <row r="4243" spans="1:9" x14ac:dyDescent="0.25">
      <c r="A4243">
        <v>20131205</v>
      </c>
      <c r="B4243" t="str">
        <f>"113004"</f>
        <v>113004</v>
      </c>
      <c r="C4243" t="str">
        <f>"81301"</f>
        <v>81301</v>
      </c>
      <c r="D4243" t="s">
        <v>779</v>
      </c>
      <c r="E4243">
        <v>34.020000000000003</v>
      </c>
      <c r="F4243">
        <v>20131204</v>
      </c>
      <c r="G4243" t="s">
        <v>892</v>
      </c>
      <c r="H4243" t="s">
        <v>563</v>
      </c>
      <c r="I4243" t="s">
        <v>79</v>
      </c>
    </row>
    <row r="4244" spans="1:9" x14ac:dyDescent="0.25">
      <c r="A4244">
        <v>20131205</v>
      </c>
      <c r="B4244" t="str">
        <f>"113005"</f>
        <v>113005</v>
      </c>
      <c r="C4244" t="str">
        <f>"82686"</f>
        <v>82686</v>
      </c>
      <c r="D4244" t="s">
        <v>2482</v>
      </c>
      <c r="E4244">
        <v>19.21</v>
      </c>
      <c r="F4244">
        <v>20131204</v>
      </c>
      <c r="G4244" t="s">
        <v>864</v>
      </c>
      <c r="H4244" t="s">
        <v>354</v>
      </c>
      <c r="I4244" t="s">
        <v>21</v>
      </c>
    </row>
    <row r="4245" spans="1:9" x14ac:dyDescent="0.25">
      <c r="A4245">
        <v>20131205</v>
      </c>
      <c r="B4245" t="str">
        <f>"113006"</f>
        <v>113006</v>
      </c>
      <c r="C4245" t="str">
        <f>"87647"</f>
        <v>87647</v>
      </c>
      <c r="D4245" t="s">
        <v>2483</v>
      </c>
      <c r="E4245">
        <v>85</v>
      </c>
      <c r="F4245">
        <v>20131204</v>
      </c>
      <c r="G4245" t="s">
        <v>764</v>
      </c>
      <c r="H4245" t="s">
        <v>765</v>
      </c>
      <c r="I4245" t="s">
        <v>61</v>
      </c>
    </row>
    <row r="4246" spans="1:9" x14ac:dyDescent="0.25">
      <c r="A4246">
        <v>20131205</v>
      </c>
      <c r="B4246" t="str">
        <f>"113007"</f>
        <v>113007</v>
      </c>
      <c r="C4246" t="str">
        <f>"86002"</f>
        <v>86002</v>
      </c>
      <c r="D4246" t="s">
        <v>2484</v>
      </c>
      <c r="E4246">
        <v>55</v>
      </c>
      <c r="F4246">
        <v>20131203</v>
      </c>
      <c r="G4246" t="s">
        <v>2324</v>
      </c>
      <c r="H4246" t="s">
        <v>765</v>
      </c>
      <c r="I4246" t="s">
        <v>61</v>
      </c>
    </row>
    <row r="4247" spans="1:9" x14ac:dyDescent="0.25">
      <c r="A4247">
        <v>20131205</v>
      </c>
      <c r="B4247" t="str">
        <f>"113008"</f>
        <v>113008</v>
      </c>
      <c r="C4247" t="str">
        <f>"12392"</f>
        <v>12392</v>
      </c>
      <c r="D4247" t="s">
        <v>1196</v>
      </c>
      <c r="E4247">
        <v>29.88</v>
      </c>
      <c r="F4247">
        <v>20131203</v>
      </c>
      <c r="G4247" t="s">
        <v>1960</v>
      </c>
      <c r="H4247" t="s">
        <v>563</v>
      </c>
      <c r="I4247" t="s">
        <v>21</v>
      </c>
    </row>
    <row r="4248" spans="1:9" x14ac:dyDescent="0.25">
      <c r="A4248">
        <v>20131205</v>
      </c>
      <c r="B4248" t="str">
        <f>"113009"</f>
        <v>113009</v>
      </c>
      <c r="C4248" t="str">
        <f>"86713"</f>
        <v>86713</v>
      </c>
      <c r="D4248" t="s">
        <v>2485</v>
      </c>
      <c r="E4248">
        <v>110</v>
      </c>
      <c r="F4248">
        <v>20131203</v>
      </c>
      <c r="G4248" t="s">
        <v>2324</v>
      </c>
      <c r="H4248" t="s">
        <v>765</v>
      </c>
      <c r="I4248" t="s">
        <v>61</v>
      </c>
    </row>
    <row r="4249" spans="1:9" x14ac:dyDescent="0.25">
      <c r="A4249">
        <v>20131205</v>
      </c>
      <c r="B4249" t="str">
        <f>"113010"</f>
        <v>113010</v>
      </c>
      <c r="C4249" t="str">
        <f>"87636"</f>
        <v>87636</v>
      </c>
      <c r="D4249" t="s">
        <v>2433</v>
      </c>
      <c r="E4249">
        <v>106.8</v>
      </c>
      <c r="F4249">
        <v>20131204</v>
      </c>
      <c r="G4249" t="s">
        <v>1846</v>
      </c>
      <c r="H4249" t="s">
        <v>765</v>
      </c>
      <c r="I4249" t="s">
        <v>63</v>
      </c>
    </row>
    <row r="4250" spans="1:9" x14ac:dyDescent="0.25">
      <c r="A4250">
        <v>20131205</v>
      </c>
      <c r="B4250" t="str">
        <f>"113011"</f>
        <v>113011</v>
      </c>
      <c r="C4250" t="str">
        <f>"86113"</f>
        <v>86113</v>
      </c>
      <c r="D4250" t="s">
        <v>2486</v>
      </c>
      <c r="E4250">
        <v>220</v>
      </c>
      <c r="F4250">
        <v>20131203</v>
      </c>
      <c r="G4250" t="s">
        <v>2324</v>
      </c>
      <c r="H4250" t="s">
        <v>765</v>
      </c>
      <c r="I4250" t="s">
        <v>61</v>
      </c>
    </row>
    <row r="4251" spans="1:9" x14ac:dyDescent="0.25">
      <c r="A4251">
        <v>20131205</v>
      </c>
      <c r="B4251" t="str">
        <f>"113011"</f>
        <v>113011</v>
      </c>
      <c r="C4251" t="str">
        <f>"86113"</f>
        <v>86113</v>
      </c>
      <c r="D4251" t="s">
        <v>2486</v>
      </c>
      <c r="E4251">
        <v>110</v>
      </c>
      <c r="F4251">
        <v>20131203</v>
      </c>
      <c r="G4251" t="s">
        <v>2324</v>
      </c>
      <c r="H4251" t="s">
        <v>765</v>
      </c>
      <c r="I4251" t="s">
        <v>61</v>
      </c>
    </row>
    <row r="4252" spans="1:9" x14ac:dyDescent="0.25">
      <c r="A4252">
        <v>20131205</v>
      </c>
      <c r="B4252" t="str">
        <f>"113011"</f>
        <v>113011</v>
      </c>
      <c r="C4252" t="str">
        <f>"86113"</f>
        <v>86113</v>
      </c>
      <c r="D4252" t="s">
        <v>2486</v>
      </c>
      <c r="E4252">
        <v>110</v>
      </c>
      <c r="F4252">
        <v>20131203</v>
      </c>
      <c r="G4252" t="s">
        <v>2324</v>
      </c>
      <c r="H4252" t="s">
        <v>765</v>
      </c>
      <c r="I4252" t="s">
        <v>61</v>
      </c>
    </row>
    <row r="4253" spans="1:9" x14ac:dyDescent="0.25">
      <c r="A4253">
        <v>20131205</v>
      </c>
      <c r="B4253" t="str">
        <f>"113012"</f>
        <v>113012</v>
      </c>
      <c r="C4253" t="str">
        <f>"83493"</f>
        <v>83493</v>
      </c>
      <c r="D4253" t="s">
        <v>509</v>
      </c>
      <c r="E4253">
        <v>400</v>
      </c>
      <c r="F4253">
        <v>20131204</v>
      </c>
      <c r="G4253" t="s">
        <v>819</v>
      </c>
      <c r="H4253" t="s">
        <v>357</v>
      </c>
      <c r="I4253" t="s">
        <v>63</v>
      </c>
    </row>
    <row r="4254" spans="1:9" x14ac:dyDescent="0.25">
      <c r="A4254">
        <v>20131205</v>
      </c>
      <c r="B4254" t="str">
        <f>"113013"</f>
        <v>113013</v>
      </c>
      <c r="C4254" t="str">
        <f>"87481"</f>
        <v>87481</v>
      </c>
      <c r="D4254" t="s">
        <v>2487</v>
      </c>
      <c r="E4254">
        <v>684.99</v>
      </c>
      <c r="F4254">
        <v>20131203</v>
      </c>
      <c r="G4254" t="s">
        <v>1167</v>
      </c>
      <c r="H4254" t="s">
        <v>2488</v>
      </c>
      <c r="I4254" t="s">
        <v>21</v>
      </c>
    </row>
    <row r="4255" spans="1:9" x14ac:dyDescent="0.25">
      <c r="A4255">
        <v>20131205</v>
      </c>
      <c r="B4255" t="str">
        <f>"113014"</f>
        <v>113014</v>
      </c>
      <c r="C4255" t="str">
        <f>"86576"</f>
        <v>86576</v>
      </c>
      <c r="D4255" t="s">
        <v>409</v>
      </c>
      <c r="E4255">
        <v>16.649999999999999</v>
      </c>
      <c r="F4255">
        <v>20131204</v>
      </c>
      <c r="G4255" t="s">
        <v>410</v>
      </c>
      <c r="H4255" t="s">
        <v>411</v>
      </c>
      <c r="I4255" t="s">
        <v>12</v>
      </c>
    </row>
    <row r="4256" spans="1:9" x14ac:dyDescent="0.25">
      <c r="A4256">
        <v>20131205</v>
      </c>
      <c r="B4256" t="str">
        <f>"113015"</f>
        <v>113015</v>
      </c>
      <c r="C4256" t="str">
        <f>"87009"</f>
        <v>87009</v>
      </c>
      <c r="D4256" t="s">
        <v>2489</v>
      </c>
      <c r="E4256">
        <v>304</v>
      </c>
      <c r="F4256">
        <v>20131204</v>
      </c>
      <c r="G4256" t="s">
        <v>506</v>
      </c>
      <c r="H4256" t="s">
        <v>2490</v>
      </c>
      <c r="I4256" t="s">
        <v>21</v>
      </c>
    </row>
    <row r="4257" spans="1:9" x14ac:dyDescent="0.25">
      <c r="A4257">
        <v>20131205</v>
      </c>
      <c r="B4257" t="str">
        <f>"113015"</f>
        <v>113015</v>
      </c>
      <c r="C4257" t="str">
        <f>"87009"</f>
        <v>87009</v>
      </c>
      <c r="D4257" t="s">
        <v>2489</v>
      </c>
      <c r="E4257">
        <v>450</v>
      </c>
      <c r="F4257">
        <v>20131204</v>
      </c>
      <c r="G4257" t="s">
        <v>900</v>
      </c>
      <c r="H4257" t="s">
        <v>2490</v>
      </c>
      <c r="I4257" t="s">
        <v>21</v>
      </c>
    </row>
    <row r="4258" spans="1:9" x14ac:dyDescent="0.25">
      <c r="A4258">
        <v>20131205</v>
      </c>
      <c r="B4258" t="str">
        <f>"113015"</f>
        <v>113015</v>
      </c>
      <c r="C4258" t="str">
        <f>"87009"</f>
        <v>87009</v>
      </c>
      <c r="D4258" t="s">
        <v>2489</v>
      </c>
      <c r="E4258">
        <v>746</v>
      </c>
      <c r="F4258">
        <v>20131204</v>
      </c>
      <c r="G4258" t="s">
        <v>761</v>
      </c>
      <c r="H4258" t="s">
        <v>2490</v>
      </c>
      <c r="I4258" t="s">
        <v>21</v>
      </c>
    </row>
    <row r="4259" spans="1:9" x14ac:dyDescent="0.25">
      <c r="A4259">
        <v>20131205</v>
      </c>
      <c r="B4259" t="str">
        <f>"113016"</f>
        <v>113016</v>
      </c>
      <c r="C4259" t="str">
        <f>"16500"</f>
        <v>16500</v>
      </c>
      <c r="D4259" t="s">
        <v>798</v>
      </c>
      <c r="E4259">
        <v>5</v>
      </c>
      <c r="F4259">
        <v>20131203</v>
      </c>
      <c r="G4259" t="s">
        <v>585</v>
      </c>
      <c r="H4259" t="s">
        <v>2491</v>
      </c>
      <c r="I4259" t="s">
        <v>21</v>
      </c>
    </row>
    <row r="4260" spans="1:9" x14ac:dyDescent="0.25">
      <c r="A4260">
        <v>20131205</v>
      </c>
      <c r="B4260" t="str">
        <f>"113017"</f>
        <v>113017</v>
      </c>
      <c r="C4260" t="str">
        <f>"83967"</f>
        <v>83967</v>
      </c>
      <c r="D4260" t="s">
        <v>1569</v>
      </c>
      <c r="E4260" s="1">
        <v>3834.93</v>
      </c>
      <c r="F4260">
        <v>20131204</v>
      </c>
      <c r="G4260" t="s">
        <v>2492</v>
      </c>
      <c r="H4260" t="s">
        <v>2493</v>
      </c>
      <c r="I4260" t="s">
        <v>21</v>
      </c>
    </row>
    <row r="4261" spans="1:9" x14ac:dyDescent="0.25">
      <c r="A4261">
        <v>20131205</v>
      </c>
      <c r="B4261" t="str">
        <f>"113018"</f>
        <v>113018</v>
      </c>
      <c r="C4261" t="str">
        <f>"18025"</f>
        <v>18025</v>
      </c>
      <c r="D4261" t="s">
        <v>514</v>
      </c>
      <c r="E4261">
        <v>49.9</v>
      </c>
      <c r="F4261">
        <v>20131204</v>
      </c>
      <c r="G4261" t="s">
        <v>189</v>
      </c>
      <c r="H4261" t="s">
        <v>357</v>
      </c>
      <c r="I4261" t="s">
        <v>25</v>
      </c>
    </row>
    <row r="4262" spans="1:9" x14ac:dyDescent="0.25">
      <c r="A4262">
        <v>20131205</v>
      </c>
      <c r="B4262" t="str">
        <f>"113018"</f>
        <v>113018</v>
      </c>
      <c r="C4262" t="str">
        <f>"18025"</f>
        <v>18025</v>
      </c>
      <c r="D4262" t="s">
        <v>514</v>
      </c>
      <c r="E4262">
        <v>69.86</v>
      </c>
      <c r="F4262">
        <v>20131204</v>
      </c>
      <c r="G4262" t="s">
        <v>189</v>
      </c>
      <c r="H4262" t="s">
        <v>357</v>
      </c>
      <c r="I4262" t="s">
        <v>25</v>
      </c>
    </row>
    <row r="4263" spans="1:9" x14ac:dyDescent="0.25">
      <c r="A4263">
        <v>20131205</v>
      </c>
      <c r="B4263" t="str">
        <f t="shared" ref="B4263:B4279" si="281">"113019"</f>
        <v>113019</v>
      </c>
      <c r="C4263" t="str">
        <f t="shared" ref="C4263:C4279" si="282">"18200"</f>
        <v>18200</v>
      </c>
      <c r="D4263" t="s">
        <v>516</v>
      </c>
      <c r="E4263">
        <v>609.35</v>
      </c>
      <c r="F4263">
        <v>20131203</v>
      </c>
      <c r="G4263" t="s">
        <v>456</v>
      </c>
      <c r="H4263" t="s">
        <v>488</v>
      </c>
      <c r="I4263" t="s">
        <v>21</v>
      </c>
    </row>
    <row r="4264" spans="1:9" x14ac:dyDescent="0.25">
      <c r="A4264">
        <v>20131205</v>
      </c>
      <c r="B4264" t="str">
        <f t="shared" si="281"/>
        <v>113019</v>
      </c>
      <c r="C4264" t="str">
        <f t="shared" si="282"/>
        <v>18200</v>
      </c>
      <c r="D4264" t="s">
        <v>516</v>
      </c>
      <c r="E4264">
        <v>894.87</v>
      </c>
      <c r="F4264">
        <v>20131203</v>
      </c>
      <c r="G4264" t="s">
        <v>456</v>
      </c>
      <c r="H4264" t="s">
        <v>488</v>
      </c>
      <c r="I4264" t="s">
        <v>21</v>
      </c>
    </row>
    <row r="4265" spans="1:9" x14ac:dyDescent="0.25">
      <c r="A4265">
        <v>20131205</v>
      </c>
      <c r="B4265" t="str">
        <f t="shared" si="281"/>
        <v>113019</v>
      </c>
      <c r="C4265" t="str">
        <f t="shared" si="282"/>
        <v>18200</v>
      </c>
      <c r="D4265" t="s">
        <v>516</v>
      </c>
      <c r="E4265">
        <v>111.12</v>
      </c>
      <c r="F4265">
        <v>20131203</v>
      </c>
      <c r="G4265" t="s">
        <v>456</v>
      </c>
      <c r="H4265" t="s">
        <v>488</v>
      </c>
      <c r="I4265" t="s">
        <v>21</v>
      </c>
    </row>
    <row r="4266" spans="1:9" x14ac:dyDescent="0.25">
      <c r="A4266">
        <v>20131205</v>
      </c>
      <c r="B4266" t="str">
        <f t="shared" si="281"/>
        <v>113019</v>
      </c>
      <c r="C4266" t="str">
        <f t="shared" si="282"/>
        <v>18200</v>
      </c>
      <c r="D4266" t="s">
        <v>516</v>
      </c>
      <c r="E4266">
        <v>854.9</v>
      </c>
      <c r="F4266">
        <v>20131203</v>
      </c>
      <c r="G4266" t="s">
        <v>457</v>
      </c>
      <c r="H4266" t="s">
        <v>488</v>
      </c>
      <c r="I4266" t="s">
        <v>21</v>
      </c>
    </row>
    <row r="4267" spans="1:9" x14ac:dyDescent="0.25">
      <c r="A4267">
        <v>20131205</v>
      </c>
      <c r="B4267" t="str">
        <f t="shared" si="281"/>
        <v>113019</v>
      </c>
      <c r="C4267" t="str">
        <f t="shared" si="282"/>
        <v>18200</v>
      </c>
      <c r="D4267" t="s">
        <v>516</v>
      </c>
      <c r="E4267" s="1">
        <v>1215.5999999999999</v>
      </c>
      <c r="F4267">
        <v>20131203</v>
      </c>
      <c r="G4267" t="s">
        <v>458</v>
      </c>
      <c r="H4267" t="s">
        <v>488</v>
      </c>
      <c r="I4267" t="s">
        <v>21</v>
      </c>
    </row>
    <row r="4268" spans="1:9" x14ac:dyDescent="0.25">
      <c r="A4268">
        <v>20131205</v>
      </c>
      <c r="B4268" t="str">
        <f t="shared" si="281"/>
        <v>113019</v>
      </c>
      <c r="C4268" t="str">
        <f t="shared" si="282"/>
        <v>18200</v>
      </c>
      <c r="D4268" t="s">
        <v>516</v>
      </c>
      <c r="E4268">
        <v>464.87</v>
      </c>
      <c r="F4268">
        <v>20131203</v>
      </c>
      <c r="G4268" t="s">
        <v>458</v>
      </c>
      <c r="H4268" t="s">
        <v>488</v>
      </c>
      <c r="I4268" t="s">
        <v>21</v>
      </c>
    </row>
    <row r="4269" spans="1:9" x14ac:dyDescent="0.25">
      <c r="A4269">
        <v>20131205</v>
      </c>
      <c r="B4269" t="str">
        <f t="shared" si="281"/>
        <v>113019</v>
      </c>
      <c r="C4269" t="str">
        <f t="shared" si="282"/>
        <v>18200</v>
      </c>
      <c r="D4269" t="s">
        <v>516</v>
      </c>
      <c r="E4269">
        <v>404.37</v>
      </c>
      <c r="F4269">
        <v>20131203</v>
      </c>
      <c r="G4269" t="s">
        <v>460</v>
      </c>
      <c r="H4269" t="s">
        <v>488</v>
      </c>
      <c r="I4269" t="s">
        <v>21</v>
      </c>
    </row>
    <row r="4270" spans="1:9" x14ac:dyDescent="0.25">
      <c r="A4270">
        <v>20131205</v>
      </c>
      <c r="B4270" t="str">
        <f t="shared" si="281"/>
        <v>113019</v>
      </c>
      <c r="C4270" t="str">
        <f t="shared" si="282"/>
        <v>18200</v>
      </c>
      <c r="D4270" t="s">
        <v>516</v>
      </c>
      <c r="E4270">
        <v>28.49</v>
      </c>
      <c r="F4270">
        <v>20131203</v>
      </c>
      <c r="G4270" t="s">
        <v>460</v>
      </c>
      <c r="H4270" t="s">
        <v>488</v>
      </c>
      <c r="I4270" t="s">
        <v>21</v>
      </c>
    </row>
    <row r="4271" spans="1:9" x14ac:dyDescent="0.25">
      <c r="A4271">
        <v>20131205</v>
      </c>
      <c r="B4271" t="str">
        <f t="shared" si="281"/>
        <v>113019</v>
      </c>
      <c r="C4271" t="str">
        <f t="shared" si="282"/>
        <v>18200</v>
      </c>
      <c r="D4271" t="s">
        <v>516</v>
      </c>
      <c r="E4271">
        <v>154.5</v>
      </c>
      <c r="F4271">
        <v>20131203</v>
      </c>
      <c r="G4271" t="s">
        <v>461</v>
      </c>
      <c r="H4271" t="s">
        <v>488</v>
      </c>
      <c r="I4271" t="s">
        <v>21</v>
      </c>
    </row>
    <row r="4272" spans="1:9" x14ac:dyDescent="0.25">
      <c r="A4272">
        <v>20131205</v>
      </c>
      <c r="B4272" t="str">
        <f t="shared" si="281"/>
        <v>113019</v>
      </c>
      <c r="C4272" t="str">
        <f t="shared" si="282"/>
        <v>18200</v>
      </c>
      <c r="D4272" t="s">
        <v>516</v>
      </c>
      <c r="E4272">
        <v>74.489999999999995</v>
      </c>
      <c r="F4272">
        <v>20131203</v>
      </c>
      <c r="G4272" t="s">
        <v>461</v>
      </c>
      <c r="H4272" t="s">
        <v>488</v>
      </c>
      <c r="I4272" t="s">
        <v>21</v>
      </c>
    </row>
    <row r="4273" spans="1:9" x14ac:dyDescent="0.25">
      <c r="A4273">
        <v>20131205</v>
      </c>
      <c r="B4273" t="str">
        <f t="shared" si="281"/>
        <v>113019</v>
      </c>
      <c r="C4273" t="str">
        <f t="shared" si="282"/>
        <v>18200</v>
      </c>
      <c r="D4273" t="s">
        <v>516</v>
      </c>
      <c r="E4273">
        <v>444.87</v>
      </c>
      <c r="F4273">
        <v>20131203</v>
      </c>
      <c r="G4273" t="s">
        <v>461</v>
      </c>
      <c r="H4273" t="s">
        <v>488</v>
      </c>
      <c r="I4273" t="s">
        <v>21</v>
      </c>
    </row>
    <row r="4274" spans="1:9" x14ac:dyDescent="0.25">
      <c r="A4274">
        <v>20131205</v>
      </c>
      <c r="B4274" t="str">
        <f t="shared" si="281"/>
        <v>113019</v>
      </c>
      <c r="C4274" t="str">
        <f t="shared" si="282"/>
        <v>18200</v>
      </c>
      <c r="D4274" t="s">
        <v>516</v>
      </c>
      <c r="E4274">
        <v>178.12</v>
      </c>
      <c r="F4274">
        <v>20131203</v>
      </c>
      <c r="G4274" t="s">
        <v>463</v>
      </c>
      <c r="H4274" t="s">
        <v>488</v>
      </c>
      <c r="I4274" t="s">
        <v>21</v>
      </c>
    </row>
    <row r="4275" spans="1:9" x14ac:dyDescent="0.25">
      <c r="A4275">
        <v>20131205</v>
      </c>
      <c r="B4275" t="str">
        <f t="shared" si="281"/>
        <v>113019</v>
      </c>
      <c r="C4275" t="str">
        <f t="shared" si="282"/>
        <v>18200</v>
      </c>
      <c r="D4275" t="s">
        <v>516</v>
      </c>
      <c r="E4275">
        <v>28.49</v>
      </c>
      <c r="F4275">
        <v>20131203</v>
      </c>
      <c r="G4275" t="s">
        <v>463</v>
      </c>
      <c r="H4275" t="s">
        <v>488</v>
      </c>
      <c r="I4275" t="s">
        <v>21</v>
      </c>
    </row>
    <row r="4276" spans="1:9" x14ac:dyDescent="0.25">
      <c r="A4276">
        <v>20131205</v>
      </c>
      <c r="B4276" t="str">
        <f t="shared" si="281"/>
        <v>113019</v>
      </c>
      <c r="C4276" t="str">
        <f t="shared" si="282"/>
        <v>18200</v>
      </c>
      <c r="D4276" t="s">
        <v>516</v>
      </c>
      <c r="E4276">
        <v>86.49</v>
      </c>
      <c r="F4276">
        <v>20131203</v>
      </c>
      <c r="G4276" t="s">
        <v>463</v>
      </c>
      <c r="H4276" t="s">
        <v>488</v>
      </c>
      <c r="I4276" t="s">
        <v>21</v>
      </c>
    </row>
    <row r="4277" spans="1:9" x14ac:dyDescent="0.25">
      <c r="A4277">
        <v>20131205</v>
      </c>
      <c r="B4277" t="str">
        <f t="shared" si="281"/>
        <v>113019</v>
      </c>
      <c r="C4277" t="str">
        <f t="shared" si="282"/>
        <v>18200</v>
      </c>
      <c r="D4277" t="s">
        <v>516</v>
      </c>
      <c r="E4277">
        <v>172.12</v>
      </c>
      <c r="F4277">
        <v>20131203</v>
      </c>
      <c r="G4277" t="s">
        <v>464</v>
      </c>
      <c r="H4277" t="s">
        <v>488</v>
      </c>
      <c r="I4277" t="s">
        <v>21</v>
      </c>
    </row>
    <row r="4278" spans="1:9" x14ac:dyDescent="0.25">
      <c r="A4278">
        <v>20131205</v>
      </c>
      <c r="B4278" t="str">
        <f t="shared" si="281"/>
        <v>113019</v>
      </c>
      <c r="C4278" t="str">
        <f t="shared" si="282"/>
        <v>18200</v>
      </c>
      <c r="D4278" t="s">
        <v>516</v>
      </c>
      <c r="E4278">
        <v>38</v>
      </c>
      <c r="F4278">
        <v>20131203</v>
      </c>
      <c r="G4278" t="s">
        <v>464</v>
      </c>
      <c r="H4278" t="s">
        <v>488</v>
      </c>
      <c r="I4278" t="s">
        <v>21</v>
      </c>
    </row>
    <row r="4279" spans="1:9" x14ac:dyDescent="0.25">
      <c r="A4279">
        <v>20131205</v>
      </c>
      <c r="B4279" t="str">
        <f t="shared" si="281"/>
        <v>113019</v>
      </c>
      <c r="C4279" t="str">
        <f t="shared" si="282"/>
        <v>18200</v>
      </c>
      <c r="D4279" t="s">
        <v>516</v>
      </c>
      <c r="E4279">
        <v>53</v>
      </c>
      <c r="F4279">
        <v>20131203</v>
      </c>
      <c r="G4279" t="s">
        <v>1212</v>
      </c>
      <c r="H4279" t="s">
        <v>488</v>
      </c>
      <c r="I4279" t="s">
        <v>21</v>
      </c>
    </row>
    <row r="4280" spans="1:9" x14ac:dyDescent="0.25">
      <c r="A4280">
        <v>20131205</v>
      </c>
      <c r="B4280" t="str">
        <f>"113020"</f>
        <v>113020</v>
      </c>
      <c r="C4280" t="str">
        <f>"81663"</f>
        <v>81663</v>
      </c>
      <c r="D4280" t="s">
        <v>2494</v>
      </c>
      <c r="E4280">
        <v>50</v>
      </c>
      <c r="F4280">
        <v>20131203</v>
      </c>
      <c r="G4280" t="s">
        <v>2495</v>
      </c>
      <c r="H4280" t="s">
        <v>361</v>
      </c>
      <c r="I4280" t="s">
        <v>21</v>
      </c>
    </row>
    <row r="4281" spans="1:9" x14ac:dyDescent="0.25">
      <c r="A4281">
        <v>20131205</v>
      </c>
      <c r="B4281" t="str">
        <f>"113021"</f>
        <v>113021</v>
      </c>
      <c r="C4281" t="str">
        <f>"81251"</f>
        <v>81251</v>
      </c>
      <c r="D4281" t="s">
        <v>1571</v>
      </c>
      <c r="E4281">
        <v>4.63</v>
      </c>
      <c r="F4281">
        <v>20131204</v>
      </c>
      <c r="G4281" t="s">
        <v>404</v>
      </c>
      <c r="H4281" t="s">
        <v>2496</v>
      </c>
      <c r="I4281" t="s">
        <v>12</v>
      </c>
    </row>
    <row r="4282" spans="1:9" x14ac:dyDescent="0.25">
      <c r="A4282">
        <v>20131205</v>
      </c>
      <c r="B4282" t="str">
        <f>"113021"</f>
        <v>113021</v>
      </c>
      <c r="C4282" t="str">
        <f>"81251"</f>
        <v>81251</v>
      </c>
      <c r="D4282" t="s">
        <v>1571</v>
      </c>
      <c r="E4282">
        <v>15.54</v>
      </c>
      <c r="F4282">
        <v>20131204</v>
      </c>
      <c r="G4282" t="s">
        <v>331</v>
      </c>
      <c r="H4282" t="s">
        <v>2497</v>
      </c>
      <c r="I4282" t="s">
        <v>12</v>
      </c>
    </row>
    <row r="4283" spans="1:9" x14ac:dyDescent="0.25">
      <c r="A4283">
        <v>20131205</v>
      </c>
      <c r="B4283" t="str">
        <f>"113021"</f>
        <v>113021</v>
      </c>
      <c r="C4283" t="str">
        <f>"81251"</f>
        <v>81251</v>
      </c>
      <c r="D4283" t="s">
        <v>1571</v>
      </c>
      <c r="E4283">
        <v>100</v>
      </c>
      <c r="F4283">
        <v>20131204</v>
      </c>
      <c r="G4283" t="s">
        <v>202</v>
      </c>
      <c r="H4283" t="s">
        <v>2498</v>
      </c>
      <c r="I4283" t="s">
        <v>12</v>
      </c>
    </row>
    <row r="4284" spans="1:9" x14ac:dyDescent="0.25">
      <c r="A4284">
        <v>20131205</v>
      </c>
      <c r="B4284" t="str">
        <f>"113022"</f>
        <v>113022</v>
      </c>
      <c r="C4284" t="str">
        <f>"22500"</f>
        <v>22500</v>
      </c>
      <c r="D4284" t="s">
        <v>523</v>
      </c>
      <c r="E4284">
        <v>19.96</v>
      </c>
      <c r="F4284">
        <v>20131204</v>
      </c>
      <c r="G4284" t="s">
        <v>1222</v>
      </c>
      <c r="H4284" t="s">
        <v>414</v>
      </c>
      <c r="I4284" t="s">
        <v>21</v>
      </c>
    </row>
    <row r="4285" spans="1:9" x14ac:dyDescent="0.25">
      <c r="A4285">
        <v>20131205</v>
      </c>
      <c r="B4285" t="str">
        <f>"113022"</f>
        <v>113022</v>
      </c>
      <c r="C4285" t="str">
        <f>"22500"</f>
        <v>22500</v>
      </c>
      <c r="D4285" t="s">
        <v>523</v>
      </c>
      <c r="E4285">
        <v>7</v>
      </c>
      <c r="F4285">
        <v>20131204</v>
      </c>
      <c r="G4285" t="s">
        <v>530</v>
      </c>
      <c r="H4285" t="s">
        <v>414</v>
      </c>
      <c r="I4285" t="s">
        <v>21</v>
      </c>
    </row>
    <row r="4286" spans="1:9" x14ac:dyDescent="0.25">
      <c r="A4286">
        <v>20131205</v>
      </c>
      <c r="B4286" t="str">
        <f>"113023"</f>
        <v>113023</v>
      </c>
      <c r="C4286" t="str">
        <f>"86092"</f>
        <v>86092</v>
      </c>
      <c r="D4286" t="s">
        <v>2499</v>
      </c>
      <c r="E4286">
        <v>65</v>
      </c>
      <c r="F4286">
        <v>20131203</v>
      </c>
      <c r="G4286" t="s">
        <v>2324</v>
      </c>
      <c r="H4286" t="s">
        <v>765</v>
      </c>
      <c r="I4286" t="s">
        <v>61</v>
      </c>
    </row>
    <row r="4287" spans="1:9" x14ac:dyDescent="0.25">
      <c r="A4287">
        <v>20131205</v>
      </c>
      <c r="B4287" t="str">
        <f>"113024"</f>
        <v>113024</v>
      </c>
      <c r="C4287" t="str">
        <f>"23827"</f>
        <v>23827</v>
      </c>
      <c r="D4287" t="s">
        <v>528</v>
      </c>
      <c r="E4287">
        <v>446.08</v>
      </c>
      <c r="F4287">
        <v>20131204</v>
      </c>
      <c r="G4287" t="s">
        <v>181</v>
      </c>
      <c r="H4287" t="s">
        <v>513</v>
      </c>
      <c r="I4287" t="s">
        <v>38</v>
      </c>
    </row>
    <row r="4288" spans="1:9" x14ac:dyDescent="0.25">
      <c r="A4288">
        <v>20131205</v>
      </c>
      <c r="B4288" t="str">
        <f>"113024"</f>
        <v>113024</v>
      </c>
      <c r="C4288" t="str">
        <f>"23827"</f>
        <v>23827</v>
      </c>
      <c r="D4288" t="s">
        <v>528</v>
      </c>
      <c r="E4288">
        <v>455.2</v>
      </c>
      <c r="F4288">
        <v>20131204</v>
      </c>
      <c r="G4288" t="s">
        <v>181</v>
      </c>
      <c r="H4288" t="s">
        <v>1971</v>
      </c>
      <c r="I4288" t="s">
        <v>38</v>
      </c>
    </row>
    <row r="4289" spans="1:9" x14ac:dyDescent="0.25">
      <c r="A4289">
        <v>20131205</v>
      </c>
      <c r="B4289" t="str">
        <f>"113025"</f>
        <v>113025</v>
      </c>
      <c r="C4289" t="str">
        <f>"87599"</f>
        <v>87599</v>
      </c>
      <c r="D4289" t="s">
        <v>2154</v>
      </c>
      <c r="E4289">
        <v>16.649999999999999</v>
      </c>
      <c r="F4289">
        <v>20131204</v>
      </c>
      <c r="G4289" t="s">
        <v>410</v>
      </c>
      <c r="H4289" t="s">
        <v>411</v>
      </c>
      <c r="I4289" t="s">
        <v>12</v>
      </c>
    </row>
    <row r="4290" spans="1:9" x14ac:dyDescent="0.25">
      <c r="A4290">
        <v>20131205</v>
      </c>
      <c r="B4290" t="str">
        <f>"113026"</f>
        <v>113026</v>
      </c>
      <c r="C4290" t="str">
        <f>"84625"</f>
        <v>84625</v>
      </c>
      <c r="D4290" t="s">
        <v>1580</v>
      </c>
      <c r="E4290">
        <v>102.89</v>
      </c>
      <c r="F4290">
        <v>20131203</v>
      </c>
      <c r="G4290" t="s">
        <v>837</v>
      </c>
      <c r="H4290" t="s">
        <v>2446</v>
      </c>
      <c r="I4290" t="s">
        <v>21</v>
      </c>
    </row>
    <row r="4291" spans="1:9" x14ac:dyDescent="0.25">
      <c r="A4291">
        <v>20131205</v>
      </c>
      <c r="B4291" t="str">
        <f>"113027"</f>
        <v>113027</v>
      </c>
      <c r="C4291" t="str">
        <f>"87645"</f>
        <v>87645</v>
      </c>
      <c r="D4291" t="s">
        <v>2500</v>
      </c>
      <c r="E4291">
        <v>110</v>
      </c>
      <c r="F4291">
        <v>20131203</v>
      </c>
      <c r="G4291" t="s">
        <v>2324</v>
      </c>
      <c r="H4291" t="s">
        <v>765</v>
      </c>
      <c r="I4291" t="s">
        <v>61</v>
      </c>
    </row>
    <row r="4292" spans="1:9" x14ac:dyDescent="0.25">
      <c r="A4292">
        <v>20131205</v>
      </c>
      <c r="B4292" t="str">
        <f t="shared" ref="B4292:B4301" si="283">"113028"</f>
        <v>113028</v>
      </c>
      <c r="C4292" t="str">
        <f t="shared" ref="C4292:C4301" si="284">"24530"</f>
        <v>24530</v>
      </c>
      <c r="D4292" t="s">
        <v>412</v>
      </c>
      <c r="E4292">
        <v>23.52</v>
      </c>
      <c r="F4292">
        <v>20131204</v>
      </c>
      <c r="G4292" t="s">
        <v>475</v>
      </c>
      <c r="H4292" t="s">
        <v>414</v>
      </c>
      <c r="I4292" t="s">
        <v>21</v>
      </c>
    </row>
    <row r="4293" spans="1:9" x14ac:dyDescent="0.25">
      <c r="A4293">
        <v>20131205</v>
      </c>
      <c r="B4293" t="str">
        <f t="shared" si="283"/>
        <v>113028</v>
      </c>
      <c r="C4293" t="str">
        <f t="shared" si="284"/>
        <v>24530</v>
      </c>
      <c r="D4293" t="s">
        <v>412</v>
      </c>
      <c r="E4293" s="1">
        <v>1948.95</v>
      </c>
      <c r="F4293">
        <v>20131204</v>
      </c>
      <c r="G4293" t="s">
        <v>415</v>
      </c>
      <c r="H4293" t="s">
        <v>414</v>
      </c>
      <c r="I4293" t="s">
        <v>21</v>
      </c>
    </row>
    <row r="4294" spans="1:9" x14ac:dyDescent="0.25">
      <c r="A4294">
        <v>20131205</v>
      </c>
      <c r="B4294" t="str">
        <f t="shared" si="283"/>
        <v>113028</v>
      </c>
      <c r="C4294" t="str">
        <f t="shared" si="284"/>
        <v>24530</v>
      </c>
      <c r="D4294" t="s">
        <v>412</v>
      </c>
      <c r="E4294" s="1">
        <v>4186.67</v>
      </c>
      <c r="F4294">
        <v>20131204</v>
      </c>
      <c r="G4294" t="s">
        <v>627</v>
      </c>
      <c r="H4294" t="s">
        <v>414</v>
      </c>
      <c r="I4294" t="s">
        <v>21</v>
      </c>
    </row>
    <row r="4295" spans="1:9" x14ac:dyDescent="0.25">
      <c r="A4295">
        <v>20131205</v>
      </c>
      <c r="B4295" t="str">
        <f t="shared" si="283"/>
        <v>113028</v>
      </c>
      <c r="C4295" t="str">
        <f t="shared" si="284"/>
        <v>24530</v>
      </c>
      <c r="D4295" t="s">
        <v>412</v>
      </c>
      <c r="E4295">
        <v>45.99</v>
      </c>
      <c r="F4295">
        <v>20131204</v>
      </c>
      <c r="G4295" t="s">
        <v>1222</v>
      </c>
      <c r="H4295" t="s">
        <v>414</v>
      </c>
      <c r="I4295" t="s">
        <v>21</v>
      </c>
    </row>
    <row r="4296" spans="1:9" x14ac:dyDescent="0.25">
      <c r="A4296">
        <v>20131205</v>
      </c>
      <c r="B4296" t="str">
        <f t="shared" si="283"/>
        <v>113028</v>
      </c>
      <c r="C4296" t="str">
        <f t="shared" si="284"/>
        <v>24530</v>
      </c>
      <c r="D4296" t="s">
        <v>412</v>
      </c>
      <c r="E4296">
        <v>145</v>
      </c>
      <c r="F4296">
        <v>20131204</v>
      </c>
      <c r="G4296" t="s">
        <v>629</v>
      </c>
      <c r="H4296" t="s">
        <v>414</v>
      </c>
      <c r="I4296" t="s">
        <v>21</v>
      </c>
    </row>
    <row r="4297" spans="1:9" x14ac:dyDescent="0.25">
      <c r="A4297">
        <v>20131205</v>
      </c>
      <c r="B4297" t="str">
        <f t="shared" si="283"/>
        <v>113028</v>
      </c>
      <c r="C4297" t="str">
        <f t="shared" si="284"/>
        <v>24530</v>
      </c>
      <c r="D4297" t="s">
        <v>412</v>
      </c>
      <c r="E4297">
        <v>154.19999999999999</v>
      </c>
      <c r="F4297">
        <v>20131204</v>
      </c>
      <c r="G4297" t="s">
        <v>630</v>
      </c>
      <c r="H4297" t="s">
        <v>414</v>
      </c>
      <c r="I4297" t="s">
        <v>21</v>
      </c>
    </row>
    <row r="4298" spans="1:9" x14ac:dyDescent="0.25">
      <c r="A4298">
        <v>20131205</v>
      </c>
      <c r="B4298" t="str">
        <f t="shared" si="283"/>
        <v>113028</v>
      </c>
      <c r="C4298" t="str">
        <f t="shared" si="284"/>
        <v>24530</v>
      </c>
      <c r="D4298" t="s">
        <v>412</v>
      </c>
      <c r="E4298" s="1">
        <v>1041.6500000000001</v>
      </c>
      <c r="F4298">
        <v>20131204</v>
      </c>
      <c r="G4298" t="s">
        <v>631</v>
      </c>
      <c r="H4298" t="s">
        <v>414</v>
      </c>
      <c r="I4298" t="s">
        <v>21</v>
      </c>
    </row>
    <row r="4299" spans="1:9" x14ac:dyDescent="0.25">
      <c r="A4299">
        <v>20131205</v>
      </c>
      <c r="B4299" t="str">
        <f t="shared" si="283"/>
        <v>113028</v>
      </c>
      <c r="C4299" t="str">
        <f t="shared" si="284"/>
        <v>24530</v>
      </c>
      <c r="D4299" t="s">
        <v>412</v>
      </c>
      <c r="E4299">
        <v>518.72</v>
      </c>
      <c r="F4299">
        <v>20131204</v>
      </c>
      <c r="G4299" t="s">
        <v>392</v>
      </c>
      <c r="H4299" t="s">
        <v>414</v>
      </c>
      <c r="I4299" t="s">
        <v>21</v>
      </c>
    </row>
    <row r="4300" spans="1:9" x14ac:dyDescent="0.25">
      <c r="A4300">
        <v>20131205</v>
      </c>
      <c r="B4300" t="str">
        <f t="shared" si="283"/>
        <v>113028</v>
      </c>
      <c r="C4300" t="str">
        <f t="shared" si="284"/>
        <v>24530</v>
      </c>
      <c r="D4300" t="s">
        <v>412</v>
      </c>
      <c r="E4300">
        <v>-139.51</v>
      </c>
      <c r="F4300">
        <v>20131205</v>
      </c>
      <c r="G4300" t="s">
        <v>392</v>
      </c>
      <c r="H4300" t="s">
        <v>416</v>
      </c>
      <c r="I4300" t="s">
        <v>21</v>
      </c>
    </row>
    <row r="4301" spans="1:9" x14ac:dyDescent="0.25">
      <c r="A4301">
        <v>20131205</v>
      </c>
      <c r="B4301" t="str">
        <f t="shared" si="283"/>
        <v>113028</v>
      </c>
      <c r="C4301" t="str">
        <f t="shared" si="284"/>
        <v>24530</v>
      </c>
      <c r="D4301" t="s">
        <v>412</v>
      </c>
      <c r="E4301">
        <v>2.76</v>
      </c>
      <c r="F4301">
        <v>20131204</v>
      </c>
      <c r="G4301" t="s">
        <v>331</v>
      </c>
      <c r="H4301" t="s">
        <v>414</v>
      </c>
      <c r="I4301" t="s">
        <v>12</v>
      </c>
    </row>
    <row r="4302" spans="1:9" x14ac:dyDescent="0.25">
      <c r="A4302">
        <v>20131205</v>
      </c>
      <c r="B4302" t="str">
        <f>"113029"</f>
        <v>113029</v>
      </c>
      <c r="C4302" t="str">
        <f>"25210"</f>
        <v>25210</v>
      </c>
      <c r="D4302" t="s">
        <v>2501</v>
      </c>
      <c r="E4302">
        <v>868</v>
      </c>
      <c r="F4302">
        <v>20131202</v>
      </c>
      <c r="G4302" t="s">
        <v>1548</v>
      </c>
      <c r="H4302" t="s">
        <v>954</v>
      </c>
      <c r="I4302" t="s">
        <v>21</v>
      </c>
    </row>
    <row r="4303" spans="1:9" x14ac:dyDescent="0.25">
      <c r="A4303">
        <v>20131205</v>
      </c>
      <c r="B4303" t="str">
        <f t="shared" ref="B4303:B4314" si="285">"113030"</f>
        <v>113030</v>
      </c>
      <c r="C4303" t="str">
        <f t="shared" ref="C4303:C4314" si="286">"82286"</f>
        <v>82286</v>
      </c>
      <c r="D4303" t="s">
        <v>532</v>
      </c>
      <c r="E4303" s="1">
        <v>1808.87</v>
      </c>
      <c r="F4303">
        <v>20131204</v>
      </c>
      <c r="G4303" t="s">
        <v>533</v>
      </c>
      <c r="H4303" t="s">
        <v>534</v>
      </c>
      <c r="I4303" t="s">
        <v>21</v>
      </c>
    </row>
    <row r="4304" spans="1:9" x14ac:dyDescent="0.25">
      <c r="A4304">
        <v>20131205</v>
      </c>
      <c r="B4304" t="str">
        <f t="shared" si="285"/>
        <v>113030</v>
      </c>
      <c r="C4304" t="str">
        <f t="shared" si="286"/>
        <v>82286</v>
      </c>
      <c r="D4304" t="s">
        <v>532</v>
      </c>
      <c r="E4304">
        <v>48.89</v>
      </c>
      <c r="F4304">
        <v>20131204</v>
      </c>
      <c r="G4304" t="s">
        <v>535</v>
      </c>
      <c r="H4304" t="s">
        <v>534</v>
      </c>
      <c r="I4304" t="s">
        <v>21</v>
      </c>
    </row>
    <row r="4305" spans="1:9" x14ac:dyDescent="0.25">
      <c r="A4305">
        <v>20131205</v>
      </c>
      <c r="B4305" t="str">
        <f t="shared" si="285"/>
        <v>113030</v>
      </c>
      <c r="C4305" t="str">
        <f t="shared" si="286"/>
        <v>82286</v>
      </c>
      <c r="D4305" t="s">
        <v>532</v>
      </c>
      <c r="E4305">
        <v>733.32</v>
      </c>
      <c r="F4305">
        <v>20131204</v>
      </c>
      <c r="G4305" t="s">
        <v>536</v>
      </c>
      <c r="H4305" t="s">
        <v>534</v>
      </c>
      <c r="I4305" t="s">
        <v>21</v>
      </c>
    </row>
    <row r="4306" spans="1:9" x14ac:dyDescent="0.25">
      <c r="A4306">
        <v>20131205</v>
      </c>
      <c r="B4306" t="str">
        <f t="shared" si="285"/>
        <v>113030</v>
      </c>
      <c r="C4306" t="str">
        <f t="shared" si="286"/>
        <v>82286</v>
      </c>
      <c r="D4306" t="s">
        <v>532</v>
      </c>
      <c r="E4306">
        <v>244.44</v>
      </c>
      <c r="F4306">
        <v>20131204</v>
      </c>
      <c r="G4306" t="s">
        <v>537</v>
      </c>
      <c r="H4306" t="s">
        <v>534</v>
      </c>
      <c r="I4306" t="s">
        <v>21</v>
      </c>
    </row>
    <row r="4307" spans="1:9" x14ac:dyDescent="0.25">
      <c r="A4307">
        <v>20131205</v>
      </c>
      <c r="B4307" t="str">
        <f t="shared" si="285"/>
        <v>113030</v>
      </c>
      <c r="C4307" t="str">
        <f t="shared" si="286"/>
        <v>82286</v>
      </c>
      <c r="D4307" t="s">
        <v>532</v>
      </c>
      <c r="E4307">
        <v>293.39</v>
      </c>
      <c r="F4307">
        <v>20131204</v>
      </c>
      <c r="G4307" t="s">
        <v>538</v>
      </c>
      <c r="H4307" t="s">
        <v>534</v>
      </c>
      <c r="I4307" t="s">
        <v>21</v>
      </c>
    </row>
    <row r="4308" spans="1:9" x14ac:dyDescent="0.25">
      <c r="A4308">
        <v>20131205</v>
      </c>
      <c r="B4308" t="str">
        <f t="shared" si="285"/>
        <v>113030</v>
      </c>
      <c r="C4308" t="str">
        <f t="shared" si="286"/>
        <v>82286</v>
      </c>
      <c r="D4308" t="s">
        <v>532</v>
      </c>
      <c r="E4308">
        <v>342.21</v>
      </c>
      <c r="F4308">
        <v>20131204</v>
      </c>
      <c r="G4308" t="s">
        <v>539</v>
      </c>
      <c r="H4308" t="s">
        <v>534</v>
      </c>
      <c r="I4308" t="s">
        <v>21</v>
      </c>
    </row>
    <row r="4309" spans="1:9" x14ac:dyDescent="0.25">
      <c r="A4309">
        <v>20131205</v>
      </c>
      <c r="B4309" t="str">
        <f t="shared" si="285"/>
        <v>113030</v>
      </c>
      <c r="C4309" t="str">
        <f t="shared" si="286"/>
        <v>82286</v>
      </c>
      <c r="D4309" t="s">
        <v>532</v>
      </c>
      <c r="E4309">
        <v>180.52</v>
      </c>
      <c r="F4309">
        <v>20131204</v>
      </c>
      <c r="G4309" t="s">
        <v>540</v>
      </c>
      <c r="H4309" t="s">
        <v>534</v>
      </c>
      <c r="I4309" t="s">
        <v>21</v>
      </c>
    </row>
    <row r="4310" spans="1:9" x14ac:dyDescent="0.25">
      <c r="A4310">
        <v>20131205</v>
      </c>
      <c r="B4310" t="str">
        <f t="shared" si="285"/>
        <v>113030</v>
      </c>
      <c r="C4310" t="str">
        <f t="shared" si="286"/>
        <v>82286</v>
      </c>
      <c r="D4310" t="s">
        <v>532</v>
      </c>
      <c r="E4310">
        <v>180.51</v>
      </c>
      <c r="F4310">
        <v>20131204</v>
      </c>
      <c r="G4310" t="s">
        <v>541</v>
      </c>
      <c r="H4310" t="s">
        <v>534</v>
      </c>
      <c r="I4310" t="s">
        <v>21</v>
      </c>
    </row>
    <row r="4311" spans="1:9" x14ac:dyDescent="0.25">
      <c r="A4311">
        <v>20131205</v>
      </c>
      <c r="B4311" t="str">
        <f t="shared" si="285"/>
        <v>113030</v>
      </c>
      <c r="C4311" t="str">
        <f t="shared" si="286"/>
        <v>82286</v>
      </c>
      <c r="D4311" t="s">
        <v>532</v>
      </c>
      <c r="E4311">
        <v>782.21</v>
      </c>
      <c r="F4311">
        <v>20131204</v>
      </c>
      <c r="G4311" t="s">
        <v>542</v>
      </c>
      <c r="H4311" t="s">
        <v>534</v>
      </c>
      <c r="I4311" t="s">
        <v>21</v>
      </c>
    </row>
    <row r="4312" spans="1:9" x14ac:dyDescent="0.25">
      <c r="A4312">
        <v>20131205</v>
      </c>
      <c r="B4312" t="str">
        <f t="shared" si="285"/>
        <v>113030</v>
      </c>
      <c r="C4312" t="str">
        <f t="shared" si="286"/>
        <v>82286</v>
      </c>
      <c r="D4312" t="s">
        <v>532</v>
      </c>
      <c r="E4312">
        <v>48.89</v>
      </c>
      <c r="F4312">
        <v>20131204</v>
      </c>
      <c r="G4312" t="s">
        <v>543</v>
      </c>
      <c r="H4312" t="s">
        <v>534</v>
      </c>
      <c r="I4312" t="s">
        <v>21</v>
      </c>
    </row>
    <row r="4313" spans="1:9" x14ac:dyDescent="0.25">
      <c r="A4313">
        <v>20131205</v>
      </c>
      <c r="B4313" t="str">
        <f t="shared" si="285"/>
        <v>113030</v>
      </c>
      <c r="C4313" t="str">
        <f t="shared" si="286"/>
        <v>82286</v>
      </c>
      <c r="D4313" t="s">
        <v>532</v>
      </c>
      <c r="E4313">
        <v>293.37</v>
      </c>
      <c r="F4313">
        <v>20131204</v>
      </c>
      <c r="G4313" t="s">
        <v>544</v>
      </c>
      <c r="H4313" t="s">
        <v>534</v>
      </c>
      <c r="I4313" t="s">
        <v>21</v>
      </c>
    </row>
    <row r="4314" spans="1:9" x14ac:dyDescent="0.25">
      <c r="A4314">
        <v>20131205</v>
      </c>
      <c r="B4314" t="str">
        <f t="shared" si="285"/>
        <v>113030</v>
      </c>
      <c r="C4314" t="str">
        <f t="shared" si="286"/>
        <v>82286</v>
      </c>
      <c r="D4314" t="s">
        <v>532</v>
      </c>
      <c r="E4314">
        <v>293.38</v>
      </c>
      <c r="F4314">
        <v>20131204</v>
      </c>
      <c r="G4314" t="s">
        <v>545</v>
      </c>
      <c r="H4314" t="s">
        <v>534</v>
      </c>
      <c r="I4314" t="s">
        <v>21</v>
      </c>
    </row>
    <row r="4315" spans="1:9" x14ac:dyDescent="0.25">
      <c r="A4315">
        <v>20131205</v>
      </c>
      <c r="B4315" t="str">
        <f>"113031"</f>
        <v>113031</v>
      </c>
      <c r="C4315" t="str">
        <f>"82740"</f>
        <v>82740</v>
      </c>
      <c r="D4315" t="s">
        <v>2502</v>
      </c>
      <c r="E4315">
        <v>250.81</v>
      </c>
      <c r="F4315">
        <v>20131202</v>
      </c>
      <c r="G4315" t="s">
        <v>1724</v>
      </c>
      <c r="H4315" t="s">
        <v>365</v>
      </c>
      <c r="I4315" t="s">
        <v>66</v>
      </c>
    </row>
    <row r="4316" spans="1:9" x14ac:dyDescent="0.25">
      <c r="A4316">
        <v>20131205</v>
      </c>
      <c r="B4316" t="str">
        <f>"113032"</f>
        <v>113032</v>
      </c>
      <c r="C4316" t="str">
        <f>"26990"</f>
        <v>26990</v>
      </c>
      <c r="D4316" t="s">
        <v>548</v>
      </c>
      <c r="E4316">
        <v>40</v>
      </c>
      <c r="F4316">
        <v>20131203</v>
      </c>
      <c r="G4316" t="s">
        <v>1064</v>
      </c>
      <c r="H4316" t="s">
        <v>1410</v>
      </c>
      <c r="I4316" t="s">
        <v>21</v>
      </c>
    </row>
    <row r="4317" spans="1:9" x14ac:dyDescent="0.25">
      <c r="A4317">
        <v>20131205</v>
      </c>
      <c r="B4317" t="str">
        <f>"113032"</f>
        <v>113032</v>
      </c>
      <c r="C4317" t="str">
        <f>"26990"</f>
        <v>26990</v>
      </c>
      <c r="D4317" t="s">
        <v>548</v>
      </c>
      <c r="E4317">
        <v>225</v>
      </c>
      <c r="F4317">
        <v>20131202</v>
      </c>
      <c r="G4317" t="s">
        <v>1033</v>
      </c>
      <c r="H4317" t="s">
        <v>1054</v>
      </c>
      <c r="I4317" t="s">
        <v>21</v>
      </c>
    </row>
    <row r="4318" spans="1:9" x14ac:dyDescent="0.25">
      <c r="A4318">
        <v>20131205</v>
      </c>
      <c r="B4318" t="str">
        <f>"113032"</f>
        <v>113032</v>
      </c>
      <c r="C4318" t="str">
        <f>"26990"</f>
        <v>26990</v>
      </c>
      <c r="D4318" t="s">
        <v>548</v>
      </c>
      <c r="E4318">
        <v>40</v>
      </c>
      <c r="F4318">
        <v>20131202</v>
      </c>
      <c r="G4318" t="s">
        <v>619</v>
      </c>
      <c r="H4318" t="s">
        <v>1228</v>
      </c>
      <c r="I4318" t="s">
        <v>21</v>
      </c>
    </row>
    <row r="4319" spans="1:9" x14ac:dyDescent="0.25">
      <c r="A4319">
        <v>20131205</v>
      </c>
      <c r="B4319" t="str">
        <f>"113032"</f>
        <v>113032</v>
      </c>
      <c r="C4319" t="str">
        <f>"26990"</f>
        <v>26990</v>
      </c>
      <c r="D4319" t="s">
        <v>548</v>
      </c>
      <c r="E4319">
        <v>40</v>
      </c>
      <c r="F4319">
        <v>20131202</v>
      </c>
      <c r="G4319" t="s">
        <v>364</v>
      </c>
      <c r="H4319" t="s">
        <v>2503</v>
      </c>
      <c r="I4319" t="s">
        <v>21</v>
      </c>
    </row>
    <row r="4320" spans="1:9" x14ac:dyDescent="0.25">
      <c r="A4320">
        <v>20131205</v>
      </c>
      <c r="B4320" t="str">
        <f>"113033"</f>
        <v>113033</v>
      </c>
      <c r="C4320" t="str">
        <f>"26985"</f>
        <v>26985</v>
      </c>
      <c r="D4320" t="s">
        <v>1230</v>
      </c>
      <c r="E4320" s="1">
        <v>3314.63</v>
      </c>
      <c r="F4320">
        <v>20131204</v>
      </c>
      <c r="G4320" t="s">
        <v>2190</v>
      </c>
      <c r="H4320" t="s">
        <v>2504</v>
      </c>
      <c r="I4320" t="s">
        <v>66</v>
      </c>
    </row>
    <row r="4321" spans="1:9" x14ac:dyDescent="0.25">
      <c r="A4321">
        <v>20131205</v>
      </c>
      <c r="B4321" t="str">
        <f>"113034"</f>
        <v>113034</v>
      </c>
      <c r="C4321" t="str">
        <f>"00307"</f>
        <v>00307</v>
      </c>
      <c r="D4321" t="s">
        <v>2505</v>
      </c>
      <c r="E4321">
        <v>750</v>
      </c>
      <c r="F4321">
        <v>20131202</v>
      </c>
      <c r="G4321" t="s">
        <v>904</v>
      </c>
      <c r="H4321" t="s">
        <v>1054</v>
      </c>
      <c r="I4321" t="s">
        <v>75</v>
      </c>
    </row>
    <row r="4322" spans="1:9" x14ac:dyDescent="0.25">
      <c r="A4322">
        <v>20131205</v>
      </c>
      <c r="B4322" t="str">
        <f t="shared" ref="B4322:B4327" si="287">"113035"</f>
        <v>113035</v>
      </c>
      <c r="C4322" t="str">
        <f t="shared" ref="C4322:C4327" si="288">"81054"</f>
        <v>81054</v>
      </c>
      <c r="D4322" t="s">
        <v>554</v>
      </c>
      <c r="E4322">
        <v>297.5</v>
      </c>
      <c r="F4322">
        <v>20131203</v>
      </c>
      <c r="G4322" t="s">
        <v>746</v>
      </c>
      <c r="H4322" t="s">
        <v>555</v>
      </c>
      <c r="I4322" t="s">
        <v>21</v>
      </c>
    </row>
    <row r="4323" spans="1:9" x14ac:dyDescent="0.25">
      <c r="A4323">
        <v>20131205</v>
      </c>
      <c r="B4323" t="str">
        <f t="shared" si="287"/>
        <v>113035</v>
      </c>
      <c r="C4323" t="str">
        <f t="shared" si="288"/>
        <v>81054</v>
      </c>
      <c r="D4323" t="s">
        <v>554</v>
      </c>
      <c r="E4323">
        <v>287</v>
      </c>
      <c r="F4323">
        <v>20131203</v>
      </c>
      <c r="G4323" t="s">
        <v>746</v>
      </c>
      <c r="H4323" t="s">
        <v>555</v>
      </c>
      <c r="I4323" t="s">
        <v>21</v>
      </c>
    </row>
    <row r="4324" spans="1:9" x14ac:dyDescent="0.25">
      <c r="A4324">
        <v>20131205</v>
      </c>
      <c r="B4324" t="str">
        <f t="shared" si="287"/>
        <v>113035</v>
      </c>
      <c r="C4324" t="str">
        <f t="shared" si="288"/>
        <v>81054</v>
      </c>
      <c r="D4324" t="s">
        <v>554</v>
      </c>
      <c r="E4324">
        <v>374.5</v>
      </c>
      <c r="F4324">
        <v>20131203</v>
      </c>
      <c r="G4324" t="s">
        <v>746</v>
      </c>
      <c r="H4324" t="s">
        <v>555</v>
      </c>
      <c r="I4324" t="s">
        <v>21</v>
      </c>
    </row>
    <row r="4325" spans="1:9" x14ac:dyDescent="0.25">
      <c r="A4325">
        <v>20131205</v>
      </c>
      <c r="B4325" t="str">
        <f t="shared" si="287"/>
        <v>113035</v>
      </c>
      <c r="C4325" t="str">
        <f t="shared" si="288"/>
        <v>81054</v>
      </c>
      <c r="D4325" t="s">
        <v>554</v>
      </c>
      <c r="E4325">
        <v>327.5</v>
      </c>
      <c r="F4325">
        <v>20131203</v>
      </c>
      <c r="G4325" t="s">
        <v>746</v>
      </c>
      <c r="H4325" t="s">
        <v>555</v>
      </c>
      <c r="I4325" t="s">
        <v>21</v>
      </c>
    </row>
    <row r="4326" spans="1:9" x14ac:dyDescent="0.25">
      <c r="A4326">
        <v>20131205</v>
      </c>
      <c r="B4326" t="str">
        <f t="shared" si="287"/>
        <v>113035</v>
      </c>
      <c r="C4326" t="str">
        <f t="shared" si="288"/>
        <v>81054</v>
      </c>
      <c r="D4326" t="s">
        <v>554</v>
      </c>
      <c r="E4326">
        <v>327.5</v>
      </c>
      <c r="F4326">
        <v>20131203</v>
      </c>
      <c r="G4326" t="s">
        <v>746</v>
      </c>
      <c r="H4326" t="s">
        <v>555</v>
      </c>
      <c r="I4326" t="s">
        <v>21</v>
      </c>
    </row>
    <row r="4327" spans="1:9" x14ac:dyDescent="0.25">
      <c r="A4327">
        <v>20131205</v>
      </c>
      <c r="B4327" t="str">
        <f t="shared" si="287"/>
        <v>113035</v>
      </c>
      <c r="C4327" t="str">
        <f t="shared" si="288"/>
        <v>81054</v>
      </c>
      <c r="D4327" t="s">
        <v>554</v>
      </c>
      <c r="E4327">
        <v>374.5</v>
      </c>
      <c r="F4327">
        <v>20131203</v>
      </c>
      <c r="G4327" t="s">
        <v>746</v>
      </c>
      <c r="H4327" t="s">
        <v>555</v>
      </c>
      <c r="I4327" t="s">
        <v>21</v>
      </c>
    </row>
    <row r="4328" spans="1:9" x14ac:dyDescent="0.25">
      <c r="A4328">
        <v>20131205</v>
      </c>
      <c r="B4328" t="str">
        <f>"113036"</f>
        <v>113036</v>
      </c>
      <c r="C4328" t="str">
        <f>"29227"</f>
        <v>29227</v>
      </c>
      <c r="D4328" t="s">
        <v>1236</v>
      </c>
      <c r="E4328">
        <v>77.959999999999994</v>
      </c>
      <c r="F4328">
        <v>20131203</v>
      </c>
      <c r="G4328" t="s">
        <v>837</v>
      </c>
      <c r="H4328" t="s">
        <v>2506</v>
      </c>
      <c r="I4328" t="s">
        <v>21</v>
      </c>
    </row>
    <row r="4329" spans="1:9" x14ac:dyDescent="0.25">
      <c r="A4329">
        <v>20131205</v>
      </c>
      <c r="B4329" t="str">
        <f>"113037"</f>
        <v>113037</v>
      </c>
      <c r="C4329" t="str">
        <f>"30000"</f>
        <v>30000</v>
      </c>
      <c r="D4329" t="s">
        <v>556</v>
      </c>
      <c r="E4329" s="1">
        <v>6462.5</v>
      </c>
      <c r="F4329">
        <v>20131202</v>
      </c>
      <c r="G4329" t="s">
        <v>579</v>
      </c>
      <c r="H4329" t="s">
        <v>2507</v>
      </c>
      <c r="I4329" t="s">
        <v>21</v>
      </c>
    </row>
    <row r="4330" spans="1:9" x14ac:dyDescent="0.25">
      <c r="A4330">
        <v>20131205</v>
      </c>
      <c r="B4330" t="str">
        <f>"113037"</f>
        <v>113037</v>
      </c>
      <c r="C4330" t="str">
        <f>"30000"</f>
        <v>30000</v>
      </c>
      <c r="D4330" t="s">
        <v>556</v>
      </c>
      <c r="E4330">
        <v>51.92</v>
      </c>
      <c r="F4330">
        <v>20131202</v>
      </c>
      <c r="G4330" t="s">
        <v>1079</v>
      </c>
      <c r="H4330" t="s">
        <v>2507</v>
      </c>
      <c r="I4330" t="s">
        <v>21</v>
      </c>
    </row>
    <row r="4331" spans="1:9" x14ac:dyDescent="0.25">
      <c r="A4331">
        <v>20131205</v>
      </c>
      <c r="B4331" t="str">
        <f>"113037"</f>
        <v>113037</v>
      </c>
      <c r="C4331" t="str">
        <f>"30000"</f>
        <v>30000</v>
      </c>
      <c r="D4331" t="s">
        <v>556</v>
      </c>
      <c r="E4331" s="1">
        <v>1799.99</v>
      </c>
      <c r="F4331">
        <v>20131203</v>
      </c>
      <c r="G4331" t="s">
        <v>637</v>
      </c>
      <c r="H4331" t="s">
        <v>2508</v>
      </c>
      <c r="I4331" t="s">
        <v>38</v>
      </c>
    </row>
    <row r="4332" spans="1:9" x14ac:dyDescent="0.25">
      <c r="A4332">
        <v>20131205</v>
      </c>
      <c r="B4332" t="str">
        <f>"113038"</f>
        <v>113038</v>
      </c>
      <c r="C4332" t="str">
        <f>"30125"</f>
        <v>30125</v>
      </c>
      <c r="D4332" t="s">
        <v>2509</v>
      </c>
      <c r="E4332" s="1">
        <v>1049.48</v>
      </c>
      <c r="F4332">
        <v>20131203</v>
      </c>
      <c r="G4332" t="s">
        <v>1619</v>
      </c>
      <c r="H4332" t="s">
        <v>2510</v>
      </c>
      <c r="I4332" t="s">
        <v>21</v>
      </c>
    </row>
    <row r="4333" spans="1:9" x14ac:dyDescent="0.25">
      <c r="A4333">
        <v>20131205</v>
      </c>
      <c r="B4333" t="str">
        <f>"113039"</f>
        <v>113039</v>
      </c>
      <c r="C4333" t="str">
        <f>"85333"</f>
        <v>85333</v>
      </c>
      <c r="D4333" t="s">
        <v>561</v>
      </c>
      <c r="E4333">
        <v>41.58</v>
      </c>
      <c r="F4333">
        <v>20131204</v>
      </c>
      <c r="G4333" t="s">
        <v>562</v>
      </c>
      <c r="H4333" t="s">
        <v>563</v>
      </c>
      <c r="I4333" t="s">
        <v>21</v>
      </c>
    </row>
    <row r="4334" spans="1:9" x14ac:dyDescent="0.25">
      <c r="A4334">
        <v>20131205</v>
      </c>
      <c r="B4334" t="str">
        <f>"113040"</f>
        <v>113040</v>
      </c>
      <c r="C4334" t="str">
        <f>"83496"</f>
        <v>83496</v>
      </c>
      <c r="D4334" t="s">
        <v>567</v>
      </c>
      <c r="E4334">
        <v>81.96</v>
      </c>
      <c r="F4334">
        <v>20131203</v>
      </c>
      <c r="G4334" t="s">
        <v>568</v>
      </c>
      <c r="H4334" t="s">
        <v>1632</v>
      </c>
      <c r="I4334" t="s">
        <v>21</v>
      </c>
    </row>
    <row r="4335" spans="1:9" x14ac:dyDescent="0.25">
      <c r="A4335">
        <v>20131205</v>
      </c>
      <c r="B4335" t="str">
        <f>"113041"</f>
        <v>113041</v>
      </c>
      <c r="C4335" t="str">
        <f>"30480"</f>
        <v>30480</v>
      </c>
      <c r="D4335" t="s">
        <v>570</v>
      </c>
      <c r="E4335" s="1">
        <v>5442</v>
      </c>
      <c r="F4335">
        <v>20131204</v>
      </c>
      <c r="G4335" t="s">
        <v>571</v>
      </c>
      <c r="H4335" t="s">
        <v>572</v>
      </c>
      <c r="I4335" t="s">
        <v>21</v>
      </c>
    </row>
    <row r="4336" spans="1:9" x14ac:dyDescent="0.25">
      <c r="A4336">
        <v>20131205</v>
      </c>
      <c r="B4336" t="str">
        <f>"113042"</f>
        <v>113042</v>
      </c>
      <c r="C4336" t="str">
        <f>"30600"</f>
        <v>30600</v>
      </c>
      <c r="D4336" t="s">
        <v>2511</v>
      </c>
      <c r="E4336">
        <v>771.2</v>
      </c>
      <c r="F4336">
        <v>20131203</v>
      </c>
      <c r="G4336" t="s">
        <v>1850</v>
      </c>
      <c r="H4336" t="s">
        <v>2512</v>
      </c>
      <c r="I4336" t="s">
        <v>21</v>
      </c>
    </row>
    <row r="4337" spans="1:9" x14ac:dyDescent="0.25">
      <c r="A4337">
        <v>20131205</v>
      </c>
      <c r="B4337" t="str">
        <f>"113043"</f>
        <v>113043</v>
      </c>
      <c r="C4337" t="str">
        <f>"82187"</f>
        <v>82187</v>
      </c>
      <c r="D4337" t="s">
        <v>2513</v>
      </c>
      <c r="E4337">
        <v>72.31</v>
      </c>
      <c r="F4337">
        <v>20131202</v>
      </c>
      <c r="G4337" t="s">
        <v>1026</v>
      </c>
      <c r="H4337" t="s">
        <v>365</v>
      </c>
      <c r="I4337" t="s">
        <v>21</v>
      </c>
    </row>
    <row r="4338" spans="1:9" x14ac:dyDescent="0.25">
      <c r="A4338">
        <v>20131205</v>
      </c>
      <c r="B4338" t="str">
        <f>"113044"</f>
        <v>113044</v>
      </c>
      <c r="C4338" t="str">
        <f>"87031"</f>
        <v>87031</v>
      </c>
      <c r="D4338" t="s">
        <v>418</v>
      </c>
      <c r="E4338">
        <v>34.200000000000003</v>
      </c>
      <c r="F4338">
        <v>20131204</v>
      </c>
      <c r="G4338" t="s">
        <v>410</v>
      </c>
      <c r="H4338" t="s">
        <v>411</v>
      </c>
      <c r="I4338" t="s">
        <v>12</v>
      </c>
    </row>
    <row r="4339" spans="1:9" x14ac:dyDescent="0.25">
      <c r="A4339">
        <v>20131205</v>
      </c>
      <c r="B4339" t="str">
        <f>"113045"</f>
        <v>113045</v>
      </c>
      <c r="C4339" t="str">
        <f>"87250"</f>
        <v>87250</v>
      </c>
      <c r="D4339" t="s">
        <v>2514</v>
      </c>
      <c r="E4339">
        <v>58.94</v>
      </c>
      <c r="F4339">
        <v>20131204</v>
      </c>
      <c r="G4339" t="s">
        <v>1711</v>
      </c>
      <c r="H4339" t="s">
        <v>2515</v>
      </c>
      <c r="I4339" t="s">
        <v>21</v>
      </c>
    </row>
    <row r="4340" spans="1:9" x14ac:dyDescent="0.25">
      <c r="A4340">
        <v>20131205</v>
      </c>
      <c r="B4340" t="str">
        <f t="shared" ref="B4340:B4353" si="289">"113046"</f>
        <v>113046</v>
      </c>
      <c r="C4340" t="str">
        <f t="shared" ref="C4340:C4353" si="290">"31570"</f>
        <v>31570</v>
      </c>
      <c r="D4340" t="s">
        <v>1244</v>
      </c>
      <c r="E4340">
        <v>182.24</v>
      </c>
      <c r="F4340">
        <v>20131202</v>
      </c>
      <c r="G4340" t="s">
        <v>448</v>
      </c>
      <c r="H4340" t="s">
        <v>2516</v>
      </c>
      <c r="I4340" t="s">
        <v>21</v>
      </c>
    </row>
    <row r="4341" spans="1:9" x14ac:dyDescent="0.25">
      <c r="A4341">
        <v>20131205</v>
      </c>
      <c r="B4341" t="str">
        <f t="shared" si="289"/>
        <v>113046</v>
      </c>
      <c r="C4341" t="str">
        <f t="shared" si="290"/>
        <v>31570</v>
      </c>
      <c r="D4341" t="s">
        <v>1244</v>
      </c>
      <c r="E4341">
        <v>102.17</v>
      </c>
      <c r="F4341">
        <v>20131203</v>
      </c>
      <c r="G4341" t="s">
        <v>496</v>
      </c>
      <c r="H4341" t="s">
        <v>414</v>
      </c>
      <c r="I4341" t="s">
        <v>21</v>
      </c>
    </row>
    <row r="4342" spans="1:9" x14ac:dyDescent="0.25">
      <c r="A4342">
        <v>20131205</v>
      </c>
      <c r="B4342" t="str">
        <f t="shared" si="289"/>
        <v>113046</v>
      </c>
      <c r="C4342" t="str">
        <f t="shared" si="290"/>
        <v>31570</v>
      </c>
      <c r="D4342" t="s">
        <v>1244</v>
      </c>
      <c r="E4342">
        <v>19.79</v>
      </c>
      <c r="F4342">
        <v>20131203</v>
      </c>
      <c r="G4342" t="s">
        <v>483</v>
      </c>
      <c r="H4342" t="s">
        <v>414</v>
      </c>
      <c r="I4342" t="s">
        <v>21</v>
      </c>
    </row>
    <row r="4343" spans="1:9" x14ac:dyDescent="0.25">
      <c r="A4343">
        <v>20131205</v>
      </c>
      <c r="B4343" t="str">
        <f t="shared" si="289"/>
        <v>113046</v>
      </c>
      <c r="C4343" t="str">
        <f t="shared" si="290"/>
        <v>31570</v>
      </c>
      <c r="D4343" t="s">
        <v>1244</v>
      </c>
      <c r="E4343">
        <v>163.31</v>
      </c>
      <c r="F4343">
        <v>20131203</v>
      </c>
      <c r="G4343" t="s">
        <v>415</v>
      </c>
      <c r="H4343" t="s">
        <v>414</v>
      </c>
      <c r="I4343" t="s">
        <v>21</v>
      </c>
    </row>
    <row r="4344" spans="1:9" x14ac:dyDescent="0.25">
      <c r="A4344">
        <v>20131205</v>
      </c>
      <c r="B4344" t="str">
        <f t="shared" si="289"/>
        <v>113046</v>
      </c>
      <c r="C4344" t="str">
        <f t="shared" si="290"/>
        <v>31570</v>
      </c>
      <c r="D4344" t="s">
        <v>1244</v>
      </c>
      <c r="E4344">
        <v>175.32</v>
      </c>
      <c r="F4344">
        <v>20131203</v>
      </c>
      <c r="G4344" t="s">
        <v>627</v>
      </c>
      <c r="H4344" t="s">
        <v>414</v>
      </c>
      <c r="I4344" t="s">
        <v>21</v>
      </c>
    </row>
    <row r="4345" spans="1:9" x14ac:dyDescent="0.25">
      <c r="A4345">
        <v>20131205</v>
      </c>
      <c r="B4345" t="str">
        <f t="shared" si="289"/>
        <v>113046</v>
      </c>
      <c r="C4345" t="str">
        <f t="shared" si="290"/>
        <v>31570</v>
      </c>
      <c r="D4345" t="s">
        <v>1244</v>
      </c>
      <c r="E4345">
        <v>152.32</v>
      </c>
      <c r="F4345">
        <v>20131203</v>
      </c>
      <c r="G4345" t="s">
        <v>1222</v>
      </c>
      <c r="H4345" t="s">
        <v>414</v>
      </c>
      <c r="I4345" t="s">
        <v>21</v>
      </c>
    </row>
    <row r="4346" spans="1:9" x14ac:dyDescent="0.25">
      <c r="A4346">
        <v>20131205</v>
      </c>
      <c r="B4346" t="str">
        <f t="shared" si="289"/>
        <v>113046</v>
      </c>
      <c r="C4346" t="str">
        <f t="shared" si="290"/>
        <v>31570</v>
      </c>
      <c r="D4346" t="s">
        <v>1244</v>
      </c>
      <c r="E4346">
        <v>135.62</v>
      </c>
      <c r="F4346">
        <v>20131203</v>
      </c>
      <c r="G4346" t="s">
        <v>628</v>
      </c>
      <c r="H4346" t="s">
        <v>414</v>
      </c>
      <c r="I4346" t="s">
        <v>21</v>
      </c>
    </row>
    <row r="4347" spans="1:9" x14ac:dyDescent="0.25">
      <c r="A4347">
        <v>20131205</v>
      </c>
      <c r="B4347" t="str">
        <f t="shared" si="289"/>
        <v>113046</v>
      </c>
      <c r="C4347" t="str">
        <f t="shared" si="290"/>
        <v>31570</v>
      </c>
      <c r="D4347" t="s">
        <v>1244</v>
      </c>
      <c r="E4347">
        <v>51.82</v>
      </c>
      <c r="F4347">
        <v>20131203</v>
      </c>
      <c r="G4347" t="s">
        <v>629</v>
      </c>
      <c r="H4347" t="s">
        <v>414</v>
      </c>
      <c r="I4347" t="s">
        <v>21</v>
      </c>
    </row>
    <row r="4348" spans="1:9" x14ac:dyDescent="0.25">
      <c r="A4348">
        <v>20131205</v>
      </c>
      <c r="B4348" t="str">
        <f t="shared" si="289"/>
        <v>113046</v>
      </c>
      <c r="C4348" t="str">
        <f t="shared" si="290"/>
        <v>31570</v>
      </c>
      <c r="D4348" t="s">
        <v>1244</v>
      </c>
      <c r="E4348">
        <v>63.22</v>
      </c>
      <c r="F4348">
        <v>20131203</v>
      </c>
      <c r="G4348" t="s">
        <v>630</v>
      </c>
      <c r="H4348" t="s">
        <v>414</v>
      </c>
      <c r="I4348" t="s">
        <v>21</v>
      </c>
    </row>
    <row r="4349" spans="1:9" x14ac:dyDescent="0.25">
      <c r="A4349">
        <v>20131205</v>
      </c>
      <c r="B4349" t="str">
        <f t="shared" si="289"/>
        <v>113046</v>
      </c>
      <c r="C4349" t="str">
        <f t="shared" si="290"/>
        <v>31570</v>
      </c>
      <c r="D4349" t="s">
        <v>1244</v>
      </c>
      <c r="E4349">
        <v>50.67</v>
      </c>
      <c r="F4349">
        <v>20131203</v>
      </c>
      <c r="G4349" t="s">
        <v>530</v>
      </c>
      <c r="H4349" t="s">
        <v>414</v>
      </c>
      <c r="I4349" t="s">
        <v>21</v>
      </c>
    </row>
    <row r="4350" spans="1:9" x14ac:dyDescent="0.25">
      <c r="A4350">
        <v>20131205</v>
      </c>
      <c r="B4350" t="str">
        <f t="shared" si="289"/>
        <v>113046</v>
      </c>
      <c r="C4350" t="str">
        <f t="shared" si="290"/>
        <v>31570</v>
      </c>
      <c r="D4350" t="s">
        <v>1244</v>
      </c>
      <c r="E4350">
        <v>25.27</v>
      </c>
      <c r="F4350">
        <v>20131203</v>
      </c>
      <c r="G4350" t="s">
        <v>631</v>
      </c>
      <c r="H4350" t="s">
        <v>414</v>
      </c>
      <c r="I4350" t="s">
        <v>21</v>
      </c>
    </row>
    <row r="4351" spans="1:9" x14ac:dyDescent="0.25">
      <c r="A4351">
        <v>20131205</v>
      </c>
      <c r="B4351" t="str">
        <f t="shared" si="289"/>
        <v>113046</v>
      </c>
      <c r="C4351" t="str">
        <f t="shared" si="290"/>
        <v>31570</v>
      </c>
      <c r="D4351" t="s">
        <v>1244</v>
      </c>
      <c r="E4351">
        <v>115.01</v>
      </c>
      <c r="F4351">
        <v>20131203</v>
      </c>
      <c r="G4351" t="s">
        <v>392</v>
      </c>
      <c r="H4351" t="s">
        <v>414</v>
      </c>
      <c r="I4351" t="s">
        <v>21</v>
      </c>
    </row>
    <row r="4352" spans="1:9" x14ac:dyDescent="0.25">
      <c r="A4352">
        <v>20131205</v>
      </c>
      <c r="B4352" t="str">
        <f t="shared" si="289"/>
        <v>113046</v>
      </c>
      <c r="C4352" t="str">
        <f t="shared" si="290"/>
        <v>31570</v>
      </c>
      <c r="D4352" t="s">
        <v>1244</v>
      </c>
      <c r="E4352" s="1">
        <v>2099.42</v>
      </c>
      <c r="F4352">
        <v>20131203</v>
      </c>
      <c r="G4352" t="s">
        <v>1224</v>
      </c>
      <c r="H4352" t="s">
        <v>414</v>
      </c>
      <c r="I4352" t="s">
        <v>21</v>
      </c>
    </row>
    <row r="4353" spans="1:9" x14ac:dyDescent="0.25">
      <c r="A4353">
        <v>20131205</v>
      </c>
      <c r="B4353" t="str">
        <f t="shared" si="289"/>
        <v>113046</v>
      </c>
      <c r="C4353" t="str">
        <f t="shared" si="290"/>
        <v>31570</v>
      </c>
      <c r="D4353" t="s">
        <v>1244</v>
      </c>
      <c r="E4353">
        <v>40.71</v>
      </c>
      <c r="F4353">
        <v>20131203</v>
      </c>
      <c r="G4353" t="s">
        <v>417</v>
      </c>
      <c r="H4353" t="s">
        <v>414</v>
      </c>
      <c r="I4353" t="s">
        <v>21</v>
      </c>
    </row>
    <row r="4354" spans="1:9" x14ac:dyDescent="0.25">
      <c r="A4354">
        <v>20131205</v>
      </c>
      <c r="B4354" t="str">
        <f>"113047"</f>
        <v>113047</v>
      </c>
      <c r="C4354" t="str">
        <f>"87637"</f>
        <v>87637</v>
      </c>
      <c r="D4354" t="s">
        <v>2449</v>
      </c>
      <c r="E4354">
        <v>101.62</v>
      </c>
      <c r="F4354">
        <v>20131204</v>
      </c>
      <c r="G4354" t="s">
        <v>1846</v>
      </c>
      <c r="H4354" t="s">
        <v>765</v>
      </c>
      <c r="I4354" t="s">
        <v>63</v>
      </c>
    </row>
    <row r="4355" spans="1:9" x14ac:dyDescent="0.25">
      <c r="A4355">
        <v>20131205</v>
      </c>
      <c r="B4355" t="str">
        <f>"113048"</f>
        <v>113048</v>
      </c>
      <c r="C4355" t="str">
        <f>"87484"</f>
        <v>87484</v>
      </c>
      <c r="D4355" t="s">
        <v>588</v>
      </c>
      <c r="E4355" s="1">
        <v>5313.75</v>
      </c>
      <c r="F4355">
        <v>20131204</v>
      </c>
      <c r="G4355" t="s">
        <v>589</v>
      </c>
      <c r="H4355" t="s">
        <v>2195</v>
      </c>
      <c r="I4355" t="s">
        <v>68</v>
      </c>
    </row>
    <row r="4356" spans="1:9" x14ac:dyDescent="0.25">
      <c r="A4356">
        <v>20131205</v>
      </c>
      <c r="B4356" t="str">
        <f>"113049"</f>
        <v>113049</v>
      </c>
      <c r="C4356" t="str">
        <f>"84980"</f>
        <v>84980</v>
      </c>
      <c r="D4356" t="s">
        <v>591</v>
      </c>
      <c r="E4356">
        <v>504</v>
      </c>
      <c r="F4356">
        <v>20131204</v>
      </c>
      <c r="G4356" t="s">
        <v>819</v>
      </c>
      <c r="H4356" t="s">
        <v>2369</v>
      </c>
      <c r="I4356" t="s">
        <v>63</v>
      </c>
    </row>
    <row r="4357" spans="1:9" x14ac:dyDescent="0.25">
      <c r="A4357">
        <v>20131205</v>
      </c>
      <c r="B4357" t="str">
        <f>"113049"</f>
        <v>113049</v>
      </c>
      <c r="C4357" t="str">
        <f>"84980"</f>
        <v>84980</v>
      </c>
      <c r="D4357" t="s">
        <v>591</v>
      </c>
      <c r="E4357">
        <v>125.12</v>
      </c>
      <c r="F4357">
        <v>20131202</v>
      </c>
      <c r="G4357" t="s">
        <v>834</v>
      </c>
      <c r="H4357" t="s">
        <v>2517</v>
      </c>
      <c r="I4357" t="s">
        <v>21</v>
      </c>
    </row>
    <row r="4358" spans="1:9" x14ac:dyDescent="0.25">
      <c r="A4358">
        <v>20131205</v>
      </c>
      <c r="B4358" t="str">
        <f>"113049"</f>
        <v>113049</v>
      </c>
      <c r="C4358" t="str">
        <f>"84980"</f>
        <v>84980</v>
      </c>
      <c r="D4358" t="s">
        <v>591</v>
      </c>
      <c r="E4358">
        <v>27.41</v>
      </c>
      <c r="F4358">
        <v>20131203</v>
      </c>
      <c r="G4358" t="s">
        <v>2518</v>
      </c>
      <c r="H4358" t="s">
        <v>2519</v>
      </c>
      <c r="I4358" t="s">
        <v>21</v>
      </c>
    </row>
    <row r="4359" spans="1:9" x14ac:dyDescent="0.25">
      <c r="A4359">
        <v>20131205</v>
      </c>
      <c r="B4359" t="str">
        <f>"113049"</f>
        <v>113049</v>
      </c>
      <c r="C4359" t="str">
        <f>"84980"</f>
        <v>84980</v>
      </c>
      <c r="D4359" t="s">
        <v>591</v>
      </c>
      <c r="E4359">
        <v>33.43</v>
      </c>
      <c r="F4359">
        <v>20131204</v>
      </c>
      <c r="G4359" t="s">
        <v>837</v>
      </c>
      <c r="H4359" t="s">
        <v>2520</v>
      </c>
      <c r="I4359" t="s">
        <v>21</v>
      </c>
    </row>
    <row r="4360" spans="1:9" x14ac:dyDescent="0.25">
      <c r="A4360">
        <v>20131205</v>
      </c>
      <c r="B4360" t="str">
        <f>"113050"</f>
        <v>113050</v>
      </c>
      <c r="C4360" t="str">
        <f>"86644"</f>
        <v>86644</v>
      </c>
      <c r="D4360" t="s">
        <v>2521</v>
      </c>
      <c r="E4360">
        <v>165</v>
      </c>
      <c r="F4360">
        <v>20131203</v>
      </c>
      <c r="G4360" t="s">
        <v>2324</v>
      </c>
      <c r="H4360" t="s">
        <v>765</v>
      </c>
      <c r="I4360" t="s">
        <v>61</v>
      </c>
    </row>
    <row r="4361" spans="1:9" x14ac:dyDescent="0.25">
      <c r="A4361">
        <v>20131205</v>
      </c>
      <c r="B4361" t="str">
        <f>"113051"</f>
        <v>113051</v>
      </c>
      <c r="C4361" t="str">
        <f>"86053"</f>
        <v>86053</v>
      </c>
      <c r="D4361" t="s">
        <v>2522</v>
      </c>
      <c r="E4361">
        <v>165</v>
      </c>
      <c r="F4361">
        <v>20131203</v>
      </c>
      <c r="G4361" t="s">
        <v>2324</v>
      </c>
      <c r="H4361" t="s">
        <v>765</v>
      </c>
      <c r="I4361" t="s">
        <v>61</v>
      </c>
    </row>
    <row r="4362" spans="1:9" x14ac:dyDescent="0.25">
      <c r="A4362">
        <v>20131205</v>
      </c>
      <c r="B4362" t="str">
        <f>"113052"</f>
        <v>113052</v>
      </c>
      <c r="C4362" t="str">
        <f>"30650"</f>
        <v>30650</v>
      </c>
      <c r="D4362" t="s">
        <v>596</v>
      </c>
      <c r="E4362">
        <v>810</v>
      </c>
      <c r="F4362">
        <v>20131203</v>
      </c>
      <c r="G4362" t="s">
        <v>624</v>
      </c>
      <c r="H4362" t="s">
        <v>2199</v>
      </c>
      <c r="I4362" t="s">
        <v>21</v>
      </c>
    </row>
    <row r="4363" spans="1:9" x14ac:dyDescent="0.25">
      <c r="A4363">
        <v>20131205</v>
      </c>
      <c r="B4363" t="str">
        <f>"113052"</f>
        <v>113052</v>
      </c>
      <c r="C4363" t="str">
        <f>"30650"</f>
        <v>30650</v>
      </c>
      <c r="D4363" t="s">
        <v>596</v>
      </c>
      <c r="E4363" s="1">
        <v>1530</v>
      </c>
      <c r="F4363">
        <v>20131203</v>
      </c>
      <c r="G4363" t="s">
        <v>524</v>
      </c>
      <c r="H4363" t="s">
        <v>2199</v>
      </c>
      <c r="I4363" t="s">
        <v>21</v>
      </c>
    </row>
    <row r="4364" spans="1:9" x14ac:dyDescent="0.25">
      <c r="A4364">
        <v>20131205</v>
      </c>
      <c r="B4364" t="str">
        <f>"113052"</f>
        <v>113052</v>
      </c>
      <c r="C4364" t="str">
        <f>"30650"</f>
        <v>30650</v>
      </c>
      <c r="D4364" t="s">
        <v>596</v>
      </c>
      <c r="E4364" s="1">
        <v>2880</v>
      </c>
      <c r="F4364">
        <v>20131203</v>
      </c>
      <c r="G4364" t="s">
        <v>1272</v>
      </c>
      <c r="H4364" t="s">
        <v>2199</v>
      </c>
      <c r="I4364" t="s">
        <v>21</v>
      </c>
    </row>
    <row r="4365" spans="1:9" x14ac:dyDescent="0.25">
      <c r="A4365">
        <v>20131205</v>
      </c>
      <c r="B4365" t="str">
        <f>"113053"</f>
        <v>113053</v>
      </c>
      <c r="C4365" t="str">
        <f>"87110"</f>
        <v>87110</v>
      </c>
      <c r="D4365" t="s">
        <v>2523</v>
      </c>
      <c r="E4365">
        <v>110</v>
      </c>
      <c r="F4365">
        <v>20131204</v>
      </c>
      <c r="G4365" t="s">
        <v>2324</v>
      </c>
      <c r="H4365" t="s">
        <v>765</v>
      </c>
      <c r="I4365" t="s">
        <v>61</v>
      </c>
    </row>
    <row r="4366" spans="1:9" x14ac:dyDescent="0.25">
      <c r="A4366">
        <v>20131205</v>
      </c>
      <c r="B4366" t="str">
        <f>"113054"</f>
        <v>113054</v>
      </c>
      <c r="C4366" t="str">
        <f>"84038"</f>
        <v>84038</v>
      </c>
      <c r="D4366" t="s">
        <v>419</v>
      </c>
      <c r="E4366">
        <v>23.4</v>
      </c>
      <c r="F4366">
        <v>20131204</v>
      </c>
      <c r="G4366" t="s">
        <v>410</v>
      </c>
      <c r="H4366" t="s">
        <v>411</v>
      </c>
      <c r="I4366" t="s">
        <v>12</v>
      </c>
    </row>
    <row r="4367" spans="1:9" x14ac:dyDescent="0.25">
      <c r="A4367">
        <v>20131205</v>
      </c>
      <c r="B4367" t="str">
        <f>"113055"</f>
        <v>113055</v>
      </c>
      <c r="C4367" t="str">
        <f>"87644"</f>
        <v>87644</v>
      </c>
      <c r="D4367" t="s">
        <v>2524</v>
      </c>
      <c r="E4367">
        <v>110</v>
      </c>
      <c r="F4367">
        <v>20131203</v>
      </c>
      <c r="G4367" t="s">
        <v>2324</v>
      </c>
      <c r="H4367" t="s">
        <v>765</v>
      </c>
      <c r="I4367" t="s">
        <v>61</v>
      </c>
    </row>
    <row r="4368" spans="1:9" x14ac:dyDescent="0.25">
      <c r="A4368">
        <v>20131205</v>
      </c>
      <c r="B4368" t="str">
        <f>"113055"</f>
        <v>113055</v>
      </c>
      <c r="C4368" t="str">
        <f>"87644"</f>
        <v>87644</v>
      </c>
      <c r="D4368" t="s">
        <v>2524</v>
      </c>
      <c r="E4368">
        <v>110</v>
      </c>
      <c r="F4368">
        <v>20131203</v>
      </c>
      <c r="G4368" t="s">
        <v>2324</v>
      </c>
      <c r="H4368" t="s">
        <v>765</v>
      </c>
      <c r="I4368" t="s">
        <v>61</v>
      </c>
    </row>
    <row r="4369" spans="1:9" x14ac:dyDescent="0.25">
      <c r="A4369">
        <v>20131205</v>
      </c>
      <c r="B4369" t="str">
        <f>"113056"</f>
        <v>113056</v>
      </c>
      <c r="C4369" t="str">
        <f>"81525"</f>
        <v>81525</v>
      </c>
      <c r="D4369" t="s">
        <v>1252</v>
      </c>
      <c r="E4369">
        <v>15.93</v>
      </c>
      <c r="F4369">
        <v>20131203</v>
      </c>
      <c r="G4369" t="s">
        <v>601</v>
      </c>
      <c r="H4369" t="s">
        <v>563</v>
      </c>
      <c r="I4369" t="s">
        <v>21</v>
      </c>
    </row>
    <row r="4370" spans="1:9" x14ac:dyDescent="0.25">
      <c r="A4370">
        <v>20131205</v>
      </c>
      <c r="B4370" t="str">
        <f>"113057"</f>
        <v>113057</v>
      </c>
      <c r="C4370" t="str">
        <f>"35817"</f>
        <v>35817</v>
      </c>
      <c r="D4370" t="s">
        <v>600</v>
      </c>
      <c r="E4370">
        <v>20.93</v>
      </c>
      <c r="F4370">
        <v>20131204</v>
      </c>
      <c r="G4370" t="s">
        <v>601</v>
      </c>
      <c r="H4370" t="s">
        <v>563</v>
      </c>
      <c r="I4370" t="s">
        <v>21</v>
      </c>
    </row>
    <row r="4371" spans="1:9" x14ac:dyDescent="0.25">
      <c r="A4371">
        <v>20131205</v>
      </c>
      <c r="B4371" t="str">
        <f>"113058"</f>
        <v>113058</v>
      </c>
      <c r="C4371" t="str">
        <f>"86671"</f>
        <v>86671</v>
      </c>
      <c r="D4371" t="s">
        <v>2525</v>
      </c>
      <c r="E4371">
        <v>120</v>
      </c>
      <c r="F4371">
        <v>20131203</v>
      </c>
      <c r="G4371" t="s">
        <v>2324</v>
      </c>
      <c r="H4371" t="s">
        <v>765</v>
      </c>
      <c r="I4371" t="s">
        <v>61</v>
      </c>
    </row>
    <row r="4372" spans="1:9" x14ac:dyDescent="0.25">
      <c r="A4372">
        <v>20131205</v>
      </c>
      <c r="B4372" t="str">
        <f>"113059"</f>
        <v>113059</v>
      </c>
      <c r="C4372" t="str">
        <f>"00453"</f>
        <v>00453</v>
      </c>
      <c r="D4372" t="s">
        <v>2526</v>
      </c>
      <c r="E4372">
        <v>509.32</v>
      </c>
      <c r="F4372">
        <v>20131204</v>
      </c>
      <c r="G4372" t="s">
        <v>789</v>
      </c>
      <c r="H4372" t="s">
        <v>921</v>
      </c>
      <c r="I4372" t="s">
        <v>61</v>
      </c>
    </row>
    <row r="4373" spans="1:9" x14ac:dyDescent="0.25">
      <c r="A4373">
        <v>20131205</v>
      </c>
      <c r="B4373" t="str">
        <f>"113060"</f>
        <v>113060</v>
      </c>
      <c r="C4373" t="str">
        <f>"82988"</f>
        <v>82988</v>
      </c>
      <c r="D4373" t="s">
        <v>2527</v>
      </c>
      <c r="E4373">
        <v>110</v>
      </c>
      <c r="F4373">
        <v>20131203</v>
      </c>
      <c r="G4373" t="s">
        <v>2324</v>
      </c>
      <c r="H4373" t="s">
        <v>765</v>
      </c>
      <c r="I4373" t="s">
        <v>61</v>
      </c>
    </row>
    <row r="4374" spans="1:9" x14ac:dyDescent="0.25">
      <c r="A4374">
        <v>20131205</v>
      </c>
      <c r="B4374" t="str">
        <f>"113061"</f>
        <v>113061</v>
      </c>
      <c r="C4374" t="str">
        <f>"00198"</f>
        <v>00198</v>
      </c>
      <c r="D4374" t="s">
        <v>605</v>
      </c>
      <c r="E4374">
        <v>209.28</v>
      </c>
      <c r="F4374">
        <v>20131204</v>
      </c>
      <c r="G4374" t="s">
        <v>606</v>
      </c>
      <c r="H4374" t="s">
        <v>607</v>
      </c>
      <c r="I4374" t="s">
        <v>608</v>
      </c>
    </row>
    <row r="4375" spans="1:9" x14ac:dyDescent="0.25">
      <c r="A4375">
        <v>20131205</v>
      </c>
      <c r="B4375" t="str">
        <f>"113062"</f>
        <v>113062</v>
      </c>
      <c r="C4375" t="str">
        <f>"83064"</f>
        <v>83064</v>
      </c>
      <c r="D4375" t="s">
        <v>1760</v>
      </c>
      <c r="E4375">
        <v>110.97</v>
      </c>
      <c r="F4375">
        <v>20131203</v>
      </c>
      <c r="G4375" t="s">
        <v>637</v>
      </c>
      <c r="H4375" t="s">
        <v>354</v>
      </c>
      <c r="I4375" t="s">
        <v>38</v>
      </c>
    </row>
    <row r="4376" spans="1:9" x14ac:dyDescent="0.25">
      <c r="A4376">
        <v>20131205</v>
      </c>
      <c r="B4376" t="str">
        <f>"113062"</f>
        <v>113062</v>
      </c>
      <c r="C4376" t="str">
        <f>"83064"</f>
        <v>83064</v>
      </c>
      <c r="D4376" t="s">
        <v>1760</v>
      </c>
      <c r="E4376">
        <v>153.27000000000001</v>
      </c>
      <c r="F4376">
        <v>20131204</v>
      </c>
      <c r="G4376" t="s">
        <v>637</v>
      </c>
      <c r="H4376" t="s">
        <v>354</v>
      </c>
      <c r="I4376" t="s">
        <v>38</v>
      </c>
    </row>
    <row r="4377" spans="1:9" x14ac:dyDescent="0.25">
      <c r="A4377">
        <v>20131205</v>
      </c>
      <c r="B4377" t="str">
        <f>"113063"</f>
        <v>113063</v>
      </c>
      <c r="C4377" t="str">
        <f>"86701"</f>
        <v>86701</v>
      </c>
      <c r="D4377" t="s">
        <v>2528</v>
      </c>
      <c r="E4377">
        <v>55</v>
      </c>
      <c r="F4377">
        <v>20131203</v>
      </c>
      <c r="G4377" t="s">
        <v>2324</v>
      </c>
      <c r="H4377" t="s">
        <v>765</v>
      </c>
      <c r="I4377" t="s">
        <v>61</v>
      </c>
    </row>
    <row r="4378" spans="1:9" x14ac:dyDescent="0.25">
      <c r="A4378">
        <v>20131205</v>
      </c>
      <c r="B4378" t="str">
        <f>"113063"</f>
        <v>113063</v>
      </c>
      <c r="C4378" t="str">
        <f>"86701"</f>
        <v>86701</v>
      </c>
      <c r="D4378" t="s">
        <v>2528</v>
      </c>
      <c r="E4378">
        <v>-55</v>
      </c>
      <c r="F4378">
        <v>20140131</v>
      </c>
      <c r="G4378" t="s">
        <v>2324</v>
      </c>
      <c r="H4378" t="s">
        <v>1047</v>
      </c>
      <c r="I4378" t="s">
        <v>61</v>
      </c>
    </row>
    <row r="4379" spans="1:9" x14ac:dyDescent="0.25">
      <c r="A4379">
        <v>20131205</v>
      </c>
      <c r="B4379" t="str">
        <f>"113064"</f>
        <v>113064</v>
      </c>
      <c r="C4379" t="str">
        <f>"85823"</f>
        <v>85823</v>
      </c>
      <c r="D4379" t="s">
        <v>1446</v>
      </c>
      <c r="E4379" s="1">
        <v>1408</v>
      </c>
      <c r="F4379">
        <v>20131202</v>
      </c>
      <c r="G4379" t="s">
        <v>392</v>
      </c>
      <c r="H4379" t="s">
        <v>2529</v>
      </c>
      <c r="I4379" t="s">
        <v>21</v>
      </c>
    </row>
    <row r="4380" spans="1:9" x14ac:dyDescent="0.25">
      <c r="A4380">
        <v>20131205</v>
      </c>
      <c r="B4380" t="str">
        <f>"113065"</f>
        <v>113065</v>
      </c>
      <c r="C4380" t="str">
        <f>"39157"</f>
        <v>39157</v>
      </c>
      <c r="D4380" t="s">
        <v>2530</v>
      </c>
      <c r="E4380">
        <v>36.43</v>
      </c>
      <c r="F4380">
        <v>20131203</v>
      </c>
      <c r="G4380" t="s">
        <v>834</v>
      </c>
      <c r="H4380" t="s">
        <v>354</v>
      </c>
      <c r="I4380" t="s">
        <v>21</v>
      </c>
    </row>
    <row r="4381" spans="1:9" x14ac:dyDescent="0.25">
      <c r="A4381">
        <v>20131205</v>
      </c>
      <c r="B4381" t="str">
        <f>"113066"</f>
        <v>113066</v>
      </c>
      <c r="C4381" t="str">
        <f>"39190"</f>
        <v>39190</v>
      </c>
      <c r="D4381" t="s">
        <v>1100</v>
      </c>
      <c r="E4381" s="1">
        <v>1006.19</v>
      </c>
      <c r="F4381">
        <v>20131204</v>
      </c>
      <c r="G4381" t="s">
        <v>589</v>
      </c>
      <c r="H4381" t="s">
        <v>743</v>
      </c>
      <c r="I4381" t="s">
        <v>68</v>
      </c>
    </row>
    <row r="4382" spans="1:9" x14ac:dyDescent="0.25">
      <c r="A4382">
        <v>20131205</v>
      </c>
      <c r="B4382" t="str">
        <f>"113067"</f>
        <v>113067</v>
      </c>
      <c r="C4382" t="str">
        <f>"39315"</f>
        <v>39315</v>
      </c>
      <c r="D4382" t="s">
        <v>420</v>
      </c>
      <c r="E4382">
        <v>119.7</v>
      </c>
      <c r="F4382">
        <v>20131204</v>
      </c>
      <c r="G4382" t="s">
        <v>410</v>
      </c>
      <c r="H4382" t="s">
        <v>411</v>
      </c>
      <c r="I4382" t="s">
        <v>12</v>
      </c>
    </row>
    <row r="4383" spans="1:9" x14ac:dyDescent="0.25">
      <c r="A4383">
        <v>20131205</v>
      </c>
      <c r="B4383" t="str">
        <f>"113068"</f>
        <v>113068</v>
      </c>
      <c r="C4383" t="str">
        <f>"40379"</f>
        <v>40379</v>
      </c>
      <c r="D4383" t="s">
        <v>2380</v>
      </c>
      <c r="E4383">
        <v>59.97</v>
      </c>
      <c r="F4383">
        <v>20131204</v>
      </c>
      <c r="G4383" t="s">
        <v>581</v>
      </c>
      <c r="H4383" t="s">
        <v>354</v>
      </c>
      <c r="I4383" t="s">
        <v>21</v>
      </c>
    </row>
    <row r="4384" spans="1:9" x14ac:dyDescent="0.25">
      <c r="A4384">
        <v>20131205</v>
      </c>
      <c r="B4384" t="str">
        <f>"113069"</f>
        <v>113069</v>
      </c>
      <c r="C4384" t="str">
        <f>"85212"</f>
        <v>85212</v>
      </c>
      <c r="D4384" t="s">
        <v>2222</v>
      </c>
      <c r="E4384">
        <v>108</v>
      </c>
      <c r="F4384">
        <v>20131204</v>
      </c>
      <c r="G4384" t="s">
        <v>2346</v>
      </c>
      <c r="H4384" t="s">
        <v>414</v>
      </c>
      <c r="I4384" t="s">
        <v>25</v>
      </c>
    </row>
    <row r="4385" spans="1:9" x14ac:dyDescent="0.25">
      <c r="A4385">
        <v>20131205</v>
      </c>
      <c r="B4385" t="str">
        <f>"113069"</f>
        <v>113069</v>
      </c>
      <c r="C4385" t="str">
        <f>"85212"</f>
        <v>85212</v>
      </c>
      <c r="D4385" t="s">
        <v>2222</v>
      </c>
      <c r="E4385">
        <v>-108</v>
      </c>
      <c r="F4385">
        <v>20131218</v>
      </c>
      <c r="G4385" t="s">
        <v>2346</v>
      </c>
      <c r="H4385" t="s">
        <v>2406</v>
      </c>
      <c r="I4385" t="s">
        <v>25</v>
      </c>
    </row>
    <row r="4386" spans="1:9" x14ac:dyDescent="0.25">
      <c r="A4386">
        <v>20131205</v>
      </c>
      <c r="B4386" t="str">
        <f>"113070"</f>
        <v>113070</v>
      </c>
      <c r="C4386" t="str">
        <f>"00267"</f>
        <v>00267</v>
      </c>
      <c r="D4386" t="s">
        <v>2000</v>
      </c>
      <c r="E4386">
        <v>286.76</v>
      </c>
      <c r="F4386">
        <v>20131203</v>
      </c>
      <c r="G4386" t="s">
        <v>2495</v>
      </c>
      <c r="H4386" t="s">
        <v>921</v>
      </c>
      <c r="I4386" t="s">
        <v>21</v>
      </c>
    </row>
    <row r="4387" spans="1:9" x14ac:dyDescent="0.25">
      <c r="A4387">
        <v>20131205</v>
      </c>
      <c r="B4387" t="str">
        <f>"113071"</f>
        <v>113071</v>
      </c>
      <c r="C4387" t="str">
        <f>"00267"</f>
        <v>00267</v>
      </c>
      <c r="D4387" t="s">
        <v>2000</v>
      </c>
      <c r="E4387">
        <v>143.38</v>
      </c>
      <c r="F4387">
        <v>20131203</v>
      </c>
      <c r="G4387" t="s">
        <v>2495</v>
      </c>
      <c r="H4387" t="s">
        <v>921</v>
      </c>
      <c r="I4387" t="s">
        <v>21</v>
      </c>
    </row>
    <row r="4388" spans="1:9" x14ac:dyDescent="0.25">
      <c r="A4388">
        <v>20131205</v>
      </c>
      <c r="B4388" t="str">
        <f>"113072"</f>
        <v>113072</v>
      </c>
      <c r="C4388" t="str">
        <f>"82732"</f>
        <v>82732</v>
      </c>
      <c r="D4388" t="s">
        <v>1453</v>
      </c>
      <c r="E4388">
        <v>294</v>
      </c>
      <c r="F4388">
        <v>20131204</v>
      </c>
      <c r="G4388" t="s">
        <v>1454</v>
      </c>
      <c r="H4388" t="s">
        <v>1455</v>
      </c>
      <c r="I4388" t="s">
        <v>21</v>
      </c>
    </row>
    <row r="4389" spans="1:9" x14ac:dyDescent="0.25">
      <c r="A4389">
        <v>20131205</v>
      </c>
      <c r="B4389" t="str">
        <f>"113073"</f>
        <v>113073</v>
      </c>
      <c r="C4389" t="str">
        <f>"41375"</f>
        <v>41375</v>
      </c>
      <c r="D4389" t="s">
        <v>616</v>
      </c>
      <c r="E4389">
        <v>68.98</v>
      </c>
      <c r="F4389">
        <v>20131204</v>
      </c>
      <c r="G4389" t="s">
        <v>583</v>
      </c>
      <c r="H4389" t="s">
        <v>2531</v>
      </c>
      <c r="I4389" t="s">
        <v>21</v>
      </c>
    </row>
    <row r="4390" spans="1:9" x14ac:dyDescent="0.25">
      <c r="A4390">
        <v>20131205</v>
      </c>
      <c r="B4390" t="str">
        <f>"113074"</f>
        <v>113074</v>
      </c>
      <c r="C4390" t="str">
        <f>"86928"</f>
        <v>86928</v>
      </c>
      <c r="D4390" t="s">
        <v>1457</v>
      </c>
      <c r="E4390">
        <v>494.6</v>
      </c>
      <c r="F4390">
        <v>20131204</v>
      </c>
      <c r="G4390" t="s">
        <v>2211</v>
      </c>
      <c r="H4390" t="s">
        <v>563</v>
      </c>
      <c r="I4390" t="s">
        <v>2212</v>
      </c>
    </row>
    <row r="4391" spans="1:9" x14ac:dyDescent="0.25">
      <c r="A4391">
        <v>20131205</v>
      </c>
      <c r="B4391" t="str">
        <f>"113075"</f>
        <v>113075</v>
      </c>
      <c r="C4391" t="str">
        <f>"87634"</f>
        <v>87634</v>
      </c>
      <c r="D4391" t="s">
        <v>2454</v>
      </c>
      <c r="E4391">
        <v>128.87</v>
      </c>
      <c r="F4391">
        <v>20131204</v>
      </c>
      <c r="G4391" t="s">
        <v>1804</v>
      </c>
      <c r="H4391" t="s">
        <v>354</v>
      </c>
      <c r="I4391" t="s">
        <v>38</v>
      </c>
    </row>
    <row r="4392" spans="1:9" x14ac:dyDescent="0.25">
      <c r="A4392">
        <v>20131205</v>
      </c>
      <c r="B4392" t="str">
        <f>"113076"</f>
        <v>113076</v>
      </c>
      <c r="C4392" t="str">
        <f>"43195"</f>
        <v>43195</v>
      </c>
      <c r="D4392" t="s">
        <v>2001</v>
      </c>
      <c r="E4392">
        <v>670</v>
      </c>
      <c r="F4392">
        <v>20131204</v>
      </c>
      <c r="G4392" t="s">
        <v>2002</v>
      </c>
      <c r="H4392" t="s">
        <v>2532</v>
      </c>
      <c r="I4392" t="s">
        <v>21</v>
      </c>
    </row>
    <row r="4393" spans="1:9" x14ac:dyDescent="0.25">
      <c r="A4393">
        <v>20131205</v>
      </c>
      <c r="B4393" t="str">
        <f>"113077"</f>
        <v>113077</v>
      </c>
      <c r="C4393" t="str">
        <f>"83430"</f>
        <v>83430</v>
      </c>
      <c r="D4393" t="s">
        <v>423</v>
      </c>
      <c r="E4393">
        <v>67.95</v>
      </c>
      <c r="F4393">
        <v>20131204</v>
      </c>
      <c r="G4393" t="s">
        <v>410</v>
      </c>
      <c r="H4393" t="s">
        <v>411</v>
      </c>
      <c r="I4393" t="s">
        <v>12</v>
      </c>
    </row>
    <row r="4394" spans="1:9" x14ac:dyDescent="0.25">
      <c r="A4394">
        <v>20131205</v>
      </c>
      <c r="B4394" t="str">
        <f>"113078"</f>
        <v>113078</v>
      </c>
      <c r="C4394" t="str">
        <f>"44725"</f>
        <v>44725</v>
      </c>
      <c r="D4394" t="s">
        <v>1621</v>
      </c>
      <c r="E4394">
        <v>207.8</v>
      </c>
      <c r="F4394">
        <v>20131202</v>
      </c>
      <c r="G4394" t="s">
        <v>1188</v>
      </c>
      <c r="H4394" t="s">
        <v>2533</v>
      </c>
      <c r="I4394" t="s">
        <v>21</v>
      </c>
    </row>
    <row r="4395" spans="1:9" x14ac:dyDescent="0.25">
      <c r="A4395">
        <v>20131205</v>
      </c>
      <c r="B4395" t="str">
        <f>"113079"</f>
        <v>113079</v>
      </c>
      <c r="C4395" t="str">
        <f>"44875"</f>
        <v>44875</v>
      </c>
      <c r="D4395" t="s">
        <v>424</v>
      </c>
      <c r="E4395">
        <v>65.25</v>
      </c>
      <c r="F4395">
        <v>20131204</v>
      </c>
      <c r="G4395" t="s">
        <v>410</v>
      </c>
      <c r="H4395" t="s">
        <v>411</v>
      </c>
      <c r="I4395" t="s">
        <v>12</v>
      </c>
    </row>
    <row r="4396" spans="1:9" x14ac:dyDescent="0.25">
      <c r="A4396">
        <v>20131205</v>
      </c>
      <c r="B4396" t="str">
        <f>"113080"</f>
        <v>113080</v>
      </c>
      <c r="C4396" t="str">
        <f>"86067"</f>
        <v>86067</v>
      </c>
      <c r="D4396" t="s">
        <v>1891</v>
      </c>
      <c r="E4396">
        <v>120</v>
      </c>
      <c r="F4396">
        <v>20131204</v>
      </c>
      <c r="G4396" t="s">
        <v>2324</v>
      </c>
      <c r="H4396" t="s">
        <v>765</v>
      </c>
      <c r="I4396" t="s">
        <v>61</v>
      </c>
    </row>
    <row r="4397" spans="1:9" x14ac:dyDescent="0.25">
      <c r="A4397">
        <v>20131205</v>
      </c>
      <c r="B4397" t="str">
        <f>"113081"</f>
        <v>113081</v>
      </c>
      <c r="C4397" t="str">
        <f>"87221"</f>
        <v>87221</v>
      </c>
      <c r="D4397" t="s">
        <v>2534</v>
      </c>
      <c r="E4397">
        <v>120</v>
      </c>
      <c r="F4397">
        <v>20131204</v>
      </c>
      <c r="G4397" t="s">
        <v>2324</v>
      </c>
      <c r="H4397" t="s">
        <v>765</v>
      </c>
      <c r="I4397" t="s">
        <v>61</v>
      </c>
    </row>
    <row r="4398" spans="1:9" x14ac:dyDescent="0.25">
      <c r="A4398">
        <v>20131205</v>
      </c>
      <c r="B4398" t="str">
        <f>"113082"</f>
        <v>113082</v>
      </c>
      <c r="C4398" t="str">
        <f>"86116"</f>
        <v>86116</v>
      </c>
      <c r="D4398" t="s">
        <v>2535</v>
      </c>
      <c r="E4398">
        <v>120</v>
      </c>
      <c r="F4398">
        <v>20131204</v>
      </c>
      <c r="G4398" t="s">
        <v>2324</v>
      </c>
      <c r="H4398" t="s">
        <v>765</v>
      </c>
      <c r="I4398" t="s">
        <v>61</v>
      </c>
    </row>
    <row r="4399" spans="1:9" x14ac:dyDescent="0.25">
      <c r="A4399">
        <v>20131205</v>
      </c>
      <c r="B4399" t="str">
        <f>"113083"</f>
        <v>113083</v>
      </c>
      <c r="C4399" t="str">
        <f>"87473"</f>
        <v>87473</v>
      </c>
      <c r="D4399" t="s">
        <v>160</v>
      </c>
      <c r="E4399">
        <v>330</v>
      </c>
      <c r="F4399">
        <v>20131204</v>
      </c>
      <c r="G4399" t="s">
        <v>1672</v>
      </c>
      <c r="H4399" t="s">
        <v>357</v>
      </c>
      <c r="I4399" t="s">
        <v>21</v>
      </c>
    </row>
    <row r="4400" spans="1:9" x14ac:dyDescent="0.25">
      <c r="A4400">
        <v>20131205</v>
      </c>
      <c r="B4400" t="str">
        <f>"113084"</f>
        <v>113084</v>
      </c>
      <c r="C4400" t="str">
        <f>"84759"</f>
        <v>84759</v>
      </c>
      <c r="D4400" t="s">
        <v>2536</v>
      </c>
      <c r="E4400">
        <v>110</v>
      </c>
      <c r="F4400">
        <v>20131204</v>
      </c>
      <c r="G4400" t="s">
        <v>2324</v>
      </c>
      <c r="H4400" t="s">
        <v>765</v>
      </c>
      <c r="I4400" t="s">
        <v>61</v>
      </c>
    </row>
    <row r="4401" spans="1:9" x14ac:dyDescent="0.25">
      <c r="A4401">
        <v>20131205</v>
      </c>
      <c r="B4401" t="str">
        <f>"113085"</f>
        <v>113085</v>
      </c>
      <c r="C4401" t="str">
        <f>"83121"</f>
        <v>83121</v>
      </c>
      <c r="D4401" t="s">
        <v>2537</v>
      </c>
      <c r="E4401">
        <v>643.98</v>
      </c>
      <c r="F4401">
        <v>20131203</v>
      </c>
      <c r="G4401" t="s">
        <v>119</v>
      </c>
      <c r="H4401" t="s">
        <v>2538</v>
      </c>
      <c r="I4401" t="s">
        <v>38</v>
      </c>
    </row>
    <row r="4402" spans="1:9" x14ac:dyDescent="0.25">
      <c r="A4402">
        <v>20131205</v>
      </c>
      <c r="B4402" t="str">
        <f>"113085"</f>
        <v>113085</v>
      </c>
      <c r="C4402" t="str">
        <f>"83121"</f>
        <v>83121</v>
      </c>
      <c r="D4402" t="s">
        <v>2537</v>
      </c>
      <c r="E4402">
        <v>-643.98</v>
      </c>
      <c r="F4402">
        <v>20131205</v>
      </c>
      <c r="G4402" t="s">
        <v>119</v>
      </c>
      <c r="H4402" t="s">
        <v>2539</v>
      </c>
      <c r="I4402" t="s">
        <v>38</v>
      </c>
    </row>
    <row r="4403" spans="1:9" x14ac:dyDescent="0.25">
      <c r="A4403">
        <v>20131205</v>
      </c>
      <c r="B4403" t="str">
        <f>"113086"</f>
        <v>113086</v>
      </c>
      <c r="C4403" t="str">
        <f>"49680"</f>
        <v>49680</v>
      </c>
      <c r="D4403" t="s">
        <v>2540</v>
      </c>
      <c r="E4403">
        <v>204.5</v>
      </c>
      <c r="F4403">
        <v>20131204</v>
      </c>
      <c r="G4403" t="s">
        <v>327</v>
      </c>
      <c r="H4403" t="s">
        <v>2541</v>
      </c>
      <c r="I4403" t="s">
        <v>25</v>
      </c>
    </row>
    <row r="4404" spans="1:9" x14ac:dyDescent="0.25">
      <c r="A4404">
        <v>20131205</v>
      </c>
      <c r="B4404" t="str">
        <f>"113087"</f>
        <v>113087</v>
      </c>
      <c r="C4404" t="str">
        <f>"81532"</f>
        <v>81532</v>
      </c>
      <c r="D4404" t="s">
        <v>2542</v>
      </c>
      <c r="E4404">
        <v>197.35</v>
      </c>
      <c r="F4404">
        <v>20131204</v>
      </c>
      <c r="G4404" t="s">
        <v>583</v>
      </c>
      <c r="H4404" t="s">
        <v>2543</v>
      </c>
      <c r="I4404" t="s">
        <v>21</v>
      </c>
    </row>
    <row r="4405" spans="1:9" x14ac:dyDescent="0.25">
      <c r="A4405">
        <v>20131205</v>
      </c>
      <c r="B4405" t="str">
        <f>"113088"</f>
        <v>113088</v>
      </c>
      <c r="C4405" t="str">
        <f>"84193"</f>
        <v>84193</v>
      </c>
      <c r="D4405" t="s">
        <v>1110</v>
      </c>
      <c r="E4405">
        <v>35.46</v>
      </c>
      <c r="F4405">
        <v>20131204</v>
      </c>
      <c r="G4405" t="s">
        <v>562</v>
      </c>
      <c r="H4405" t="s">
        <v>563</v>
      </c>
      <c r="I4405" t="s">
        <v>21</v>
      </c>
    </row>
    <row r="4406" spans="1:9" x14ac:dyDescent="0.25">
      <c r="A4406">
        <v>20131205</v>
      </c>
      <c r="B4406" t="str">
        <f>"113089"</f>
        <v>113089</v>
      </c>
      <c r="C4406" t="str">
        <f>"50015"</f>
        <v>50015</v>
      </c>
      <c r="D4406" t="s">
        <v>2544</v>
      </c>
      <c r="E4406">
        <v>13.75</v>
      </c>
      <c r="F4406">
        <v>20131204</v>
      </c>
      <c r="G4406" t="s">
        <v>482</v>
      </c>
      <c r="H4406" t="s">
        <v>2545</v>
      </c>
      <c r="I4406" t="s">
        <v>21</v>
      </c>
    </row>
    <row r="4407" spans="1:9" x14ac:dyDescent="0.25">
      <c r="A4407">
        <v>20131205</v>
      </c>
      <c r="B4407" t="str">
        <f>"113090"</f>
        <v>113090</v>
      </c>
      <c r="C4407" t="str">
        <f>"85770"</f>
        <v>85770</v>
      </c>
      <c r="D4407" t="s">
        <v>363</v>
      </c>
      <c r="E4407">
        <v>63.54</v>
      </c>
      <c r="F4407">
        <v>20131204</v>
      </c>
      <c r="G4407" t="s">
        <v>364</v>
      </c>
      <c r="H4407" t="s">
        <v>365</v>
      </c>
      <c r="I4407" t="s">
        <v>21</v>
      </c>
    </row>
    <row r="4408" spans="1:9" x14ac:dyDescent="0.25">
      <c r="A4408">
        <v>20131205</v>
      </c>
      <c r="B4408" t="str">
        <f>"113091"</f>
        <v>113091</v>
      </c>
      <c r="C4408" t="str">
        <f>"87115"</f>
        <v>87115</v>
      </c>
      <c r="D4408" t="s">
        <v>2546</v>
      </c>
      <c r="E4408">
        <v>165</v>
      </c>
      <c r="F4408">
        <v>20131204</v>
      </c>
      <c r="G4408" t="s">
        <v>2324</v>
      </c>
      <c r="H4408" t="s">
        <v>765</v>
      </c>
      <c r="I4408" t="s">
        <v>61</v>
      </c>
    </row>
    <row r="4409" spans="1:9" x14ac:dyDescent="0.25">
      <c r="A4409">
        <v>20131205</v>
      </c>
      <c r="B4409" t="str">
        <f>"113092"</f>
        <v>113092</v>
      </c>
      <c r="C4409" t="str">
        <f>"51000"</f>
        <v>51000</v>
      </c>
      <c r="D4409" t="s">
        <v>366</v>
      </c>
      <c r="E4409">
        <v>36.72</v>
      </c>
      <c r="F4409">
        <v>20131204</v>
      </c>
      <c r="G4409" t="s">
        <v>367</v>
      </c>
      <c r="H4409" t="s">
        <v>368</v>
      </c>
      <c r="I4409" t="s">
        <v>21</v>
      </c>
    </row>
    <row r="4410" spans="1:9" x14ac:dyDescent="0.25">
      <c r="A4410">
        <v>20131205</v>
      </c>
      <c r="B4410" t="str">
        <f>"113093"</f>
        <v>113093</v>
      </c>
      <c r="C4410" t="str">
        <f>"87105"</f>
        <v>87105</v>
      </c>
      <c r="D4410" t="s">
        <v>2547</v>
      </c>
      <c r="E4410">
        <v>55</v>
      </c>
      <c r="F4410">
        <v>20131204</v>
      </c>
      <c r="G4410" t="s">
        <v>2324</v>
      </c>
      <c r="H4410" t="s">
        <v>765</v>
      </c>
      <c r="I4410" t="s">
        <v>61</v>
      </c>
    </row>
    <row r="4411" spans="1:9" x14ac:dyDescent="0.25">
      <c r="A4411">
        <v>20131205</v>
      </c>
      <c r="B4411" t="str">
        <f>"113093"</f>
        <v>113093</v>
      </c>
      <c r="C4411" t="str">
        <f>"87105"</f>
        <v>87105</v>
      </c>
      <c r="D4411" t="s">
        <v>2547</v>
      </c>
      <c r="E4411">
        <v>220</v>
      </c>
      <c r="F4411">
        <v>20131204</v>
      </c>
      <c r="G4411" t="s">
        <v>2324</v>
      </c>
      <c r="H4411" t="s">
        <v>765</v>
      </c>
      <c r="I4411" t="s">
        <v>61</v>
      </c>
    </row>
    <row r="4412" spans="1:9" x14ac:dyDescent="0.25">
      <c r="A4412">
        <v>20131205</v>
      </c>
      <c r="B4412" t="str">
        <f>"113094"</f>
        <v>113094</v>
      </c>
      <c r="C4412" t="str">
        <f>"85819"</f>
        <v>85819</v>
      </c>
      <c r="D4412" t="s">
        <v>2242</v>
      </c>
      <c r="E4412">
        <v>644</v>
      </c>
      <c r="F4412">
        <v>20131204</v>
      </c>
      <c r="G4412" t="s">
        <v>143</v>
      </c>
      <c r="H4412" t="s">
        <v>354</v>
      </c>
      <c r="I4412" t="s">
        <v>25</v>
      </c>
    </row>
    <row r="4413" spans="1:9" x14ac:dyDescent="0.25">
      <c r="A4413">
        <v>20131205</v>
      </c>
      <c r="B4413" t="str">
        <f>"113095"</f>
        <v>113095</v>
      </c>
      <c r="C4413" t="str">
        <f>"86137"</f>
        <v>86137</v>
      </c>
      <c r="D4413" t="s">
        <v>916</v>
      </c>
      <c r="E4413">
        <v>220</v>
      </c>
      <c r="F4413">
        <v>20131204</v>
      </c>
      <c r="G4413" t="s">
        <v>2324</v>
      </c>
      <c r="H4413" t="s">
        <v>765</v>
      </c>
      <c r="I4413" t="s">
        <v>61</v>
      </c>
    </row>
    <row r="4414" spans="1:9" x14ac:dyDescent="0.25">
      <c r="A4414">
        <v>20131205</v>
      </c>
      <c r="B4414" t="str">
        <f>"113095"</f>
        <v>113095</v>
      </c>
      <c r="C4414" t="str">
        <f>"86137"</f>
        <v>86137</v>
      </c>
      <c r="D4414" t="s">
        <v>916</v>
      </c>
      <c r="E4414">
        <v>110</v>
      </c>
      <c r="F4414">
        <v>20131204</v>
      </c>
      <c r="G4414" t="s">
        <v>2324</v>
      </c>
      <c r="H4414" t="s">
        <v>765</v>
      </c>
      <c r="I4414" t="s">
        <v>61</v>
      </c>
    </row>
    <row r="4415" spans="1:9" x14ac:dyDescent="0.25">
      <c r="A4415">
        <v>20131205</v>
      </c>
      <c r="B4415" t="str">
        <f>"113095"</f>
        <v>113095</v>
      </c>
      <c r="C4415" t="str">
        <f>"86137"</f>
        <v>86137</v>
      </c>
      <c r="D4415" t="s">
        <v>916</v>
      </c>
      <c r="E4415">
        <v>110</v>
      </c>
      <c r="F4415">
        <v>20131204</v>
      </c>
      <c r="G4415" t="s">
        <v>2324</v>
      </c>
      <c r="H4415" t="s">
        <v>765</v>
      </c>
      <c r="I4415" t="s">
        <v>61</v>
      </c>
    </row>
    <row r="4416" spans="1:9" x14ac:dyDescent="0.25">
      <c r="A4416">
        <v>20131205</v>
      </c>
      <c r="B4416" t="str">
        <f>"113096"</f>
        <v>113096</v>
      </c>
      <c r="C4416" t="str">
        <f>"52450"</f>
        <v>52450</v>
      </c>
      <c r="D4416" t="s">
        <v>2548</v>
      </c>
      <c r="E4416">
        <v>598.79999999999995</v>
      </c>
      <c r="F4416">
        <v>20131204</v>
      </c>
      <c r="G4416" t="s">
        <v>413</v>
      </c>
      <c r="H4416" t="s">
        <v>2549</v>
      </c>
      <c r="I4416" t="s">
        <v>21</v>
      </c>
    </row>
    <row r="4417" spans="1:9" x14ac:dyDescent="0.25">
      <c r="A4417">
        <v>20131205</v>
      </c>
      <c r="B4417" t="str">
        <f>"113096"</f>
        <v>113096</v>
      </c>
      <c r="C4417" t="str">
        <f>"52450"</f>
        <v>52450</v>
      </c>
      <c r="D4417" t="s">
        <v>2548</v>
      </c>
      <c r="E4417">
        <v>340</v>
      </c>
      <c r="F4417">
        <v>20131204</v>
      </c>
      <c r="G4417" t="s">
        <v>413</v>
      </c>
      <c r="H4417" t="s">
        <v>2550</v>
      </c>
      <c r="I4417" t="s">
        <v>21</v>
      </c>
    </row>
    <row r="4418" spans="1:9" x14ac:dyDescent="0.25">
      <c r="A4418">
        <v>20131205</v>
      </c>
      <c r="B4418" t="str">
        <f>"113097"</f>
        <v>113097</v>
      </c>
      <c r="C4418" t="str">
        <f>"87231"</f>
        <v>87231</v>
      </c>
      <c r="D4418" t="s">
        <v>428</v>
      </c>
      <c r="E4418">
        <v>48.6</v>
      </c>
      <c r="F4418">
        <v>20131204</v>
      </c>
      <c r="G4418" t="s">
        <v>410</v>
      </c>
      <c r="H4418" t="s">
        <v>411</v>
      </c>
      <c r="I4418" t="s">
        <v>12</v>
      </c>
    </row>
    <row r="4419" spans="1:9" x14ac:dyDescent="0.25">
      <c r="A4419">
        <v>20131205</v>
      </c>
      <c r="B4419" t="str">
        <f>"113098"</f>
        <v>113098</v>
      </c>
      <c r="C4419" t="str">
        <f>"86054"</f>
        <v>86054</v>
      </c>
      <c r="D4419" t="s">
        <v>2551</v>
      </c>
      <c r="E4419">
        <v>110</v>
      </c>
      <c r="F4419">
        <v>20131204</v>
      </c>
      <c r="G4419" t="s">
        <v>2324</v>
      </c>
      <c r="H4419" t="s">
        <v>765</v>
      </c>
      <c r="I4419" t="s">
        <v>61</v>
      </c>
    </row>
    <row r="4420" spans="1:9" x14ac:dyDescent="0.25">
      <c r="A4420">
        <v>20131205</v>
      </c>
      <c r="B4420" t="str">
        <f>"113099"</f>
        <v>113099</v>
      </c>
      <c r="C4420" t="str">
        <f>"82625"</f>
        <v>82625</v>
      </c>
      <c r="D4420" t="s">
        <v>649</v>
      </c>
      <c r="E4420">
        <v>262.88</v>
      </c>
      <c r="F4420">
        <v>20131202</v>
      </c>
      <c r="G4420" t="s">
        <v>2552</v>
      </c>
      <c r="H4420" t="s">
        <v>2553</v>
      </c>
      <c r="I4420" t="s">
        <v>21</v>
      </c>
    </row>
    <row r="4421" spans="1:9" x14ac:dyDescent="0.25">
      <c r="A4421">
        <v>20131205</v>
      </c>
      <c r="B4421" t="str">
        <f>"113100"</f>
        <v>113100</v>
      </c>
      <c r="C4421" t="str">
        <f>"55625"</f>
        <v>55625</v>
      </c>
      <c r="D4421" t="s">
        <v>1639</v>
      </c>
      <c r="E4421">
        <v>83.98</v>
      </c>
      <c r="F4421">
        <v>20131204</v>
      </c>
      <c r="G4421" t="s">
        <v>1640</v>
      </c>
      <c r="H4421" t="s">
        <v>1788</v>
      </c>
      <c r="I4421" t="s">
        <v>21</v>
      </c>
    </row>
    <row r="4422" spans="1:9" x14ac:dyDescent="0.25">
      <c r="A4422">
        <v>20131205</v>
      </c>
      <c r="B4422" t="str">
        <f>"113101"</f>
        <v>113101</v>
      </c>
      <c r="C4422" t="str">
        <f>"55675"</f>
        <v>55675</v>
      </c>
      <c r="D4422" t="s">
        <v>1114</v>
      </c>
      <c r="E4422">
        <v>45</v>
      </c>
      <c r="F4422">
        <v>20131204</v>
      </c>
      <c r="G4422" t="s">
        <v>1640</v>
      </c>
      <c r="H4422" t="s">
        <v>2554</v>
      </c>
      <c r="I4422" t="s">
        <v>21</v>
      </c>
    </row>
    <row r="4423" spans="1:9" x14ac:dyDescent="0.25">
      <c r="A4423">
        <v>20131205</v>
      </c>
      <c r="B4423" t="str">
        <f>"113101"</f>
        <v>113101</v>
      </c>
      <c r="C4423" t="str">
        <f>"55675"</f>
        <v>55675</v>
      </c>
      <c r="D4423" t="s">
        <v>1114</v>
      </c>
      <c r="E4423">
        <v>28.99</v>
      </c>
      <c r="F4423">
        <v>20131204</v>
      </c>
      <c r="G4423" t="s">
        <v>1640</v>
      </c>
      <c r="H4423" t="s">
        <v>2555</v>
      </c>
      <c r="I4423" t="s">
        <v>21</v>
      </c>
    </row>
    <row r="4424" spans="1:9" x14ac:dyDescent="0.25">
      <c r="A4424">
        <v>20131205</v>
      </c>
      <c r="B4424" t="str">
        <f>"113102"</f>
        <v>113102</v>
      </c>
      <c r="C4424" t="str">
        <f>"86712"</f>
        <v>86712</v>
      </c>
      <c r="D4424" t="s">
        <v>2556</v>
      </c>
      <c r="E4424">
        <v>110</v>
      </c>
      <c r="F4424">
        <v>20131204</v>
      </c>
      <c r="G4424" t="s">
        <v>2324</v>
      </c>
      <c r="H4424" t="s">
        <v>765</v>
      </c>
      <c r="I4424" t="s">
        <v>61</v>
      </c>
    </row>
    <row r="4425" spans="1:9" x14ac:dyDescent="0.25">
      <c r="A4425">
        <v>20131205</v>
      </c>
      <c r="B4425" t="str">
        <f>"113103"</f>
        <v>113103</v>
      </c>
      <c r="C4425" t="str">
        <f>"86486"</f>
        <v>86486</v>
      </c>
      <c r="D4425" t="s">
        <v>429</v>
      </c>
      <c r="E4425">
        <v>80.099999999999994</v>
      </c>
      <c r="F4425">
        <v>20131204</v>
      </c>
      <c r="G4425" t="s">
        <v>410</v>
      </c>
      <c r="H4425" t="s">
        <v>411</v>
      </c>
      <c r="I4425" t="s">
        <v>12</v>
      </c>
    </row>
    <row r="4426" spans="1:9" x14ac:dyDescent="0.25">
      <c r="A4426">
        <v>20131205</v>
      </c>
      <c r="B4426" t="str">
        <f>"113104"</f>
        <v>113104</v>
      </c>
      <c r="C4426" t="str">
        <f>"85114"</f>
        <v>85114</v>
      </c>
      <c r="D4426" t="s">
        <v>1497</v>
      </c>
      <c r="E4426">
        <v>360</v>
      </c>
      <c r="F4426">
        <v>20131204</v>
      </c>
      <c r="G4426" t="s">
        <v>356</v>
      </c>
      <c r="H4426" t="s">
        <v>357</v>
      </c>
      <c r="I4426" t="s">
        <v>61</v>
      </c>
    </row>
    <row r="4427" spans="1:9" x14ac:dyDescent="0.25">
      <c r="A4427">
        <v>20131205</v>
      </c>
      <c r="B4427" t="str">
        <f>"113105"</f>
        <v>113105</v>
      </c>
      <c r="C4427" t="str">
        <f>"59303"</f>
        <v>59303</v>
      </c>
      <c r="D4427" t="s">
        <v>2557</v>
      </c>
      <c r="E4427">
        <v>766.23</v>
      </c>
      <c r="F4427">
        <v>20131204</v>
      </c>
      <c r="G4427" t="s">
        <v>1464</v>
      </c>
      <c r="H4427" t="s">
        <v>2558</v>
      </c>
      <c r="I4427" t="s">
        <v>21</v>
      </c>
    </row>
    <row r="4428" spans="1:9" x14ac:dyDescent="0.25">
      <c r="A4428">
        <v>20131205</v>
      </c>
      <c r="B4428" t="str">
        <f>"113106"</f>
        <v>113106</v>
      </c>
      <c r="C4428" t="str">
        <f>"86795"</f>
        <v>86795</v>
      </c>
      <c r="D4428" t="s">
        <v>430</v>
      </c>
      <c r="E4428">
        <v>12.15</v>
      </c>
      <c r="F4428">
        <v>20131204</v>
      </c>
      <c r="G4428" t="s">
        <v>410</v>
      </c>
      <c r="H4428" t="s">
        <v>411</v>
      </c>
      <c r="I4428" t="s">
        <v>12</v>
      </c>
    </row>
    <row r="4429" spans="1:9" x14ac:dyDescent="0.25">
      <c r="A4429">
        <v>20131205</v>
      </c>
      <c r="B4429" t="str">
        <f>"113107"</f>
        <v>113107</v>
      </c>
      <c r="C4429" t="str">
        <f>"59695"</f>
        <v>59695</v>
      </c>
      <c r="D4429" t="s">
        <v>371</v>
      </c>
      <c r="E4429">
        <v>810</v>
      </c>
      <c r="F4429">
        <v>20131204</v>
      </c>
      <c r="G4429" t="s">
        <v>372</v>
      </c>
      <c r="H4429" t="s">
        <v>373</v>
      </c>
      <c r="I4429" t="s">
        <v>21</v>
      </c>
    </row>
    <row r="4430" spans="1:9" x14ac:dyDescent="0.25">
      <c r="A4430">
        <v>20131205</v>
      </c>
      <c r="B4430" t="str">
        <f>"113107"</f>
        <v>113107</v>
      </c>
      <c r="C4430" t="str">
        <f>"59695"</f>
        <v>59695</v>
      </c>
      <c r="D4430" t="s">
        <v>371</v>
      </c>
      <c r="E4430">
        <v>405</v>
      </c>
      <c r="F4430">
        <v>20131204</v>
      </c>
      <c r="G4430" t="s">
        <v>374</v>
      </c>
      <c r="H4430" t="s">
        <v>373</v>
      </c>
      <c r="I4430" t="s">
        <v>21</v>
      </c>
    </row>
    <row r="4431" spans="1:9" x14ac:dyDescent="0.25">
      <c r="A4431">
        <v>20131205</v>
      </c>
      <c r="B4431" t="str">
        <f>"113107"</f>
        <v>113107</v>
      </c>
      <c r="C4431" t="str">
        <f>"59695"</f>
        <v>59695</v>
      </c>
      <c r="D4431" t="s">
        <v>371</v>
      </c>
      <c r="E4431">
        <v>100</v>
      </c>
      <c r="F4431">
        <v>20131204</v>
      </c>
      <c r="G4431" t="s">
        <v>375</v>
      </c>
      <c r="H4431" t="s">
        <v>373</v>
      </c>
      <c r="I4431" t="s">
        <v>21</v>
      </c>
    </row>
    <row r="4432" spans="1:9" x14ac:dyDescent="0.25">
      <c r="A4432">
        <v>20131205</v>
      </c>
      <c r="B4432" t="str">
        <f>"113107"</f>
        <v>113107</v>
      </c>
      <c r="C4432" t="str">
        <f>"59695"</f>
        <v>59695</v>
      </c>
      <c r="D4432" t="s">
        <v>371</v>
      </c>
      <c r="E4432">
        <v>620</v>
      </c>
      <c r="F4432">
        <v>20131204</v>
      </c>
      <c r="G4432" t="s">
        <v>376</v>
      </c>
      <c r="H4432" t="s">
        <v>373</v>
      </c>
      <c r="I4432" t="s">
        <v>21</v>
      </c>
    </row>
    <row r="4433" spans="1:9" x14ac:dyDescent="0.25">
      <c r="A4433">
        <v>20131205</v>
      </c>
      <c r="B4433" t="str">
        <f>"113108"</f>
        <v>113108</v>
      </c>
      <c r="C4433" t="str">
        <f>"87641"</f>
        <v>87641</v>
      </c>
      <c r="D4433" t="s">
        <v>2559</v>
      </c>
      <c r="E4433">
        <v>262.57</v>
      </c>
      <c r="F4433">
        <v>20131204</v>
      </c>
      <c r="G4433" t="s">
        <v>415</v>
      </c>
      <c r="H4433" t="s">
        <v>2560</v>
      </c>
      <c r="I4433" t="s">
        <v>21</v>
      </c>
    </row>
    <row r="4434" spans="1:9" x14ac:dyDescent="0.25">
      <c r="A4434">
        <v>20131205</v>
      </c>
      <c r="B4434" t="str">
        <f>"113109"</f>
        <v>113109</v>
      </c>
      <c r="C4434" t="str">
        <f>"61055"</f>
        <v>61055</v>
      </c>
      <c r="D4434" t="s">
        <v>2561</v>
      </c>
      <c r="E4434">
        <v>668.6</v>
      </c>
      <c r="F4434">
        <v>20131203</v>
      </c>
      <c r="G4434" t="s">
        <v>932</v>
      </c>
      <c r="H4434" t="s">
        <v>2562</v>
      </c>
      <c r="I4434" t="s">
        <v>77</v>
      </c>
    </row>
    <row r="4435" spans="1:9" x14ac:dyDescent="0.25">
      <c r="A4435">
        <v>20131205</v>
      </c>
      <c r="B4435" t="str">
        <f>"113110"</f>
        <v>113110</v>
      </c>
      <c r="C4435" t="str">
        <f>"86746"</f>
        <v>86746</v>
      </c>
      <c r="D4435" t="s">
        <v>380</v>
      </c>
      <c r="E4435" s="1">
        <v>1650</v>
      </c>
      <c r="F4435">
        <v>20131202</v>
      </c>
      <c r="G4435" t="s">
        <v>1504</v>
      </c>
      <c r="H4435" t="s">
        <v>2086</v>
      </c>
      <c r="I4435" t="s">
        <v>21</v>
      </c>
    </row>
    <row r="4436" spans="1:9" x14ac:dyDescent="0.25">
      <c r="A4436">
        <v>20131205</v>
      </c>
      <c r="B4436" t="str">
        <f>"113111"</f>
        <v>113111</v>
      </c>
      <c r="C4436" t="str">
        <f>"84214"</f>
        <v>84214</v>
      </c>
      <c r="D4436" t="s">
        <v>431</v>
      </c>
      <c r="E4436">
        <v>28.35</v>
      </c>
      <c r="F4436">
        <v>20131204</v>
      </c>
      <c r="G4436" t="s">
        <v>410</v>
      </c>
      <c r="H4436" t="s">
        <v>411</v>
      </c>
      <c r="I4436" t="s">
        <v>12</v>
      </c>
    </row>
    <row r="4437" spans="1:9" x14ac:dyDescent="0.25">
      <c r="A4437">
        <v>20131205</v>
      </c>
      <c r="B4437" t="str">
        <f>"113112"</f>
        <v>113112</v>
      </c>
      <c r="C4437" t="str">
        <f>"83617"</f>
        <v>83617</v>
      </c>
      <c r="D4437" t="s">
        <v>1289</v>
      </c>
      <c r="E4437">
        <v>94.6</v>
      </c>
      <c r="F4437">
        <v>20131204</v>
      </c>
      <c r="G4437" t="s">
        <v>892</v>
      </c>
      <c r="H4437" t="s">
        <v>563</v>
      </c>
      <c r="I4437" t="s">
        <v>79</v>
      </c>
    </row>
    <row r="4438" spans="1:9" x14ac:dyDescent="0.25">
      <c r="A4438">
        <v>20131205</v>
      </c>
      <c r="B4438" t="str">
        <f>"113113"</f>
        <v>113113</v>
      </c>
      <c r="C4438" t="str">
        <f>"85159"</f>
        <v>85159</v>
      </c>
      <c r="D4438" t="s">
        <v>2563</v>
      </c>
      <c r="E4438">
        <v>55.44</v>
      </c>
      <c r="F4438">
        <v>20131204</v>
      </c>
      <c r="G4438" t="s">
        <v>1723</v>
      </c>
      <c r="H4438" t="s">
        <v>365</v>
      </c>
      <c r="I4438" t="s">
        <v>66</v>
      </c>
    </row>
    <row r="4439" spans="1:9" x14ac:dyDescent="0.25">
      <c r="A4439">
        <v>20131205</v>
      </c>
      <c r="B4439" t="str">
        <f>"113114"</f>
        <v>113114</v>
      </c>
      <c r="C4439" t="str">
        <f>"87633"</f>
        <v>87633</v>
      </c>
      <c r="D4439" t="s">
        <v>2564</v>
      </c>
      <c r="E4439">
        <v>890.45</v>
      </c>
      <c r="F4439">
        <v>20131204</v>
      </c>
      <c r="G4439" t="s">
        <v>1426</v>
      </c>
      <c r="H4439" t="s">
        <v>2565</v>
      </c>
      <c r="I4439" t="s">
        <v>38</v>
      </c>
    </row>
    <row r="4440" spans="1:9" x14ac:dyDescent="0.25">
      <c r="A4440">
        <v>20131205</v>
      </c>
      <c r="B4440" t="str">
        <f>"113115"</f>
        <v>113115</v>
      </c>
      <c r="C4440" t="str">
        <f>"62200"</f>
        <v>62200</v>
      </c>
      <c r="D4440" t="s">
        <v>1510</v>
      </c>
      <c r="E4440">
        <v>181.99</v>
      </c>
      <c r="F4440">
        <v>20131202</v>
      </c>
      <c r="G4440" t="s">
        <v>498</v>
      </c>
      <c r="H4440" t="s">
        <v>499</v>
      </c>
      <c r="I4440" t="s">
        <v>21</v>
      </c>
    </row>
    <row r="4441" spans="1:9" x14ac:dyDescent="0.25">
      <c r="A4441">
        <v>20131205</v>
      </c>
      <c r="B4441" t="str">
        <f>"113116"</f>
        <v>113116</v>
      </c>
      <c r="C4441" t="str">
        <f>"62451"</f>
        <v>62451</v>
      </c>
      <c r="D4441" t="s">
        <v>1797</v>
      </c>
      <c r="E4441" s="1">
        <v>2256.0300000000002</v>
      </c>
      <c r="F4441">
        <v>20131204</v>
      </c>
      <c r="G4441" t="s">
        <v>181</v>
      </c>
      <c r="H4441" t="s">
        <v>1798</v>
      </c>
      <c r="I4441" t="s">
        <v>38</v>
      </c>
    </row>
    <row r="4442" spans="1:9" x14ac:dyDescent="0.25">
      <c r="A4442">
        <v>20131205</v>
      </c>
      <c r="B4442" t="str">
        <f>"113117"</f>
        <v>113117</v>
      </c>
      <c r="C4442" t="str">
        <f>"62450"</f>
        <v>62450</v>
      </c>
      <c r="D4442" t="s">
        <v>683</v>
      </c>
      <c r="E4442">
        <v>60</v>
      </c>
      <c r="F4442">
        <v>20131202</v>
      </c>
      <c r="G4442" t="s">
        <v>582</v>
      </c>
      <c r="H4442" t="s">
        <v>2566</v>
      </c>
      <c r="I4442" t="s">
        <v>21</v>
      </c>
    </row>
    <row r="4443" spans="1:9" x14ac:dyDescent="0.25">
      <c r="A4443">
        <v>20131205</v>
      </c>
      <c r="B4443" t="str">
        <f>"113118"</f>
        <v>113118</v>
      </c>
      <c r="C4443" t="str">
        <f>"62900"</f>
        <v>62900</v>
      </c>
      <c r="D4443" t="s">
        <v>1293</v>
      </c>
      <c r="E4443">
        <v>74.97</v>
      </c>
      <c r="F4443">
        <v>20131203</v>
      </c>
      <c r="G4443" t="s">
        <v>935</v>
      </c>
      <c r="H4443" t="s">
        <v>2567</v>
      </c>
      <c r="I4443" t="s">
        <v>21</v>
      </c>
    </row>
    <row r="4444" spans="1:9" x14ac:dyDescent="0.25">
      <c r="A4444">
        <v>20131205</v>
      </c>
      <c r="B4444" t="str">
        <f>"113119"</f>
        <v>113119</v>
      </c>
      <c r="C4444" t="str">
        <f>"83554"</f>
        <v>83554</v>
      </c>
      <c r="D4444" t="s">
        <v>1515</v>
      </c>
      <c r="E4444" s="1">
        <v>1424.96</v>
      </c>
      <c r="F4444">
        <v>20131204</v>
      </c>
      <c r="G4444" t="s">
        <v>189</v>
      </c>
      <c r="H4444" t="s">
        <v>2568</v>
      </c>
      <c r="I4444" t="s">
        <v>25</v>
      </c>
    </row>
    <row r="4445" spans="1:9" x14ac:dyDescent="0.25">
      <c r="A4445">
        <v>20131205</v>
      </c>
      <c r="B4445" t="str">
        <f>"113120"</f>
        <v>113120</v>
      </c>
      <c r="C4445" t="str">
        <f>"86068"</f>
        <v>86068</v>
      </c>
      <c r="D4445" t="s">
        <v>2569</v>
      </c>
      <c r="E4445">
        <v>110</v>
      </c>
      <c r="F4445">
        <v>20131204</v>
      </c>
      <c r="G4445" t="s">
        <v>2324</v>
      </c>
      <c r="H4445" t="s">
        <v>765</v>
      </c>
      <c r="I4445" t="s">
        <v>61</v>
      </c>
    </row>
    <row r="4446" spans="1:9" x14ac:dyDescent="0.25">
      <c r="A4446">
        <v>20131205</v>
      </c>
      <c r="B4446" t="str">
        <f>"113121"</f>
        <v>113121</v>
      </c>
      <c r="C4446" t="str">
        <f>"86621"</f>
        <v>86621</v>
      </c>
      <c r="D4446" t="s">
        <v>2570</v>
      </c>
      <c r="E4446">
        <v>110</v>
      </c>
      <c r="F4446">
        <v>20131204</v>
      </c>
      <c r="G4446" t="s">
        <v>2324</v>
      </c>
      <c r="H4446" t="s">
        <v>765</v>
      </c>
      <c r="I4446" t="s">
        <v>61</v>
      </c>
    </row>
    <row r="4447" spans="1:9" x14ac:dyDescent="0.25">
      <c r="A4447">
        <v>20131205</v>
      </c>
      <c r="B4447" t="str">
        <f>"113122"</f>
        <v>113122</v>
      </c>
      <c r="C4447" t="str">
        <f>"85192"</f>
        <v>85192</v>
      </c>
      <c r="D4447" t="s">
        <v>2571</v>
      </c>
      <c r="E4447" s="1">
        <v>1646.73</v>
      </c>
      <c r="F4447">
        <v>20131202</v>
      </c>
      <c r="G4447" t="s">
        <v>2149</v>
      </c>
      <c r="H4447" t="s">
        <v>2572</v>
      </c>
      <c r="I4447" t="s">
        <v>25</v>
      </c>
    </row>
    <row r="4448" spans="1:9" x14ac:dyDescent="0.25">
      <c r="A4448">
        <v>20131205</v>
      </c>
      <c r="B4448" t="str">
        <f t="shared" ref="B4448:B4454" si="291">"113123"</f>
        <v>113123</v>
      </c>
      <c r="C4448" t="str">
        <f t="shared" ref="C4448:C4454" si="292">"68960"</f>
        <v>68960</v>
      </c>
      <c r="D4448" t="s">
        <v>689</v>
      </c>
      <c r="E4448">
        <v>187.5</v>
      </c>
      <c r="F4448">
        <v>20131204</v>
      </c>
      <c r="G4448" t="s">
        <v>356</v>
      </c>
      <c r="H4448" t="s">
        <v>357</v>
      </c>
      <c r="I4448" t="s">
        <v>61</v>
      </c>
    </row>
    <row r="4449" spans="1:9" x14ac:dyDescent="0.25">
      <c r="A4449">
        <v>20131205</v>
      </c>
      <c r="B4449" t="str">
        <f t="shared" si="291"/>
        <v>113123</v>
      </c>
      <c r="C4449" t="str">
        <f t="shared" si="292"/>
        <v>68960</v>
      </c>
      <c r="D4449" t="s">
        <v>689</v>
      </c>
      <c r="E4449">
        <v>213.6</v>
      </c>
      <c r="F4449">
        <v>20131204</v>
      </c>
      <c r="G4449" t="s">
        <v>356</v>
      </c>
      <c r="H4449" t="s">
        <v>357</v>
      </c>
      <c r="I4449" t="s">
        <v>61</v>
      </c>
    </row>
    <row r="4450" spans="1:9" x14ac:dyDescent="0.25">
      <c r="A4450">
        <v>20131205</v>
      </c>
      <c r="B4450" t="str">
        <f t="shared" si="291"/>
        <v>113123</v>
      </c>
      <c r="C4450" t="str">
        <f t="shared" si="292"/>
        <v>68960</v>
      </c>
      <c r="D4450" t="s">
        <v>689</v>
      </c>
      <c r="E4450">
        <v>219.3</v>
      </c>
      <c r="F4450">
        <v>20131204</v>
      </c>
      <c r="G4450" t="s">
        <v>356</v>
      </c>
      <c r="H4450" t="s">
        <v>357</v>
      </c>
      <c r="I4450" t="s">
        <v>61</v>
      </c>
    </row>
    <row r="4451" spans="1:9" x14ac:dyDescent="0.25">
      <c r="A4451">
        <v>20131205</v>
      </c>
      <c r="B4451" t="str">
        <f t="shared" si="291"/>
        <v>113123</v>
      </c>
      <c r="C4451" t="str">
        <f t="shared" si="292"/>
        <v>68960</v>
      </c>
      <c r="D4451" t="s">
        <v>689</v>
      </c>
      <c r="E4451">
        <v>75</v>
      </c>
      <c r="F4451">
        <v>20131204</v>
      </c>
      <c r="G4451" t="s">
        <v>356</v>
      </c>
      <c r="H4451" t="s">
        <v>357</v>
      </c>
      <c r="I4451" t="s">
        <v>61</v>
      </c>
    </row>
    <row r="4452" spans="1:9" x14ac:dyDescent="0.25">
      <c r="A4452">
        <v>20131205</v>
      </c>
      <c r="B4452" t="str">
        <f t="shared" si="291"/>
        <v>113123</v>
      </c>
      <c r="C4452" t="str">
        <f t="shared" si="292"/>
        <v>68960</v>
      </c>
      <c r="D4452" t="s">
        <v>689</v>
      </c>
      <c r="E4452">
        <v>100</v>
      </c>
      <c r="F4452">
        <v>20131204</v>
      </c>
      <c r="G4452" t="s">
        <v>356</v>
      </c>
      <c r="H4452" t="s">
        <v>357</v>
      </c>
      <c r="I4452" t="s">
        <v>61</v>
      </c>
    </row>
    <row r="4453" spans="1:9" x14ac:dyDescent="0.25">
      <c r="A4453">
        <v>20131205</v>
      </c>
      <c r="B4453" t="str">
        <f t="shared" si="291"/>
        <v>113123</v>
      </c>
      <c r="C4453" t="str">
        <f t="shared" si="292"/>
        <v>68960</v>
      </c>
      <c r="D4453" t="s">
        <v>689</v>
      </c>
      <c r="E4453">
        <v>200</v>
      </c>
      <c r="F4453">
        <v>20131204</v>
      </c>
      <c r="G4453" t="s">
        <v>356</v>
      </c>
      <c r="H4453" t="s">
        <v>357</v>
      </c>
      <c r="I4453" t="s">
        <v>61</v>
      </c>
    </row>
    <row r="4454" spans="1:9" x14ac:dyDescent="0.25">
      <c r="A4454">
        <v>20131205</v>
      </c>
      <c r="B4454" t="str">
        <f t="shared" si="291"/>
        <v>113123</v>
      </c>
      <c r="C4454" t="str">
        <f t="shared" si="292"/>
        <v>68960</v>
      </c>
      <c r="D4454" t="s">
        <v>689</v>
      </c>
      <c r="E4454">
        <v>130</v>
      </c>
      <c r="F4454">
        <v>20131204</v>
      </c>
      <c r="G4454" t="s">
        <v>819</v>
      </c>
      <c r="H4454" t="s">
        <v>357</v>
      </c>
      <c r="I4454" t="s">
        <v>63</v>
      </c>
    </row>
    <row r="4455" spans="1:9" x14ac:dyDescent="0.25">
      <c r="A4455">
        <v>20131205</v>
      </c>
      <c r="B4455" t="str">
        <f>"113124"</f>
        <v>113124</v>
      </c>
      <c r="C4455" t="str">
        <f>"86745"</f>
        <v>86745</v>
      </c>
      <c r="D4455" t="s">
        <v>2573</v>
      </c>
      <c r="E4455">
        <v>110</v>
      </c>
      <c r="F4455">
        <v>20131204</v>
      </c>
      <c r="G4455" t="s">
        <v>2324</v>
      </c>
      <c r="H4455" t="s">
        <v>765</v>
      </c>
      <c r="I4455" t="s">
        <v>61</v>
      </c>
    </row>
    <row r="4456" spans="1:9" x14ac:dyDescent="0.25">
      <c r="A4456">
        <v>20131205</v>
      </c>
      <c r="B4456" t="str">
        <f>"113125"</f>
        <v>113125</v>
      </c>
      <c r="C4456" t="str">
        <f>"86376"</f>
        <v>86376</v>
      </c>
      <c r="D4456" t="s">
        <v>1661</v>
      </c>
      <c r="E4456">
        <v>92.75</v>
      </c>
      <c r="F4456">
        <v>20131202</v>
      </c>
      <c r="G4456" t="s">
        <v>840</v>
      </c>
      <c r="H4456" t="s">
        <v>2574</v>
      </c>
      <c r="I4456" t="s">
        <v>21</v>
      </c>
    </row>
    <row r="4457" spans="1:9" x14ac:dyDescent="0.25">
      <c r="A4457">
        <v>20131205</v>
      </c>
      <c r="B4457" t="str">
        <f>"113125"</f>
        <v>113125</v>
      </c>
      <c r="C4457" t="str">
        <f>"86376"</f>
        <v>86376</v>
      </c>
      <c r="D4457" t="s">
        <v>1661</v>
      </c>
      <c r="E4457" s="1">
        <v>1415</v>
      </c>
      <c r="F4457">
        <v>20131202</v>
      </c>
      <c r="G4457" t="s">
        <v>1399</v>
      </c>
      <c r="H4457" t="s">
        <v>2575</v>
      </c>
      <c r="I4457" t="s">
        <v>21</v>
      </c>
    </row>
    <row r="4458" spans="1:9" x14ac:dyDescent="0.25">
      <c r="A4458">
        <v>20131205</v>
      </c>
      <c r="B4458" t="str">
        <f>"113125"</f>
        <v>113125</v>
      </c>
      <c r="C4458" t="str">
        <f>"86376"</f>
        <v>86376</v>
      </c>
      <c r="D4458" t="s">
        <v>1661</v>
      </c>
      <c r="E4458">
        <v>710</v>
      </c>
      <c r="F4458">
        <v>20131202</v>
      </c>
      <c r="G4458" t="s">
        <v>1399</v>
      </c>
      <c r="H4458" t="s">
        <v>2576</v>
      </c>
      <c r="I4458" t="s">
        <v>21</v>
      </c>
    </row>
    <row r="4459" spans="1:9" x14ac:dyDescent="0.25">
      <c r="A4459">
        <v>20131205</v>
      </c>
      <c r="B4459" t="str">
        <f>"113125"</f>
        <v>113125</v>
      </c>
      <c r="C4459" t="str">
        <f>"86376"</f>
        <v>86376</v>
      </c>
      <c r="D4459" t="s">
        <v>1661</v>
      </c>
      <c r="E4459">
        <v>730</v>
      </c>
      <c r="F4459">
        <v>20131202</v>
      </c>
      <c r="G4459" t="s">
        <v>1399</v>
      </c>
      <c r="H4459" t="s">
        <v>2577</v>
      </c>
      <c r="I4459" t="s">
        <v>21</v>
      </c>
    </row>
    <row r="4460" spans="1:9" x14ac:dyDescent="0.25">
      <c r="A4460">
        <v>20131205</v>
      </c>
      <c r="B4460" t="str">
        <f>"113126"</f>
        <v>113126</v>
      </c>
      <c r="C4460" t="str">
        <f>"85353"</f>
        <v>85353</v>
      </c>
      <c r="D4460" t="s">
        <v>1814</v>
      </c>
      <c r="E4460" s="1">
        <v>2885</v>
      </c>
      <c r="F4460">
        <v>20131204</v>
      </c>
      <c r="G4460" t="s">
        <v>39</v>
      </c>
      <c r="H4460" t="s">
        <v>513</v>
      </c>
      <c r="I4460" t="s">
        <v>38</v>
      </c>
    </row>
    <row r="4461" spans="1:9" x14ac:dyDescent="0.25">
      <c r="A4461">
        <v>20131205</v>
      </c>
      <c r="B4461" t="str">
        <f>"113127"</f>
        <v>113127</v>
      </c>
      <c r="C4461" t="str">
        <f>"81886"</f>
        <v>81886</v>
      </c>
      <c r="D4461" t="s">
        <v>1527</v>
      </c>
      <c r="E4461">
        <v>500</v>
      </c>
      <c r="F4461">
        <v>20131204</v>
      </c>
      <c r="G4461" t="s">
        <v>746</v>
      </c>
      <c r="H4461" t="s">
        <v>555</v>
      </c>
      <c r="I4461" t="s">
        <v>21</v>
      </c>
    </row>
    <row r="4462" spans="1:9" x14ac:dyDescent="0.25">
      <c r="A4462">
        <v>20131205</v>
      </c>
      <c r="B4462" t="str">
        <f>"113128"</f>
        <v>113128</v>
      </c>
      <c r="C4462" t="str">
        <f>"00079"</f>
        <v>00079</v>
      </c>
      <c r="D4462" t="s">
        <v>2407</v>
      </c>
      <c r="E4462">
        <v>90</v>
      </c>
      <c r="F4462">
        <v>20131204</v>
      </c>
      <c r="G4462" t="s">
        <v>1153</v>
      </c>
      <c r="H4462" t="s">
        <v>1677</v>
      </c>
      <c r="I4462" t="s">
        <v>61</v>
      </c>
    </row>
    <row r="4463" spans="1:9" x14ac:dyDescent="0.25">
      <c r="A4463">
        <v>20131205</v>
      </c>
      <c r="B4463" t="str">
        <f>"113129"</f>
        <v>113129</v>
      </c>
      <c r="C4463" t="str">
        <f>"70776"</f>
        <v>70776</v>
      </c>
      <c r="D4463" t="s">
        <v>2413</v>
      </c>
      <c r="E4463">
        <v>40</v>
      </c>
      <c r="F4463">
        <v>20131204</v>
      </c>
      <c r="G4463" t="s">
        <v>1153</v>
      </c>
      <c r="H4463" t="s">
        <v>2414</v>
      </c>
      <c r="I4463" t="s">
        <v>61</v>
      </c>
    </row>
    <row r="4464" spans="1:9" x14ac:dyDescent="0.25">
      <c r="A4464">
        <v>20131205</v>
      </c>
      <c r="B4464" t="str">
        <f>"113130"</f>
        <v>113130</v>
      </c>
      <c r="C4464" t="str">
        <f>"87616"</f>
        <v>87616</v>
      </c>
      <c r="D4464" t="s">
        <v>711</v>
      </c>
      <c r="E4464">
        <v>405</v>
      </c>
      <c r="F4464">
        <v>20131204</v>
      </c>
      <c r="G4464" t="s">
        <v>347</v>
      </c>
      <c r="H4464" t="s">
        <v>713</v>
      </c>
      <c r="I4464" t="s">
        <v>61</v>
      </c>
    </row>
    <row r="4465" spans="1:9" x14ac:dyDescent="0.25">
      <c r="A4465">
        <v>20131205</v>
      </c>
      <c r="B4465" t="str">
        <f>"113130"</f>
        <v>113130</v>
      </c>
      <c r="C4465" t="str">
        <f>"87616"</f>
        <v>87616</v>
      </c>
      <c r="D4465" t="s">
        <v>711</v>
      </c>
      <c r="E4465">
        <v>75</v>
      </c>
      <c r="F4465">
        <v>20131204</v>
      </c>
      <c r="G4465" t="s">
        <v>1030</v>
      </c>
      <c r="H4465" t="s">
        <v>2418</v>
      </c>
      <c r="I4465" t="s">
        <v>63</v>
      </c>
    </row>
    <row r="4466" spans="1:9" x14ac:dyDescent="0.25">
      <c r="A4466">
        <v>20131205</v>
      </c>
      <c r="B4466" t="str">
        <f t="shared" ref="B4466:B4480" si="293">"113131"</f>
        <v>113131</v>
      </c>
      <c r="C4466" t="str">
        <f t="shared" ref="C4466:C4480" si="294">"69310"</f>
        <v>69310</v>
      </c>
      <c r="D4466" t="s">
        <v>716</v>
      </c>
      <c r="E4466">
        <v>69.290000000000006</v>
      </c>
      <c r="F4466">
        <v>20131204</v>
      </c>
      <c r="G4466" t="s">
        <v>718</v>
      </c>
      <c r="H4466" t="s">
        <v>488</v>
      </c>
      <c r="I4466" t="s">
        <v>21</v>
      </c>
    </row>
    <row r="4467" spans="1:9" x14ac:dyDescent="0.25">
      <c r="A4467">
        <v>20131205</v>
      </c>
      <c r="B4467" t="str">
        <f t="shared" si="293"/>
        <v>113131</v>
      </c>
      <c r="C4467" t="str">
        <f t="shared" si="294"/>
        <v>69310</v>
      </c>
      <c r="D4467" t="s">
        <v>716</v>
      </c>
      <c r="E4467" s="1">
        <v>98157.19</v>
      </c>
      <c r="F4467">
        <v>20131204</v>
      </c>
      <c r="G4467" t="s">
        <v>718</v>
      </c>
      <c r="H4467" t="s">
        <v>488</v>
      </c>
      <c r="I4467" t="s">
        <v>21</v>
      </c>
    </row>
    <row r="4468" spans="1:9" x14ac:dyDescent="0.25">
      <c r="A4468">
        <v>20131205</v>
      </c>
      <c r="B4468" t="str">
        <f t="shared" si="293"/>
        <v>113131</v>
      </c>
      <c r="C4468" t="str">
        <f t="shared" si="294"/>
        <v>69310</v>
      </c>
      <c r="D4468" t="s">
        <v>716</v>
      </c>
      <c r="E4468" s="1">
        <v>29378.880000000001</v>
      </c>
      <c r="F4468">
        <v>20131204</v>
      </c>
      <c r="G4468" t="s">
        <v>719</v>
      </c>
      <c r="H4468" t="s">
        <v>488</v>
      </c>
      <c r="I4468" t="s">
        <v>21</v>
      </c>
    </row>
    <row r="4469" spans="1:9" x14ac:dyDescent="0.25">
      <c r="A4469">
        <v>20131205</v>
      </c>
      <c r="B4469" t="str">
        <f t="shared" si="293"/>
        <v>113131</v>
      </c>
      <c r="C4469" t="str">
        <f t="shared" si="294"/>
        <v>69310</v>
      </c>
      <c r="D4469" t="s">
        <v>716</v>
      </c>
      <c r="E4469">
        <v>230.8</v>
      </c>
      <c r="F4469">
        <v>20131204</v>
      </c>
      <c r="G4469" t="s">
        <v>720</v>
      </c>
      <c r="H4469" t="s">
        <v>488</v>
      </c>
      <c r="I4469" t="s">
        <v>21</v>
      </c>
    </row>
    <row r="4470" spans="1:9" x14ac:dyDescent="0.25">
      <c r="A4470">
        <v>20131205</v>
      </c>
      <c r="B4470" t="str">
        <f t="shared" si="293"/>
        <v>113131</v>
      </c>
      <c r="C4470" t="str">
        <f t="shared" si="294"/>
        <v>69310</v>
      </c>
      <c r="D4470" t="s">
        <v>716</v>
      </c>
      <c r="E4470" s="1">
        <v>14475.31</v>
      </c>
      <c r="F4470">
        <v>20131204</v>
      </c>
      <c r="G4470" t="s">
        <v>720</v>
      </c>
      <c r="H4470" t="s">
        <v>488</v>
      </c>
      <c r="I4470" t="s">
        <v>21</v>
      </c>
    </row>
    <row r="4471" spans="1:9" x14ac:dyDescent="0.25">
      <c r="A4471">
        <v>20131205</v>
      </c>
      <c r="B4471" t="str">
        <f t="shared" si="293"/>
        <v>113131</v>
      </c>
      <c r="C4471" t="str">
        <f t="shared" si="294"/>
        <v>69310</v>
      </c>
      <c r="D4471" t="s">
        <v>716</v>
      </c>
      <c r="E4471" s="1">
        <v>19151.16</v>
      </c>
      <c r="F4471">
        <v>20131204</v>
      </c>
      <c r="G4471" t="s">
        <v>721</v>
      </c>
      <c r="H4471" t="s">
        <v>488</v>
      </c>
      <c r="I4471" t="s">
        <v>21</v>
      </c>
    </row>
    <row r="4472" spans="1:9" x14ac:dyDescent="0.25">
      <c r="A4472">
        <v>20131205</v>
      </c>
      <c r="B4472" t="str">
        <f t="shared" si="293"/>
        <v>113131</v>
      </c>
      <c r="C4472" t="str">
        <f t="shared" si="294"/>
        <v>69310</v>
      </c>
      <c r="D4472" t="s">
        <v>716</v>
      </c>
      <c r="E4472" s="1">
        <v>24062.12</v>
      </c>
      <c r="F4472">
        <v>20131204</v>
      </c>
      <c r="G4472" t="s">
        <v>722</v>
      </c>
      <c r="H4472" t="s">
        <v>488</v>
      </c>
      <c r="I4472" t="s">
        <v>21</v>
      </c>
    </row>
    <row r="4473" spans="1:9" x14ac:dyDescent="0.25">
      <c r="A4473">
        <v>20131205</v>
      </c>
      <c r="B4473" t="str">
        <f t="shared" si="293"/>
        <v>113131</v>
      </c>
      <c r="C4473" t="str">
        <f t="shared" si="294"/>
        <v>69310</v>
      </c>
      <c r="D4473" t="s">
        <v>716</v>
      </c>
      <c r="E4473" s="1">
        <v>16685.32</v>
      </c>
      <c r="F4473">
        <v>20131204</v>
      </c>
      <c r="G4473" t="s">
        <v>723</v>
      </c>
      <c r="H4473" t="s">
        <v>488</v>
      </c>
      <c r="I4473" t="s">
        <v>21</v>
      </c>
    </row>
    <row r="4474" spans="1:9" x14ac:dyDescent="0.25">
      <c r="A4474">
        <v>20131205</v>
      </c>
      <c r="B4474" t="str">
        <f t="shared" si="293"/>
        <v>113131</v>
      </c>
      <c r="C4474" t="str">
        <f t="shared" si="294"/>
        <v>69310</v>
      </c>
      <c r="D4474" t="s">
        <v>716</v>
      </c>
      <c r="E4474" s="1">
        <v>9496.1299999999992</v>
      </c>
      <c r="F4474">
        <v>20131204</v>
      </c>
      <c r="G4474" t="s">
        <v>724</v>
      </c>
      <c r="H4474" t="s">
        <v>488</v>
      </c>
      <c r="I4474" t="s">
        <v>21</v>
      </c>
    </row>
    <row r="4475" spans="1:9" x14ac:dyDescent="0.25">
      <c r="A4475">
        <v>20131205</v>
      </c>
      <c r="B4475" t="str">
        <f t="shared" si="293"/>
        <v>113131</v>
      </c>
      <c r="C4475" t="str">
        <f t="shared" si="294"/>
        <v>69310</v>
      </c>
      <c r="D4475" t="s">
        <v>716</v>
      </c>
      <c r="E4475" s="1">
        <v>21893.279999999999</v>
      </c>
      <c r="F4475">
        <v>20131204</v>
      </c>
      <c r="G4475" t="s">
        <v>725</v>
      </c>
      <c r="H4475" t="s">
        <v>488</v>
      </c>
      <c r="I4475" t="s">
        <v>21</v>
      </c>
    </row>
    <row r="4476" spans="1:9" x14ac:dyDescent="0.25">
      <c r="A4476">
        <v>20131205</v>
      </c>
      <c r="B4476" t="str">
        <f t="shared" si="293"/>
        <v>113131</v>
      </c>
      <c r="C4476" t="str">
        <f t="shared" si="294"/>
        <v>69310</v>
      </c>
      <c r="D4476" t="s">
        <v>716</v>
      </c>
      <c r="E4476" s="1">
        <v>4629.7299999999996</v>
      </c>
      <c r="F4476">
        <v>20131204</v>
      </c>
      <c r="G4476" t="s">
        <v>726</v>
      </c>
      <c r="H4476" t="s">
        <v>488</v>
      </c>
      <c r="I4476" t="s">
        <v>21</v>
      </c>
    </row>
    <row r="4477" spans="1:9" x14ac:dyDescent="0.25">
      <c r="A4477">
        <v>20131205</v>
      </c>
      <c r="B4477" t="str">
        <f t="shared" si="293"/>
        <v>113131</v>
      </c>
      <c r="C4477" t="str">
        <f t="shared" si="294"/>
        <v>69310</v>
      </c>
      <c r="D4477" t="s">
        <v>716</v>
      </c>
      <c r="E4477" s="1">
        <v>6274.58</v>
      </c>
      <c r="F4477">
        <v>20131204</v>
      </c>
      <c r="G4477" t="s">
        <v>727</v>
      </c>
      <c r="H4477" t="s">
        <v>488</v>
      </c>
      <c r="I4477" t="s">
        <v>21</v>
      </c>
    </row>
    <row r="4478" spans="1:9" x14ac:dyDescent="0.25">
      <c r="A4478">
        <v>20131205</v>
      </c>
      <c r="B4478" t="str">
        <f t="shared" si="293"/>
        <v>113131</v>
      </c>
      <c r="C4478" t="str">
        <f t="shared" si="294"/>
        <v>69310</v>
      </c>
      <c r="D4478" t="s">
        <v>716</v>
      </c>
      <c r="E4478" s="1">
        <v>6343.58</v>
      </c>
      <c r="F4478">
        <v>20131204</v>
      </c>
      <c r="G4478" t="s">
        <v>728</v>
      </c>
      <c r="H4478" t="s">
        <v>488</v>
      </c>
      <c r="I4478" t="s">
        <v>21</v>
      </c>
    </row>
    <row r="4479" spans="1:9" x14ac:dyDescent="0.25">
      <c r="A4479">
        <v>20131205</v>
      </c>
      <c r="B4479" t="str">
        <f t="shared" si="293"/>
        <v>113131</v>
      </c>
      <c r="C4479" t="str">
        <f t="shared" si="294"/>
        <v>69310</v>
      </c>
      <c r="D4479" t="s">
        <v>716</v>
      </c>
      <c r="E4479" s="1">
        <v>1170.8900000000001</v>
      </c>
      <c r="F4479">
        <v>20131204</v>
      </c>
      <c r="G4479" t="s">
        <v>729</v>
      </c>
      <c r="H4479" t="s">
        <v>488</v>
      </c>
      <c r="I4479" t="s">
        <v>21</v>
      </c>
    </row>
    <row r="4480" spans="1:9" x14ac:dyDescent="0.25">
      <c r="A4480">
        <v>20131205</v>
      </c>
      <c r="B4480" t="str">
        <f t="shared" si="293"/>
        <v>113131</v>
      </c>
      <c r="C4480" t="str">
        <f t="shared" si="294"/>
        <v>69310</v>
      </c>
      <c r="D4480" t="s">
        <v>716</v>
      </c>
      <c r="E4480">
        <v>522.32000000000005</v>
      </c>
      <c r="F4480">
        <v>20131204</v>
      </c>
      <c r="G4480" t="s">
        <v>467</v>
      </c>
      <c r="H4480" t="s">
        <v>488</v>
      </c>
      <c r="I4480" t="s">
        <v>21</v>
      </c>
    </row>
    <row r="4481" spans="1:9" x14ac:dyDescent="0.25">
      <c r="A4481">
        <v>20131205</v>
      </c>
      <c r="B4481" t="str">
        <f>"113132"</f>
        <v>113132</v>
      </c>
      <c r="C4481" t="str">
        <f>"76301"</f>
        <v>76301</v>
      </c>
      <c r="D4481" t="s">
        <v>1319</v>
      </c>
      <c r="E4481">
        <v>46</v>
      </c>
      <c r="F4481">
        <v>20131204</v>
      </c>
      <c r="G4481" t="s">
        <v>1649</v>
      </c>
      <c r="H4481" t="s">
        <v>1320</v>
      </c>
      <c r="I4481" t="s">
        <v>21</v>
      </c>
    </row>
    <row r="4482" spans="1:9" x14ac:dyDescent="0.25">
      <c r="A4482">
        <v>20131205</v>
      </c>
      <c r="B4482" t="str">
        <f>"113133"</f>
        <v>113133</v>
      </c>
      <c r="C4482" t="str">
        <f>"82841"</f>
        <v>82841</v>
      </c>
      <c r="D4482" t="s">
        <v>2578</v>
      </c>
      <c r="E4482">
        <v>323.25</v>
      </c>
      <c r="F4482">
        <v>20131204</v>
      </c>
      <c r="G4482" t="s">
        <v>2579</v>
      </c>
      <c r="H4482" t="s">
        <v>1109</v>
      </c>
      <c r="I4482" t="s">
        <v>58</v>
      </c>
    </row>
    <row r="4483" spans="1:9" x14ac:dyDescent="0.25">
      <c r="A4483">
        <v>20131205</v>
      </c>
      <c r="B4483" t="str">
        <f>"113134"</f>
        <v>113134</v>
      </c>
      <c r="C4483" t="str">
        <f>"76914"</f>
        <v>76914</v>
      </c>
      <c r="D4483" t="s">
        <v>2580</v>
      </c>
      <c r="E4483">
        <v>80</v>
      </c>
      <c r="F4483">
        <v>20131204</v>
      </c>
      <c r="G4483" t="s">
        <v>327</v>
      </c>
      <c r="H4483" t="s">
        <v>354</v>
      </c>
      <c r="I4483" t="s">
        <v>25</v>
      </c>
    </row>
    <row r="4484" spans="1:9" x14ac:dyDescent="0.25">
      <c r="A4484">
        <v>20131205</v>
      </c>
      <c r="B4484" t="str">
        <f>"113134"</f>
        <v>113134</v>
      </c>
      <c r="C4484" t="str">
        <f>"76914"</f>
        <v>76914</v>
      </c>
      <c r="D4484" t="s">
        <v>2580</v>
      </c>
      <c r="E4484">
        <v>40</v>
      </c>
      <c r="F4484">
        <v>20131204</v>
      </c>
      <c r="G4484" t="s">
        <v>327</v>
      </c>
      <c r="H4484" t="s">
        <v>354</v>
      </c>
      <c r="I4484" t="s">
        <v>25</v>
      </c>
    </row>
    <row r="4485" spans="1:9" x14ac:dyDescent="0.25">
      <c r="A4485">
        <v>20131205</v>
      </c>
      <c r="B4485" t="str">
        <f>"113135"</f>
        <v>113135</v>
      </c>
      <c r="C4485" t="str">
        <f>"87357"</f>
        <v>87357</v>
      </c>
      <c r="D4485" t="s">
        <v>2581</v>
      </c>
      <c r="E4485">
        <v>98</v>
      </c>
      <c r="F4485">
        <v>20131204</v>
      </c>
      <c r="G4485" t="s">
        <v>805</v>
      </c>
      <c r="H4485" t="s">
        <v>354</v>
      </c>
      <c r="I4485" t="s">
        <v>38</v>
      </c>
    </row>
    <row r="4486" spans="1:9" x14ac:dyDescent="0.25">
      <c r="A4486">
        <v>20131205</v>
      </c>
      <c r="B4486" t="str">
        <f>"113136"</f>
        <v>113136</v>
      </c>
      <c r="C4486" t="str">
        <f>"86614"</f>
        <v>86614</v>
      </c>
      <c r="D4486" t="s">
        <v>2582</v>
      </c>
      <c r="E4486">
        <v>110</v>
      </c>
      <c r="F4486">
        <v>20131204</v>
      </c>
      <c r="G4486" t="s">
        <v>2324</v>
      </c>
      <c r="H4486" t="s">
        <v>765</v>
      </c>
      <c r="I4486" t="s">
        <v>61</v>
      </c>
    </row>
    <row r="4487" spans="1:9" x14ac:dyDescent="0.25">
      <c r="A4487">
        <v>20131205</v>
      </c>
      <c r="B4487" t="str">
        <f>"113136"</f>
        <v>113136</v>
      </c>
      <c r="C4487" t="str">
        <f>"86614"</f>
        <v>86614</v>
      </c>
      <c r="D4487" t="s">
        <v>2582</v>
      </c>
      <c r="E4487">
        <v>120</v>
      </c>
      <c r="F4487">
        <v>20131204</v>
      </c>
      <c r="G4487" t="s">
        <v>2324</v>
      </c>
      <c r="H4487" t="s">
        <v>765</v>
      </c>
      <c r="I4487" t="s">
        <v>61</v>
      </c>
    </row>
    <row r="4488" spans="1:9" x14ac:dyDescent="0.25">
      <c r="A4488">
        <v>20131205</v>
      </c>
      <c r="B4488" t="str">
        <f>"113137"</f>
        <v>113137</v>
      </c>
      <c r="C4488" t="str">
        <f>"85445"</f>
        <v>85445</v>
      </c>
      <c r="D4488" t="s">
        <v>745</v>
      </c>
      <c r="E4488">
        <v>772</v>
      </c>
      <c r="F4488">
        <v>20131204</v>
      </c>
      <c r="G4488" t="s">
        <v>746</v>
      </c>
      <c r="H4488" t="s">
        <v>555</v>
      </c>
      <c r="I4488" t="s">
        <v>21</v>
      </c>
    </row>
    <row r="4489" spans="1:9" x14ac:dyDescent="0.25">
      <c r="A4489">
        <v>20131205</v>
      </c>
      <c r="B4489" t="str">
        <f>"113138"</f>
        <v>113138</v>
      </c>
      <c r="C4489" t="str">
        <f>"86410"</f>
        <v>86410</v>
      </c>
      <c r="D4489" t="s">
        <v>2069</v>
      </c>
      <c r="E4489" s="1">
        <v>1550</v>
      </c>
      <c r="F4489">
        <v>20131204</v>
      </c>
      <c r="G4489" t="s">
        <v>866</v>
      </c>
      <c r="H4489" t="s">
        <v>553</v>
      </c>
      <c r="I4489" t="s">
        <v>25</v>
      </c>
    </row>
    <row r="4490" spans="1:9" x14ac:dyDescent="0.25">
      <c r="A4490">
        <v>20131205</v>
      </c>
      <c r="B4490" t="str">
        <f>"113139"</f>
        <v>113139</v>
      </c>
      <c r="C4490" t="str">
        <f>"86410"</f>
        <v>86410</v>
      </c>
      <c r="D4490" t="s">
        <v>2069</v>
      </c>
      <c r="E4490">
        <v>950</v>
      </c>
      <c r="F4490">
        <v>20131204</v>
      </c>
      <c r="G4490" t="s">
        <v>2365</v>
      </c>
      <c r="H4490" t="s">
        <v>553</v>
      </c>
      <c r="I4490" t="s">
        <v>25</v>
      </c>
    </row>
    <row r="4491" spans="1:9" x14ac:dyDescent="0.25">
      <c r="A4491">
        <v>20131205</v>
      </c>
      <c r="B4491" t="str">
        <f>"113140"</f>
        <v>113140</v>
      </c>
      <c r="C4491" t="str">
        <f>"19200"</f>
        <v>19200</v>
      </c>
      <c r="D4491" t="s">
        <v>436</v>
      </c>
      <c r="E4491">
        <v>39.15</v>
      </c>
      <c r="F4491">
        <v>20131204</v>
      </c>
      <c r="G4491" t="s">
        <v>410</v>
      </c>
      <c r="H4491" t="s">
        <v>411</v>
      </c>
      <c r="I4491" t="s">
        <v>12</v>
      </c>
    </row>
    <row r="4492" spans="1:9" x14ac:dyDescent="0.25">
      <c r="A4492">
        <v>20131205</v>
      </c>
      <c r="B4492" t="str">
        <f t="shared" ref="B4492:B4529" si="295">"113141"</f>
        <v>113141</v>
      </c>
      <c r="C4492" t="str">
        <f t="shared" ref="C4492:C4529" si="296">"80825"</f>
        <v>80825</v>
      </c>
      <c r="D4492" t="s">
        <v>747</v>
      </c>
      <c r="E4492">
        <v>641.76</v>
      </c>
      <c r="F4492">
        <v>20131202</v>
      </c>
      <c r="G4492" t="s">
        <v>748</v>
      </c>
      <c r="H4492" t="s">
        <v>749</v>
      </c>
      <c r="I4492" t="s">
        <v>21</v>
      </c>
    </row>
    <row r="4493" spans="1:9" x14ac:dyDescent="0.25">
      <c r="A4493">
        <v>20131205</v>
      </c>
      <c r="B4493" t="str">
        <f t="shared" si="295"/>
        <v>113141</v>
      </c>
      <c r="C4493" t="str">
        <f t="shared" si="296"/>
        <v>80825</v>
      </c>
      <c r="D4493" t="s">
        <v>747</v>
      </c>
      <c r="E4493">
        <v>276.89999999999998</v>
      </c>
      <c r="F4493">
        <v>20131202</v>
      </c>
      <c r="G4493" t="s">
        <v>748</v>
      </c>
      <c r="H4493" t="s">
        <v>749</v>
      </c>
      <c r="I4493" t="s">
        <v>21</v>
      </c>
    </row>
    <row r="4494" spans="1:9" x14ac:dyDescent="0.25">
      <c r="A4494">
        <v>20131205</v>
      </c>
      <c r="B4494" t="str">
        <f t="shared" si="295"/>
        <v>113141</v>
      </c>
      <c r="C4494" t="str">
        <f t="shared" si="296"/>
        <v>80825</v>
      </c>
      <c r="D4494" t="s">
        <v>747</v>
      </c>
      <c r="E4494">
        <v>282.89999999999998</v>
      </c>
      <c r="F4494">
        <v>20131202</v>
      </c>
      <c r="G4494" t="s">
        <v>748</v>
      </c>
      <c r="H4494" t="s">
        <v>760</v>
      </c>
      <c r="I4494" t="s">
        <v>21</v>
      </c>
    </row>
    <row r="4495" spans="1:9" x14ac:dyDescent="0.25">
      <c r="A4495">
        <v>20131205</v>
      </c>
      <c r="B4495" t="str">
        <f t="shared" si="295"/>
        <v>113141</v>
      </c>
      <c r="C4495" t="str">
        <f t="shared" si="296"/>
        <v>80825</v>
      </c>
      <c r="D4495" t="s">
        <v>747</v>
      </c>
      <c r="E4495" s="1">
        <v>2093.38</v>
      </c>
      <c r="F4495">
        <v>20131202</v>
      </c>
      <c r="G4495" t="s">
        <v>748</v>
      </c>
      <c r="H4495" t="s">
        <v>749</v>
      </c>
      <c r="I4495" t="s">
        <v>21</v>
      </c>
    </row>
    <row r="4496" spans="1:9" x14ac:dyDescent="0.25">
      <c r="A4496">
        <v>20131205</v>
      </c>
      <c r="B4496" t="str">
        <f t="shared" si="295"/>
        <v>113141</v>
      </c>
      <c r="C4496" t="str">
        <f t="shared" si="296"/>
        <v>80825</v>
      </c>
      <c r="D4496" t="s">
        <v>747</v>
      </c>
      <c r="E4496">
        <v>119.73</v>
      </c>
      <c r="F4496">
        <v>20131202</v>
      </c>
      <c r="G4496" t="s">
        <v>748</v>
      </c>
      <c r="H4496" t="s">
        <v>760</v>
      </c>
      <c r="I4496" t="s">
        <v>21</v>
      </c>
    </row>
    <row r="4497" spans="1:9" x14ac:dyDescent="0.25">
      <c r="A4497">
        <v>20131205</v>
      </c>
      <c r="B4497" t="str">
        <f t="shared" si="295"/>
        <v>113141</v>
      </c>
      <c r="C4497" t="str">
        <f t="shared" si="296"/>
        <v>80825</v>
      </c>
      <c r="D4497" t="s">
        <v>747</v>
      </c>
      <c r="E4497">
        <v>196.46</v>
      </c>
      <c r="F4497">
        <v>20131202</v>
      </c>
      <c r="G4497" t="s">
        <v>1551</v>
      </c>
      <c r="H4497" t="s">
        <v>749</v>
      </c>
      <c r="I4497" t="s">
        <v>21</v>
      </c>
    </row>
    <row r="4498" spans="1:9" x14ac:dyDescent="0.25">
      <c r="A4498">
        <v>20131205</v>
      </c>
      <c r="B4498" t="str">
        <f t="shared" si="295"/>
        <v>113141</v>
      </c>
      <c r="C4498" t="str">
        <f t="shared" si="296"/>
        <v>80825</v>
      </c>
      <c r="D4498" t="s">
        <v>747</v>
      </c>
      <c r="E4498">
        <v>320.88</v>
      </c>
      <c r="F4498">
        <v>20131202</v>
      </c>
      <c r="G4498" t="s">
        <v>750</v>
      </c>
      <c r="H4498" t="s">
        <v>749</v>
      </c>
      <c r="I4498" t="s">
        <v>21</v>
      </c>
    </row>
    <row r="4499" spans="1:9" x14ac:dyDescent="0.25">
      <c r="A4499">
        <v>20131205</v>
      </c>
      <c r="B4499" t="str">
        <f t="shared" si="295"/>
        <v>113141</v>
      </c>
      <c r="C4499" t="str">
        <f t="shared" si="296"/>
        <v>80825</v>
      </c>
      <c r="D4499" t="s">
        <v>747</v>
      </c>
      <c r="E4499">
        <v>670.6</v>
      </c>
      <c r="F4499">
        <v>20131202</v>
      </c>
      <c r="G4499" t="s">
        <v>750</v>
      </c>
      <c r="H4499" t="s">
        <v>749</v>
      </c>
      <c r="I4499" t="s">
        <v>21</v>
      </c>
    </row>
    <row r="4500" spans="1:9" x14ac:dyDescent="0.25">
      <c r="A4500">
        <v>20131205</v>
      </c>
      <c r="B4500" t="str">
        <f t="shared" si="295"/>
        <v>113141</v>
      </c>
      <c r="C4500" t="str">
        <f t="shared" si="296"/>
        <v>80825</v>
      </c>
      <c r="D4500" t="s">
        <v>747</v>
      </c>
      <c r="E4500">
        <v>670.6</v>
      </c>
      <c r="F4500">
        <v>20131202</v>
      </c>
      <c r="G4500" t="s">
        <v>750</v>
      </c>
      <c r="H4500" t="s">
        <v>749</v>
      </c>
      <c r="I4500" t="s">
        <v>21</v>
      </c>
    </row>
    <row r="4501" spans="1:9" x14ac:dyDescent="0.25">
      <c r="A4501">
        <v>20131205</v>
      </c>
      <c r="B4501" t="str">
        <f t="shared" si="295"/>
        <v>113141</v>
      </c>
      <c r="C4501" t="str">
        <f t="shared" si="296"/>
        <v>80825</v>
      </c>
      <c r="D4501" t="s">
        <v>747</v>
      </c>
      <c r="E4501">
        <v>320.88</v>
      </c>
      <c r="F4501">
        <v>20131202</v>
      </c>
      <c r="G4501" t="s">
        <v>752</v>
      </c>
      <c r="H4501" t="s">
        <v>749</v>
      </c>
      <c r="I4501" t="s">
        <v>21</v>
      </c>
    </row>
    <row r="4502" spans="1:9" x14ac:dyDescent="0.25">
      <c r="A4502">
        <v>20131205</v>
      </c>
      <c r="B4502" t="str">
        <f t="shared" si="295"/>
        <v>113141</v>
      </c>
      <c r="C4502" t="str">
        <f t="shared" si="296"/>
        <v>80825</v>
      </c>
      <c r="D4502" t="s">
        <v>747</v>
      </c>
      <c r="E4502">
        <v>670.6</v>
      </c>
      <c r="F4502">
        <v>20131202</v>
      </c>
      <c r="G4502" t="s">
        <v>752</v>
      </c>
      <c r="H4502" t="s">
        <v>749</v>
      </c>
      <c r="I4502" t="s">
        <v>21</v>
      </c>
    </row>
    <row r="4503" spans="1:9" x14ac:dyDescent="0.25">
      <c r="A4503">
        <v>20131205</v>
      </c>
      <c r="B4503" t="str">
        <f t="shared" si="295"/>
        <v>113141</v>
      </c>
      <c r="C4503" t="str">
        <f t="shared" si="296"/>
        <v>80825</v>
      </c>
      <c r="D4503" t="s">
        <v>747</v>
      </c>
      <c r="E4503">
        <v>320.88</v>
      </c>
      <c r="F4503">
        <v>20131202</v>
      </c>
      <c r="G4503" t="s">
        <v>753</v>
      </c>
      <c r="H4503" t="s">
        <v>749</v>
      </c>
      <c r="I4503" t="s">
        <v>21</v>
      </c>
    </row>
    <row r="4504" spans="1:9" x14ac:dyDescent="0.25">
      <c r="A4504">
        <v>20131205</v>
      </c>
      <c r="B4504" t="str">
        <f t="shared" si="295"/>
        <v>113141</v>
      </c>
      <c r="C4504" t="str">
        <f t="shared" si="296"/>
        <v>80825</v>
      </c>
      <c r="D4504" t="s">
        <v>747</v>
      </c>
      <c r="E4504">
        <v>582.95000000000005</v>
      </c>
      <c r="F4504">
        <v>20131202</v>
      </c>
      <c r="G4504" t="s">
        <v>753</v>
      </c>
      <c r="H4504" t="s">
        <v>749</v>
      </c>
      <c r="I4504" t="s">
        <v>21</v>
      </c>
    </row>
    <row r="4505" spans="1:9" x14ac:dyDescent="0.25">
      <c r="A4505">
        <v>20131205</v>
      </c>
      <c r="B4505" t="str">
        <f t="shared" si="295"/>
        <v>113141</v>
      </c>
      <c r="C4505" t="str">
        <f t="shared" si="296"/>
        <v>80825</v>
      </c>
      <c r="D4505" t="s">
        <v>747</v>
      </c>
      <c r="E4505">
        <v>582.95000000000005</v>
      </c>
      <c r="F4505">
        <v>20131202</v>
      </c>
      <c r="G4505" t="s">
        <v>753</v>
      </c>
      <c r="H4505" t="s">
        <v>749</v>
      </c>
      <c r="I4505" t="s">
        <v>21</v>
      </c>
    </row>
    <row r="4506" spans="1:9" x14ac:dyDescent="0.25">
      <c r="A4506">
        <v>20131205</v>
      </c>
      <c r="B4506" t="str">
        <f t="shared" si="295"/>
        <v>113141</v>
      </c>
      <c r="C4506" t="str">
        <f t="shared" si="296"/>
        <v>80825</v>
      </c>
      <c r="D4506" t="s">
        <v>747</v>
      </c>
      <c r="E4506">
        <v>320.88</v>
      </c>
      <c r="F4506">
        <v>20131202</v>
      </c>
      <c r="G4506" t="s">
        <v>754</v>
      </c>
      <c r="H4506" t="s">
        <v>749</v>
      </c>
      <c r="I4506" t="s">
        <v>21</v>
      </c>
    </row>
    <row r="4507" spans="1:9" x14ac:dyDescent="0.25">
      <c r="A4507">
        <v>20131205</v>
      </c>
      <c r="B4507" t="str">
        <f t="shared" si="295"/>
        <v>113141</v>
      </c>
      <c r="C4507" t="str">
        <f t="shared" si="296"/>
        <v>80825</v>
      </c>
      <c r="D4507" t="s">
        <v>747</v>
      </c>
      <c r="E4507">
        <v>582.95000000000005</v>
      </c>
      <c r="F4507">
        <v>20131202</v>
      </c>
      <c r="G4507" t="s">
        <v>754</v>
      </c>
      <c r="H4507" t="s">
        <v>749</v>
      </c>
      <c r="I4507" t="s">
        <v>21</v>
      </c>
    </row>
    <row r="4508" spans="1:9" x14ac:dyDescent="0.25">
      <c r="A4508">
        <v>20131205</v>
      </c>
      <c r="B4508" t="str">
        <f t="shared" si="295"/>
        <v>113141</v>
      </c>
      <c r="C4508" t="str">
        <f t="shared" si="296"/>
        <v>80825</v>
      </c>
      <c r="D4508" t="s">
        <v>747</v>
      </c>
      <c r="E4508">
        <v>582.95000000000005</v>
      </c>
      <c r="F4508">
        <v>20131202</v>
      </c>
      <c r="G4508" t="s">
        <v>754</v>
      </c>
      <c r="H4508" t="s">
        <v>749</v>
      </c>
      <c r="I4508" t="s">
        <v>21</v>
      </c>
    </row>
    <row r="4509" spans="1:9" x14ac:dyDescent="0.25">
      <c r="A4509">
        <v>20131205</v>
      </c>
      <c r="B4509" t="str">
        <f t="shared" si="295"/>
        <v>113141</v>
      </c>
      <c r="C4509" t="str">
        <f t="shared" si="296"/>
        <v>80825</v>
      </c>
      <c r="D4509" t="s">
        <v>747</v>
      </c>
      <c r="E4509">
        <v>582.95000000000005</v>
      </c>
      <c r="F4509">
        <v>20131202</v>
      </c>
      <c r="G4509" t="s">
        <v>754</v>
      </c>
      <c r="H4509" t="s">
        <v>749</v>
      </c>
      <c r="I4509" t="s">
        <v>21</v>
      </c>
    </row>
    <row r="4510" spans="1:9" x14ac:dyDescent="0.25">
      <c r="A4510">
        <v>20131205</v>
      </c>
      <c r="B4510" t="str">
        <f t="shared" si="295"/>
        <v>113141</v>
      </c>
      <c r="C4510" t="str">
        <f t="shared" si="296"/>
        <v>80825</v>
      </c>
      <c r="D4510" t="s">
        <v>747</v>
      </c>
      <c r="E4510">
        <v>320.88</v>
      </c>
      <c r="F4510">
        <v>20131202</v>
      </c>
      <c r="G4510" t="s">
        <v>990</v>
      </c>
      <c r="H4510" t="s">
        <v>749</v>
      </c>
      <c r="I4510" t="s">
        <v>21</v>
      </c>
    </row>
    <row r="4511" spans="1:9" x14ac:dyDescent="0.25">
      <c r="A4511">
        <v>20131205</v>
      </c>
      <c r="B4511" t="str">
        <f t="shared" si="295"/>
        <v>113141</v>
      </c>
      <c r="C4511" t="str">
        <f t="shared" si="296"/>
        <v>80825</v>
      </c>
      <c r="D4511" t="s">
        <v>747</v>
      </c>
      <c r="E4511">
        <v>582.95000000000005</v>
      </c>
      <c r="F4511">
        <v>20131202</v>
      </c>
      <c r="G4511" t="s">
        <v>990</v>
      </c>
      <c r="H4511" t="s">
        <v>749</v>
      </c>
      <c r="I4511" t="s">
        <v>21</v>
      </c>
    </row>
    <row r="4512" spans="1:9" x14ac:dyDescent="0.25">
      <c r="A4512">
        <v>20131205</v>
      </c>
      <c r="B4512" t="str">
        <f t="shared" si="295"/>
        <v>113141</v>
      </c>
      <c r="C4512" t="str">
        <f t="shared" si="296"/>
        <v>80825</v>
      </c>
      <c r="D4512" t="s">
        <v>747</v>
      </c>
      <c r="E4512">
        <v>320.88</v>
      </c>
      <c r="F4512">
        <v>20131202</v>
      </c>
      <c r="G4512" t="s">
        <v>755</v>
      </c>
      <c r="H4512" t="s">
        <v>749</v>
      </c>
      <c r="I4512" t="s">
        <v>21</v>
      </c>
    </row>
    <row r="4513" spans="1:9" x14ac:dyDescent="0.25">
      <c r="A4513">
        <v>20131205</v>
      </c>
      <c r="B4513" t="str">
        <f t="shared" si="295"/>
        <v>113141</v>
      </c>
      <c r="C4513" t="str">
        <f t="shared" si="296"/>
        <v>80825</v>
      </c>
      <c r="D4513" t="s">
        <v>747</v>
      </c>
      <c r="E4513">
        <v>582.95000000000005</v>
      </c>
      <c r="F4513">
        <v>20131202</v>
      </c>
      <c r="G4513" t="s">
        <v>755</v>
      </c>
      <c r="H4513" t="s">
        <v>749</v>
      </c>
      <c r="I4513" t="s">
        <v>21</v>
      </c>
    </row>
    <row r="4514" spans="1:9" x14ac:dyDescent="0.25">
      <c r="A4514">
        <v>20131205</v>
      </c>
      <c r="B4514" t="str">
        <f t="shared" si="295"/>
        <v>113141</v>
      </c>
      <c r="C4514" t="str">
        <f t="shared" si="296"/>
        <v>80825</v>
      </c>
      <c r="D4514" t="s">
        <v>747</v>
      </c>
      <c r="E4514">
        <v>320.88</v>
      </c>
      <c r="F4514">
        <v>20131202</v>
      </c>
      <c r="G4514" t="s">
        <v>756</v>
      </c>
      <c r="H4514" t="s">
        <v>749</v>
      </c>
      <c r="I4514" t="s">
        <v>21</v>
      </c>
    </row>
    <row r="4515" spans="1:9" x14ac:dyDescent="0.25">
      <c r="A4515">
        <v>20131205</v>
      </c>
      <c r="B4515" t="str">
        <f t="shared" si="295"/>
        <v>113141</v>
      </c>
      <c r="C4515" t="str">
        <f t="shared" si="296"/>
        <v>80825</v>
      </c>
      <c r="D4515" t="s">
        <v>747</v>
      </c>
      <c r="E4515">
        <v>582.95000000000005</v>
      </c>
      <c r="F4515">
        <v>20131202</v>
      </c>
      <c r="G4515" t="s">
        <v>756</v>
      </c>
      <c r="H4515" t="s">
        <v>749</v>
      </c>
      <c r="I4515" t="s">
        <v>21</v>
      </c>
    </row>
    <row r="4516" spans="1:9" x14ac:dyDescent="0.25">
      <c r="A4516">
        <v>20131205</v>
      </c>
      <c r="B4516" t="str">
        <f t="shared" si="295"/>
        <v>113141</v>
      </c>
      <c r="C4516" t="str">
        <f t="shared" si="296"/>
        <v>80825</v>
      </c>
      <c r="D4516" t="s">
        <v>747</v>
      </c>
      <c r="E4516">
        <v>582.95000000000005</v>
      </c>
      <c r="F4516">
        <v>20131202</v>
      </c>
      <c r="G4516" t="s">
        <v>756</v>
      </c>
      <c r="H4516" t="s">
        <v>749</v>
      </c>
      <c r="I4516" t="s">
        <v>21</v>
      </c>
    </row>
    <row r="4517" spans="1:9" x14ac:dyDescent="0.25">
      <c r="A4517">
        <v>20131205</v>
      </c>
      <c r="B4517" t="str">
        <f t="shared" si="295"/>
        <v>113141</v>
      </c>
      <c r="C4517" t="str">
        <f t="shared" si="296"/>
        <v>80825</v>
      </c>
      <c r="D4517" t="s">
        <v>747</v>
      </c>
      <c r="E4517">
        <v>106.95</v>
      </c>
      <c r="F4517">
        <v>20131202</v>
      </c>
      <c r="G4517" t="s">
        <v>757</v>
      </c>
      <c r="H4517" t="s">
        <v>749</v>
      </c>
      <c r="I4517" t="s">
        <v>21</v>
      </c>
    </row>
    <row r="4518" spans="1:9" x14ac:dyDescent="0.25">
      <c r="A4518">
        <v>20131205</v>
      </c>
      <c r="B4518" t="str">
        <f t="shared" si="295"/>
        <v>113141</v>
      </c>
      <c r="C4518" t="str">
        <f t="shared" si="296"/>
        <v>80825</v>
      </c>
      <c r="D4518" t="s">
        <v>747</v>
      </c>
      <c r="E4518">
        <v>65.5</v>
      </c>
      <c r="F4518">
        <v>20131202</v>
      </c>
      <c r="G4518" t="s">
        <v>757</v>
      </c>
      <c r="H4518" t="s">
        <v>749</v>
      </c>
      <c r="I4518" t="s">
        <v>21</v>
      </c>
    </row>
    <row r="4519" spans="1:9" x14ac:dyDescent="0.25">
      <c r="A4519">
        <v>20131205</v>
      </c>
      <c r="B4519" t="str">
        <f t="shared" si="295"/>
        <v>113141</v>
      </c>
      <c r="C4519" t="str">
        <f t="shared" si="296"/>
        <v>80825</v>
      </c>
      <c r="D4519" t="s">
        <v>747</v>
      </c>
      <c r="E4519">
        <v>133.9</v>
      </c>
      <c r="F4519">
        <v>20131202</v>
      </c>
      <c r="G4519" t="s">
        <v>757</v>
      </c>
      <c r="H4519" t="s">
        <v>749</v>
      </c>
      <c r="I4519" t="s">
        <v>21</v>
      </c>
    </row>
    <row r="4520" spans="1:9" x14ac:dyDescent="0.25">
      <c r="A4520">
        <v>20131205</v>
      </c>
      <c r="B4520" t="str">
        <f t="shared" si="295"/>
        <v>113141</v>
      </c>
      <c r="C4520" t="str">
        <f t="shared" si="296"/>
        <v>80825</v>
      </c>
      <c r="D4520" t="s">
        <v>747</v>
      </c>
      <c r="E4520">
        <v>424.58</v>
      </c>
      <c r="F4520">
        <v>20131202</v>
      </c>
      <c r="G4520" t="s">
        <v>1175</v>
      </c>
      <c r="H4520" t="s">
        <v>749</v>
      </c>
      <c r="I4520" t="s">
        <v>21</v>
      </c>
    </row>
    <row r="4521" spans="1:9" x14ac:dyDescent="0.25">
      <c r="A4521">
        <v>20131205</v>
      </c>
      <c r="B4521" t="str">
        <f t="shared" si="295"/>
        <v>113141</v>
      </c>
      <c r="C4521" t="str">
        <f t="shared" si="296"/>
        <v>80825</v>
      </c>
      <c r="D4521" t="s">
        <v>747</v>
      </c>
      <c r="E4521">
        <v>82.75</v>
      </c>
      <c r="F4521">
        <v>20131202</v>
      </c>
      <c r="G4521" t="s">
        <v>758</v>
      </c>
      <c r="H4521" t="s">
        <v>749</v>
      </c>
      <c r="I4521" t="s">
        <v>21</v>
      </c>
    </row>
    <row r="4522" spans="1:9" x14ac:dyDescent="0.25">
      <c r="A4522">
        <v>20131205</v>
      </c>
      <c r="B4522" t="str">
        <f t="shared" si="295"/>
        <v>113141</v>
      </c>
      <c r="C4522" t="str">
        <f t="shared" si="296"/>
        <v>80825</v>
      </c>
      <c r="D4522" t="s">
        <v>747</v>
      </c>
      <c r="E4522">
        <v>106.95</v>
      </c>
      <c r="F4522">
        <v>20131202</v>
      </c>
      <c r="G4522" t="s">
        <v>544</v>
      </c>
      <c r="H4522" t="s">
        <v>749</v>
      </c>
      <c r="I4522" t="s">
        <v>21</v>
      </c>
    </row>
    <row r="4523" spans="1:9" x14ac:dyDescent="0.25">
      <c r="A4523">
        <v>20131205</v>
      </c>
      <c r="B4523" t="str">
        <f t="shared" si="295"/>
        <v>113141</v>
      </c>
      <c r="C4523" t="str">
        <f t="shared" si="296"/>
        <v>80825</v>
      </c>
      <c r="D4523" t="s">
        <v>747</v>
      </c>
      <c r="E4523">
        <v>65.48</v>
      </c>
      <c r="F4523">
        <v>20131202</v>
      </c>
      <c r="G4523" t="s">
        <v>544</v>
      </c>
      <c r="H4523" t="s">
        <v>749</v>
      </c>
      <c r="I4523" t="s">
        <v>21</v>
      </c>
    </row>
    <row r="4524" spans="1:9" x14ac:dyDescent="0.25">
      <c r="A4524">
        <v>20131205</v>
      </c>
      <c r="B4524" t="str">
        <f t="shared" si="295"/>
        <v>113141</v>
      </c>
      <c r="C4524" t="str">
        <f t="shared" si="296"/>
        <v>80825</v>
      </c>
      <c r="D4524" t="s">
        <v>747</v>
      </c>
      <c r="E4524">
        <v>133.91</v>
      </c>
      <c r="F4524">
        <v>20131202</v>
      </c>
      <c r="G4524" t="s">
        <v>544</v>
      </c>
      <c r="H4524" t="s">
        <v>749</v>
      </c>
      <c r="I4524" t="s">
        <v>21</v>
      </c>
    </row>
    <row r="4525" spans="1:9" x14ac:dyDescent="0.25">
      <c r="A4525">
        <v>20131205</v>
      </c>
      <c r="B4525" t="str">
        <f t="shared" si="295"/>
        <v>113141</v>
      </c>
      <c r="C4525" t="str">
        <f t="shared" si="296"/>
        <v>80825</v>
      </c>
      <c r="D4525" t="s">
        <v>747</v>
      </c>
      <c r="E4525">
        <v>106.95</v>
      </c>
      <c r="F4525">
        <v>20131202</v>
      </c>
      <c r="G4525" t="s">
        <v>545</v>
      </c>
      <c r="H4525" t="s">
        <v>749</v>
      </c>
      <c r="I4525" t="s">
        <v>21</v>
      </c>
    </row>
    <row r="4526" spans="1:9" x14ac:dyDescent="0.25">
      <c r="A4526">
        <v>20131205</v>
      </c>
      <c r="B4526" t="str">
        <f t="shared" si="295"/>
        <v>113141</v>
      </c>
      <c r="C4526" t="str">
        <f t="shared" si="296"/>
        <v>80825</v>
      </c>
      <c r="D4526" t="s">
        <v>747</v>
      </c>
      <c r="E4526">
        <v>65.48</v>
      </c>
      <c r="F4526">
        <v>20131202</v>
      </c>
      <c r="G4526" t="s">
        <v>545</v>
      </c>
      <c r="H4526" t="s">
        <v>749</v>
      </c>
      <c r="I4526" t="s">
        <v>21</v>
      </c>
    </row>
    <row r="4527" spans="1:9" x14ac:dyDescent="0.25">
      <c r="A4527">
        <v>20131205</v>
      </c>
      <c r="B4527" t="str">
        <f t="shared" si="295"/>
        <v>113141</v>
      </c>
      <c r="C4527" t="str">
        <f t="shared" si="296"/>
        <v>80825</v>
      </c>
      <c r="D4527" t="s">
        <v>747</v>
      </c>
      <c r="E4527">
        <v>133.9</v>
      </c>
      <c r="F4527">
        <v>20131202</v>
      </c>
      <c r="G4527" t="s">
        <v>545</v>
      </c>
      <c r="H4527" t="s">
        <v>749</v>
      </c>
      <c r="I4527" t="s">
        <v>21</v>
      </c>
    </row>
    <row r="4528" spans="1:9" x14ac:dyDescent="0.25">
      <c r="A4528">
        <v>20131205</v>
      </c>
      <c r="B4528" t="str">
        <f t="shared" si="295"/>
        <v>113141</v>
      </c>
      <c r="C4528" t="str">
        <f t="shared" si="296"/>
        <v>80825</v>
      </c>
      <c r="D4528" t="s">
        <v>747</v>
      </c>
      <c r="E4528">
        <v>345.9</v>
      </c>
      <c r="F4528">
        <v>20131202</v>
      </c>
      <c r="G4528" t="s">
        <v>1176</v>
      </c>
      <c r="H4528" t="s">
        <v>749</v>
      </c>
      <c r="I4528" t="s">
        <v>21</v>
      </c>
    </row>
    <row r="4529" spans="1:9" x14ac:dyDescent="0.25">
      <c r="A4529">
        <v>20131205</v>
      </c>
      <c r="B4529" t="str">
        <f t="shared" si="295"/>
        <v>113141</v>
      </c>
      <c r="C4529" t="str">
        <f t="shared" si="296"/>
        <v>80825</v>
      </c>
      <c r="D4529" t="s">
        <v>747</v>
      </c>
      <c r="E4529">
        <v>196.46</v>
      </c>
      <c r="F4529">
        <v>20131202</v>
      </c>
      <c r="G4529" t="s">
        <v>759</v>
      </c>
      <c r="H4529" t="s">
        <v>749</v>
      </c>
      <c r="I4529" t="s">
        <v>12</v>
      </c>
    </row>
    <row r="4530" spans="1:9" x14ac:dyDescent="0.25">
      <c r="A4530">
        <v>20131205</v>
      </c>
      <c r="B4530" t="str">
        <f>"113142"</f>
        <v>113142</v>
      </c>
      <c r="C4530" t="str">
        <f>"84132"</f>
        <v>84132</v>
      </c>
      <c r="D4530" t="s">
        <v>1695</v>
      </c>
      <c r="E4530">
        <v>65.7</v>
      </c>
      <c r="F4530">
        <v>20131204</v>
      </c>
      <c r="G4530" t="s">
        <v>1696</v>
      </c>
      <c r="H4530" t="s">
        <v>563</v>
      </c>
      <c r="I4530" t="s">
        <v>21</v>
      </c>
    </row>
    <row r="4531" spans="1:9" x14ac:dyDescent="0.25">
      <c r="A4531">
        <v>20131205</v>
      </c>
      <c r="B4531" t="str">
        <f>"113142"</f>
        <v>113142</v>
      </c>
      <c r="C4531" t="str">
        <f>"84132"</f>
        <v>84132</v>
      </c>
      <c r="D4531" t="s">
        <v>1695</v>
      </c>
      <c r="E4531">
        <v>232.65</v>
      </c>
      <c r="F4531">
        <v>20131204</v>
      </c>
      <c r="G4531" t="s">
        <v>986</v>
      </c>
      <c r="H4531" t="s">
        <v>365</v>
      </c>
      <c r="I4531" t="s">
        <v>21</v>
      </c>
    </row>
    <row r="4532" spans="1:9" x14ac:dyDescent="0.25">
      <c r="A4532">
        <v>20131206</v>
      </c>
      <c r="B4532" t="str">
        <f>"113143"</f>
        <v>113143</v>
      </c>
      <c r="C4532" t="str">
        <f>"02500"</f>
        <v>02500</v>
      </c>
      <c r="D4532" t="s">
        <v>1341</v>
      </c>
      <c r="E4532">
        <v>98</v>
      </c>
      <c r="F4532">
        <v>20131205</v>
      </c>
      <c r="G4532" t="s">
        <v>189</v>
      </c>
      <c r="H4532" t="s">
        <v>2583</v>
      </c>
      <c r="I4532" t="s">
        <v>25</v>
      </c>
    </row>
    <row r="4533" spans="1:9" x14ac:dyDescent="0.25">
      <c r="A4533">
        <v>20131206</v>
      </c>
      <c r="B4533" t="str">
        <f>"113144"</f>
        <v>113144</v>
      </c>
      <c r="C4533" t="str">
        <f>"00255"</f>
        <v>00255</v>
      </c>
      <c r="D4533" t="s">
        <v>489</v>
      </c>
      <c r="E4533">
        <v>38.380000000000003</v>
      </c>
      <c r="F4533">
        <v>20131205</v>
      </c>
      <c r="G4533" t="s">
        <v>490</v>
      </c>
      <c r="H4533" t="s">
        <v>488</v>
      </c>
      <c r="I4533" t="s">
        <v>21</v>
      </c>
    </row>
    <row r="4534" spans="1:9" x14ac:dyDescent="0.25">
      <c r="A4534">
        <v>20131206</v>
      </c>
      <c r="B4534" t="str">
        <f>"113144"</f>
        <v>113144</v>
      </c>
      <c r="C4534" t="str">
        <f>"00255"</f>
        <v>00255</v>
      </c>
      <c r="D4534" t="s">
        <v>489</v>
      </c>
      <c r="E4534">
        <v>317.70999999999998</v>
      </c>
      <c r="F4534">
        <v>20131205</v>
      </c>
      <c r="G4534" t="s">
        <v>492</v>
      </c>
      <c r="H4534" t="s">
        <v>488</v>
      </c>
      <c r="I4534" t="s">
        <v>21</v>
      </c>
    </row>
    <row r="4535" spans="1:9" x14ac:dyDescent="0.25">
      <c r="A4535">
        <v>20131206</v>
      </c>
      <c r="B4535" t="str">
        <f>"113144"</f>
        <v>113144</v>
      </c>
      <c r="C4535" t="str">
        <f>"00255"</f>
        <v>00255</v>
      </c>
      <c r="D4535" t="s">
        <v>489</v>
      </c>
      <c r="E4535" s="1">
        <v>1073.26</v>
      </c>
      <c r="F4535">
        <v>20131205</v>
      </c>
      <c r="G4535" t="s">
        <v>493</v>
      </c>
      <c r="H4535" t="s">
        <v>488</v>
      </c>
      <c r="I4535" t="s">
        <v>21</v>
      </c>
    </row>
    <row r="4536" spans="1:9" x14ac:dyDescent="0.25">
      <c r="A4536">
        <v>20131206</v>
      </c>
      <c r="B4536" t="str">
        <f>"113144"</f>
        <v>113144</v>
      </c>
      <c r="C4536" t="str">
        <f>"00255"</f>
        <v>00255</v>
      </c>
      <c r="D4536" t="s">
        <v>489</v>
      </c>
      <c r="E4536">
        <v>529.19000000000005</v>
      </c>
      <c r="F4536">
        <v>20131205</v>
      </c>
      <c r="G4536" t="s">
        <v>494</v>
      </c>
      <c r="H4536" t="s">
        <v>488</v>
      </c>
      <c r="I4536" t="s">
        <v>21</v>
      </c>
    </row>
    <row r="4537" spans="1:9" x14ac:dyDescent="0.25">
      <c r="A4537">
        <v>20131206</v>
      </c>
      <c r="B4537" t="str">
        <f>"113145"</f>
        <v>113145</v>
      </c>
      <c r="C4537" t="str">
        <f>"87651"</f>
        <v>87651</v>
      </c>
      <c r="D4537" t="s">
        <v>2584</v>
      </c>
      <c r="E4537">
        <v>65</v>
      </c>
      <c r="F4537">
        <v>20131205</v>
      </c>
      <c r="G4537" t="s">
        <v>2324</v>
      </c>
      <c r="H4537" t="s">
        <v>765</v>
      </c>
      <c r="I4537" t="s">
        <v>61</v>
      </c>
    </row>
    <row r="4538" spans="1:9" x14ac:dyDescent="0.25">
      <c r="A4538">
        <v>20131206</v>
      </c>
      <c r="B4538" t="str">
        <f>"113146"</f>
        <v>113146</v>
      </c>
      <c r="C4538" t="str">
        <f>"10800"</f>
        <v>10800</v>
      </c>
      <c r="D4538" t="s">
        <v>2585</v>
      </c>
      <c r="E4538">
        <v>50</v>
      </c>
      <c r="F4538">
        <v>20131205</v>
      </c>
      <c r="G4538" t="s">
        <v>1145</v>
      </c>
      <c r="H4538" t="s">
        <v>2287</v>
      </c>
      <c r="I4538" t="s">
        <v>73</v>
      </c>
    </row>
    <row r="4539" spans="1:9" x14ac:dyDescent="0.25">
      <c r="A4539">
        <v>20131206</v>
      </c>
      <c r="B4539" t="str">
        <f>"113147"</f>
        <v>113147</v>
      </c>
      <c r="C4539" t="str">
        <f>"86384"</f>
        <v>86384</v>
      </c>
      <c r="D4539" t="s">
        <v>2586</v>
      </c>
      <c r="E4539" s="1">
        <v>1707.3</v>
      </c>
      <c r="F4539">
        <v>20131205</v>
      </c>
      <c r="G4539" t="s">
        <v>734</v>
      </c>
      <c r="H4539" t="s">
        <v>2587</v>
      </c>
      <c r="I4539" t="s">
        <v>21</v>
      </c>
    </row>
    <row r="4540" spans="1:9" x14ac:dyDescent="0.25">
      <c r="A4540">
        <v>20131206</v>
      </c>
      <c r="B4540" t="str">
        <f>"113148"</f>
        <v>113148</v>
      </c>
      <c r="C4540" t="str">
        <f>"15897"</f>
        <v>15897</v>
      </c>
      <c r="D4540" t="s">
        <v>1012</v>
      </c>
      <c r="E4540">
        <v>630.23</v>
      </c>
      <c r="F4540">
        <v>20131205</v>
      </c>
      <c r="G4540" t="s">
        <v>1013</v>
      </c>
      <c r="H4540" t="s">
        <v>354</v>
      </c>
      <c r="I4540" t="s">
        <v>38</v>
      </c>
    </row>
    <row r="4541" spans="1:9" x14ac:dyDescent="0.25">
      <c r="A4541">
        <v>20131206</v>
      </c>
      <c r="B4541" t="str">
        <f>"113149"</f>
        <v>113149</v>
      </c>
      <c r="C4541" t="str">
        <f>"83876"</f>
        <v>83876</v>
      </c>
      <c r="D4541" t="s">
        <v>1211</v>
      </c>
      <c r="E4541">
        <v>59.08</v>
      </c>
      <c r="F4541">
        <v>20131205</v>
      </c>
      <c r="G4541" t="s">
        <v>473</v>
      </c>
      <c r="H4541" t="s">
        <v>414</v>
      </c>
      <c r="I4541" t="s">
        <v>21</v>
      </c>
    </row>
    <row r="4542" spans="1:9" x14ac:dyDescent="0.25">
      <c r="A4542">
        <v>20131206</v>
      </c>
      <c r="B4542" t="str">
        <f t="shared" ref="B4542:B4552" si="297">"113150"</f>
        <v>113150</v>
      </c>
      <c r="C4542" t="str">
        <f t="shared" ref="C4542:C4552" si="298">"18200"</f>
        <v>18200</v>
      </c>
      <c r="D4542" t="s">
        <v>516</v>
      </c>
      <c r="E4542">
        <v>95.52</v>
      </c>
      <c r="F4542">
        <v>20131205</v>
      </c>
      <c r="G4542" t="s">
        <v>453</v>
      </c>
      <c r="H4542" t="s">
        <v>488</v>
      </c>
      <c r="I4542" t="s">
        <v>21</v>
      </c>
    </row>
    <row r="4543" spans="1:9" x14ac:dyDescent="0.25">
      <c r="A4543">
        <v>20131206</v>
      </c>
      <c r="B4543" t="str">
        <f t="shared" si="297"/>
        <v>113150</v>
      </c>
      <c r="C4543" t="str">
        <f t="shared" si="298"/>
        <v>18200</v>
      </c>
      <c r="D4543" t="s">
        <v>516</v>
      </c>
      <c r="E4543">
        <v>457.12</v>
      </c>
      <c r="F4543">
        <v>20131205</v>
      </c>
      <c r="G4543" t="s">
        <v>455</v>
      </c>
      <c r="H4543" t="s">
        <v>488</v>
      </c>
      <c r="I4543" t="s">
        <v>21</v>
      </c>
    </row>
    <row r="4544" spans="1:9" x14ac:dyDescent="0.25">
      <c r="A4544">
        <v>20131206</v>
      </c>
      <c r="B4544" t="str">
        <f t="shared" si="297"/>
        <v>113150</v>
      </c>
      <c r="C4544" t="str">
        <f t="shared" si="298"/>
        <v>18200</v>
      </c>
      <c r="D4544" t="s">
        <v>516</v>
      </c>
      <c r="E4544" s="1">
        <v>1004.44</v>
      </c>
      <c r="F4544">
        <v>20131205</v>
      </c>
      <c r="G4544" t="s">
        <v>455</v>
      </c>
      <c r="H4544" t="s">
        <v>488</v>
      </c>
      <c r="I4544" t="s">
        <v>21</v>
      </c>
    </row>
    <row r="4545" spans="1:9" x14ac:dyDescent="0.25">
      <c r="A4545">
        <v>20131206</v>
      </c>
      <c r="B4545" t="str">
        <f t="shared" si="297"/>
        <v>113150</v>
      </c>
      <c r="C4545" t="str">
        <f t="shared" si="298"/>
        <v>18200</v>
      </c>
      <c r="D4545" t="s">
        <v>516</v>
      </c>
      <c r="E4545">
        <v>77.39</v>
      </c>
      <c r="F4545">
        <v>20131205</v>
      </c>
      <c r="G4545" t="s">
        <v>455</v>
      </c>
      <c r="H4545" t="s">
        <v>488</v>
      </c>
      <c r="I4545" t="s">
        <v>21</v>
      </c>
    </row>
    <row r="4546" spans="1:9" x14ac:dyDescent="0.25">
      <c r="A4546">
        <v>20131206</v>
      </c>
      <c r="B4546" t="str">
        <f t="shared" si="297"/>
        <v>113150</v>
      </c>
      <c r="C4546" t="str">
        <f t="shared" si="298"/>
        <v>18200</v>
      </c>
      <c r="D4546" t="s">
        <v>516</v>
      </c>
      <c r="E4546" s="1">
        <v>1358.55</v>
      </c>
      <c r="F4546">
        <v>20131205</v>
      </c>
      <c r="G4546" t="s">
        <v>459</v>
      </c>
      <c r="H4546" t="s">
        <v>488</v>
      </c>
      <c r="I4546" t="s">
        <v>21</v>
      </c>
    </row>
    <row r="4547" spans="1:9" x14ac:dyDescent="0.25">
      <c r="A4547">
        <v>20131206</v>
      </c>
      <c r="B4547" t="str">
        <f t="shared" si="297"/>
        <v>113150</v>
      </c>
      <c r="C4547" t="str">
        <f t="shared" si="298"/>
        <v>18200</v>
      </c>
      <c r="D4547" t="s">
        <v>516</v>
      </c>
      <c r="E4547">
        <v>563.62</v>
      </c>
      <c r="F4547">
        <v>20131205</v>
      </c>
      <c r="G4547" t="s">
        <v>462</v>
      </c>
      <c r="H4547" t="s">
        <v>488</v>
      </c>
      <c r="I4547" t="s">
        <v>21</v>
      </c>
    </row>
    <row r="4548" spans="1:9" x14ac:dyDescent="0.25">
      <c r="A4548">
        <v>20131206</v>
      </c>
      <c r="B4548" t="str">
        <f t="shared" si="297"/>
        <v>113150</v>
      </c>
      <c r="C4548" t="str">
        <f t="shared" si="298"/>
        <v>18200</v>
      </c>
      <c r="D4548" t="s">
        <v>516</v>
      </c>
      <c r="E4548">
        <v>688.62</v>
      </c>
      <c r="F4548">
        <v>20131205</v>
      </c>
      <c r="G4548" t="s">
        <v>465</v>
      </c>
      <c r="H4548" t="s">
        <v>488</v>
      </c>
      <c r="I4548" t="s">
        <v>21</v>
      </c>
    </row>
    <row r="4549" spans="1:9" x14ac:dyDescent="0.25">
      <c r="A4549">
        <v>20131206</v>
      </c>
      <c r="B4549" t="str">
        <f t="shared" si="297"/>
        <v>113150</v>
      </c>
      <c r="C4549" t="str">
        <f t="shared" si="298"/>
        <v>18200</v>
      </c>
      <c r="D4549" t="s">
        <v>516</v>
      </c>
      <c r="E4549">
        <v>84.12</v>
      </c>
      <c r="F4549">
        <v>20131205</v>
      </c>
      <c r="G4549" t="s">
        <v>466</v>
      </c>
      <c r="H4549" t="s">
        <v>488</v>
      </c>
      <c r="I4549" t="s">
        <v>21</v>
      </c>
    </row>
    <row r="4550" spans="1:9" x14ac:dyDescent="0.25">
      <c r="A4550">
        <v>20131206</v>
      </c>
      <c r="B4550" t="str">
        <f t="shared" si="297"/>
        <v>113150</v>
      </c>
      <c r="C4550" t="str">
        <f t="shared" si="298"/>
        <v>18200</v>
      </c>
      <c r="D4550" t="s">
        <v>516</v>
      </c>
      <c r="E4550" s="1">
        <v>1144.25</v>
      </c>
      <c r="F4550">
        <v>20131205</v>
      </c>
      <c r="G4550" t="s">
        <v>466</v>
      </c>
      <c r="H4550" t="s">
        <v>488</v>
      </c>
      <c r="I4550" t="s">
        <v>21</v>
      </c>
    </row>
    <row r="4551" spans="1:9" x14ac:dyDescent="0.25">
      <c r="A4551">
        <v>20131206</v>
      </c>
      <c r="B4551" t="str">
        <f t="shared" si="297"/>
        <v>113150</v>
      </c>
      <c r="C4551" t="str">
        <f t="shared" si="298"/>
        <v>18200</v>
      </c>
      <c r="D4551" t="s">
        <v>516</v>
      </c>
      <c r="E4551">
        <v>647.85</v>
      </c>
      <c r="F4551">
        <v>20131205</v>
      </c>
      <c r="G4551" t="s">
        <v>466</v>
      </c>
      <c r="H4551" t="s">
        <v>488</v>
      </c>
      <c r="I4551" t="s">
        <v>21</v>
      </c>
    </row>
    <row r="4552" spans="1:9" x14ac:dyDescent="0.25">
      <c r="A4552">
        <v>20131206</v>
      </c>
      <c r="B4552" t="str">
        <f t="shared" si="297"/>
        <v>113150</v>
      </c>
      <c r="C4552" t="str">
        <f t="shared" si="298"/>
        <v>18200</v>
      </c>
      <c r="D4552" t="s">
        <v>516</v>
      </c>
      <c r="E4552">
        <v>47</v>
      </c>
      <c r="F4552">
        <v>20131205</v>
      </c>
      <c r="G4552" t="s">
        <v>467</v>
      </c>
      <c r="H4552" t="s">
        <v>488</v>
      </c>
      <c r="I4552" t="s">
        <v>21</v>
      </c>
    </row>
    <row r="4553" spans="1:9" x14ac:dyDescent="0.25">
      <c r="A4553">
        <v>20131206</v>
      </c>
      <c r="B4553" t="str">
        <f>"113151"</f>
        <v>113151</v>
      </c>
      <c r="C4553" t="str">
        <f>"87198"</f>
        <v>87198</v>
      </c>
      <c r="D4553" t="s">
        <v>2588</v>
      </c>
      <c r="E4553">
        <v>120</v>
      </c>
      <c r="F4553">
        <v>20131205</v>
      </c>
      <c r="G4553" t="s">
        <v>2324</v>
      </c>
      <c r="H4553" t="s">
        <v>765</v>
      </c>
      <c r="I4553" t="s">
        <v>61</v>
      </c>
    </row>
    <row r="4554" spans="1:9" x14ac:dyDescent="0.25">
      <c r="A4554">
        <v>20131206</v>
      </c>
      <c r="B4554" t="str">
        <f>"113152"</f>
        <v>113152</v>
      </c>
      <c r="C4554" t="str">
        <f>"20265"</f>
        <v>20265</v>
      </c>
      <c r="D4554" t="s">
        <v>1389</v>
      </c>
      <c r="E4554">
        <v>813</v>
      </c>
      <c r="F4554">
        <v>20131205</v>
      </c>
      <c r="G4554" t="s">
        <v>633</v>
      </c>
      <c r="H4554" t="s">
        <v>2589</v>
      </c>
      <c r="I4554" t="s">
        <v>21</v>
      </c>
    </row>
    <row r="4555" spans="1:9" x14ac:dyDescent="0.25">
      <c r="A4555">
        <v>20131206</v>
      </c>
      <c r="B4555" t="str">
        <f>"113153"</f>
        <v>113153</v>
      </c>
      <c r="C4555" t="str">
        <f>"82613"</f>
        <v>82613</v>
      </c>
      <c r="D4555" t="s">
        <v>546</v>
      </c>
      <c r="E4555">
        <v>198</v>
      </c>
      <c r="F4555">
        <v>20131205</v>
      </c>
      <c r="G4555" t="s">
        <v>337</v>
      </c>
      <c r="H4555" t="s">
        <v>547</v>
      </c>
      <c r="I4555" t="s">
        <v>21</v>
      </c>
    </row>
    <row r="4556" spans="1:9" x14ac:dyDescent="0.25">
      <c r="A4556">
        <v>20131206</v>
      </c>
      <c r="B4556" t="str">
        <f>"113154"</f>
        <v>113154</v>
      </c>
      <c r="C4556" t="str">
        <f>"27962"</f>
        <v>27962</v>
      </c>
      <c r="D4556" t="s">
        <v>823</v>
      </c>
      <c r="E4556">
        <v>538</v>
      </c>
      <c r="F4556">
        <v>20131205</v>
      </c>
      <c r="G4556" t="s">
        <v>392</v>
      </c>
      <c r="H4556" t="s">
        <v>414</v>
      </c>
      <c r="I4556" t="s">
        <v>21</v>
      </c>
    </row>
    <row r="4557" spans="1:9" x14ac:dyDescent="0.25">
      <c r="A4557">
        <v>20131206</v>
      </c>
      <c r="B4557" t="str">
        <f>"113155"</f>
        <v>113155</v>
      </c>
      <c r="C4557" t="str">
        <f>"87138"</f>
        <v>87138</v>
      </c>
      <c r="D4557" t="s">
        <v>2590</v>
      </c>
      <c r="E4557">
        <v>150</v>
      </c>
      <c r="F4557">
        <v>20131205</v>
      </c>
      <c r="G4557" t="s">
        <v>2591</v>
      </c>
      <c r="H4557" t="s">
        <v>2592</v>
      </c>
      <c r="I4557" t="s">
        <v>21</v>
      </c>
    </row>
    <row r="4558" spans="1:9" x14ac:dyDescent="0.25">
      <c r="A4558">
        <v>20131206</v>
      </c>
      <c r="B4558" t="str">
        <f>"113155"</f>
        <v>113155</v>
      </c>
      <c r="C4558" t="str">
        <f>"87138"</f>
        <v>87138</v>
      </c>
      <c r="D4558" t="s">
        <v>2590</v>
      </c>
      <c r="E4558">
        <v>-150</v>
      </c>
      <c r="F4558">
        <v>20131218</v>
      </c>
      <c r="G4558" t="s">
        <v>2591</v>
      </c>
      <c r="H4558" t="s">
        <v>2593</v>
      </c>
      <c r="I4558" t="s">
        <v>21</v>
      </c>
    </row>
    <row r="4559" spans="1:9" x14ac:dyDescent="0.25">
      <c r="A4559">
        <v>20131206</v>
      </c>
      <c r="B4559" t="str">
        <f>"113156"</f>
        <v>113156</v>
      </c>
      <c r="C4559" t="str">
        <f>"87200"</f>
        <v>87200</v>
      </c>
      <c r="D4559" t="s">
        <v>2594</v>
      </c>
      <c r="E4559">
        <v>65</v>
      </c>
      <c r="F4559">
        <v>20131205</v>
      </c>
      <c r="G4559" t="s">
        <v>2324</v>
      </c>
      <c r="H4559" t="s">
        <v>765</v>
      </c>
      <c r="I4559" t="s">
        <v>61</v>
      </c>
    </row>
    <row r="4560" spans="1:9" x14ac:dyDescent="0.25">
      <c r="A4560">
        <v>20131206</v>
      </c>
      <c r="B4560" t="str">
        <f>"113157"</f>
        <v>113157</v>
      </c>
      <c r="C4560" t="str">
        <f>"81072"</f>
        <v>81072</v>
      </c>
      <c r="D4560" t="s">
        <v>598</v>
      </c>
      <c r="E4560" s="1">
        <v>1700</v>
      </c>
      <c r="F4560">
        <v>20131205</v>
      </c>
      <c r="G4560" t="s">
        <v>746</v>
      </c>
      <c r="H4560" t="s">
        <v>555</v>
      </c>
      <c r="I4560" t="s">
        <v>21</v>
      </c>
    </row>
    <row r="4561" spans="1:9" x14ac:dyDescent="0.25">
      <c r="A4561">
        <v>20131206</v>
      </c>
      <c r="B4561" t="str">
        <f>"113158"</f>
        <v>113158</v>
      </c>
      <c r="C4561" t="str">
        <f>"83005"</f>
        <v>83005</v>
      </c>
      <c r="D4561" t="s">
        <v>1608</v>
      </c>
      <c r="E4561">
        <v>609.65</v>
      </c>
      <c r="F4561">
        <v>20131205</v>
      </c>
      <c r="G4561" t="s">
        <v>413</v>
      </c>
      <c r="H4561" t="s">
        <v>2595</v>
      </c>
      <c r="I4561" t="s">
        <v>21</v>
      </c>
    </row>
    <row r="4562" spans="1:9" x14ac:dyDescent="0.25">
      <c r="A4562">
        <v>20131206</v>
      </c>
      <c r="B4562" t="str">
        <f>"113159"</f>
        <v>113159</v>
      </c>
      <c r="C4562" t="str">
        <f>"36909"</f>
        <v>36909</v>
      </c>
      <c r="D4562" t="s">
        <v>2208</v>
      </c>
      <c r="E4562">
        <v>72.8</v>
      </c>
      <c r="F4562">
        <v>20131205</v>
      </c>
      <c r="G4562" t="s">
        <v>392</v>
      </c>
      <c r="H4562" t="s">
        <v>2209</v>
      </c>
      <c r="I4562" t="s">
        <v>21</v>
      </c>
    </row>
    <row r="4563" spans="1:9" x14ac:dyDescent="0.25">
      <c r="A4563">
        <v>20131206</v>
      </c>
      <c r="B4563" t="str">
        <f>"113160"</f>
        <v>113160</v>
      </c>
      <c r="C4563" t="str">
        <f>"87652"</f>
        <v>87652</v>
      </c>
      <c r="D4563" t="s">
        <v>2596</v>
      </c>
      <c r="E4563">
        <v>120</v>
      </c>
      <c r="F4563">
        <v>20131205</v>
      </c>
      <c r="G4563" t="s">
        <v>2324</v>
      </c>
      <c r="H4563" t="s">
        <v>765</v>
      </c>
      <c r="I4563" t="s">
        <v>61</v>
      </c>
    </row>
    <row r="4564" spans="1:9" x14ac:dyDescent="0.25">
      <c r="A4564">
        <v>20131206</v>
      </c>
      <c r="B4564" t="str">
        <f>"113161"</f>
        <v>113161</v>
      </c>
      <c r="C4564" t="str">
        <f>"87218"</f>
        <v>87218</v>
      </c>
      <c r="D4564" t="s">
        <v>2597</v>
      </c>
      <c r="E4564">
        <v>120</v>
      </c>
      <c r="F4564">
        <v>20131205</v>
      </c>
      <c r="G4564" t="s">
        <v>2324</v>
      </c>
      <c r="H4564" t="s">
        <v>765</v>
      </c>
      <c r="I4564" t="s">
        <v>61</v>
      </c>
    </row>
    <row r="4565" spans="1:9" x14ac:dyDescent="0.25">
      <c r="A4565">
        <v>20131206</v>
      </c>
      <c r="B4565" t="str">
        <f>"113162"</f>
        <v>113162</v>
      </c>
      <c r="C4565" t="str">
        <f>"86767"</f>
        <v>86767</v>
      </c>
      <c r="D4565" t="s">
        <v>1458</v>
      </c>
      <c r="E4565">
        <v>35.92</v>
      </c>
      <c r="F4565">
        <v>20131205</v>
      </c>
      <c r="G4565" t="s">
        <v>601</v>
      </c>
      <c r="H4565" t="s">
        <v>365</v>
      </c>
      <c r="I4565" t="s">
        <v>21</v>
      </c>
    </row>
    <row r="4566" spans="1:9" x14ac:dyDescent="0.25">
      <c r="A4566">
        <v>20131206</v>
      </c>
      <c r="B4566" t="str">
        <f>"113163"</f>
        <v>113163</v>
      </c>
      <c r="C4566" t="str">
        <f>"87649"</f>
        <v>87649</v>
      </c>
      <c r="D4566" t="s">
        <v>2598</v>
      </c>
      <c r="E4566">
        <v>450</v>
      </c>
      <c r="F4566">
        <v>20131205</v>
      </c>
      <c r="G4566" t="s">
        <v>2599</v>
      </c>
      <c r="H4566" t="s">
        <v>1410</v>
      </c>
      <c r="I4566" t="s">
        <v>21</v>
      </c>
    </row>
    <row r="4567" spans="1:9" x14ac:dyDescent="0.25">
      <c r="A4567">
        <v>20131206</v>
      </c>
      <c r="B4567" t="str">
        <f t="shared" ref="B4567:B4572" si="299">"113164"</f>
        <v>113164</v>
      </c>
      <c r="C4567" t="str">
        <f t="shared" ref="C4567:C4572" si="300">"45605"</f>
        <v>45605</v>
      </c>
      <c r="D4567" t="s">
        <v>1474</v>
      </c>
      <c r="E4567">
        <v>55.93</v>
      </c>
      <c r="F4567">
        <v>20131205</v>
      </c>
      <c r="G4567" t="s">
        <v>413</v>
      </c>
      <c r="H4567" t="s">
        <v>414</v>
      </c>
      <c r="I4567" t="s">
        <v>21</v>
      </c>
    </row>
    <row r="4568" spans="1:9" x14ac:dyDescent="0.25">
      <c r="A4568">
        <v>20131206</v>
      </c>
      <c r="B4568" t="str">
        <f t="shared" si="299"/>
        <v>113164</v>
      </c>
      <c r="C4568" t="str">
        <f t="shared" si="300"/>
        <v>45605</v>
      </c>
      <c r="D4568" t="s">
        <v>1474</v>
      </c>
      <c r="E4568">
        <v>16.48</v>
      </c>
      <c r="F4568">
        <v>20131205</v>
      </c>
      <c r="G4568" t="s">
        <v>630</v>
      </c>
      <c r="H4568" t="s">
        <v>414</v>
      </c>
      <c r="I4568" t="s">
        <v>21</v>
      </c>
    </row>
    <row r="4569" spans="1:9" x14ac:dyDescent="0.25">
      <c r="A4569">
        <v>20131206</v>
      </c>
      <c r="B4569" t="str">
        <f t="shared" si="299"/>
        <v>113164</v>
      </c>
      <c r="C4569" t="str">
        <f t="shared" si="300"/>
        <v>45605</v>
      </c>
      <c r="D4569" t="s">
        <v>1474</v>
      </c>
      <c r="E4569">
        <v>167.72</v>
      </c>
      <c r="F4569">
        <v>20131205</v>
      </c>
      <c r="G4569" t="s">
        <v>630</v>
      </c>
      <c r="H4569" t="s">
        <v>414</v>
      </c>
      <c r="I4569" t="s">
        <v>21</v>
      </c>
    </row>
    <row r="4570" spans="1:9" x14ac:dyDescent="0.25">
      <c r="A4570">
        <v>20131206</v>
      </c>
      <c r="B4570" t="str">
        <f t="shared" si="299"/>
        <v>113164</v>
      </c>
      <c r="C4570" t="str">
        <f t="shared" si="300"/>
        <v>45605</v>
      </c>
      <c r="D4570" t="s">
        <v>1474</v>
      </c>
      <c r="E4570">
        <v>197.85</v>
      </c>
      <c r="F4570">
        <v>20131205</v>
      </c>
      <c r="G4570" t="s">
        <v>630</v>
      </c>
      <c r="H4570" t="s">
        <v>414</v>
      </c>
      <c r="I4570" t="s">
        <v>21</v>
      </c>
    </row>
    <row r="4571" spans="1:9" x14ac:dyDescent="0.25">
      <c r="A4571">
        <v>20131206</v>
      </c>
      <c r="B4571" t="str">
        <f t="shared" si="299"/>
        <v>113164</v>
      </c>
      <c r="C4571" t="str">
        <f t="shared" si="300"/>
        <v>45605</v>
      </c>
      <c r="D4571" t="s">
        <v>1474</v>
      </c>
      <c r="E4571">
        <v>-197.85</v>
      </c>
      <c r="F4571">
        <v>20131206</v>
      </c>
      <c r="G4571" t="s">
        <v>630</v>
      </c>
      <c r="H4571" t="s">
        <v>414</v>
      </c>
      <c r="I4571" t="s">
        <v>21</v>
      </c>
    </row>
    <row r="4572" spans="1:9" x14ac:dyDescent="0.25">
      <c r="A4572">
        <v>20131206</v>
      </c>
      <c r="B4572" t="str">
        <f t="shared" si="299"/>
        <v>113164</v>
      </c>
      <c r="C4572" t="str">
        <f t="shared" si="300"/>
        <v>45605</v>
      </c>
      <c r="D4572" t="s">
        <v>1474</v>
      </c>
      <c r="E4572">
        <v>75.989999999999995</v>
      </c>
      <c r="F4572">
        <v>20131205</v>
      </c>
      <c r="G4572" t="s">
        <v>392</v>
      </c>
      <c r="H4572" t="s">
        <v>414</v>
      </c>
      <c r="I4572" t="s">
        <v>21</v>
      </c>
    </row>
    <row r="4573" spans="1:9" x14ac:dyDescent="0.25">
      <c r="A4573">
        <v>20131206</v>
      </c>
      <c r="B4573" t="str">
        <f>"113165"</f>
        <v>113165</v>
      </c>
      <c r="C4573" t="str">
        <f>"82192"</f>
        <v>82192</v>
      </c>
      <c r="D4573" t="s">
        <v>642</v>
      </c>
      <c r="E4573" s="1">
        <v>5836</v>
      </c>
      <c r="F4573">
        <v>20131205</v>
      </c>
      <c r="G4573" t="s">
        <v>643</v>
      </c>
      <c r="H4573" t="s">
        <v>488</v>
      </c>
      <c r="I4573" t="s">
        <v>21</v>
      </c>
    </row>
    <row r="4574" spans="1:9" x14ac:dyDescent="0.25">
      <c r="A4574">
        <v>20131206</v>
      </c>
      <c r="B4574" t="str">
        <f>"113166"</f>
        <v>113166</v>
      </c>
      <c r="C4574" t="str">
        <f>"53300"</f>
        <v>53300</v>
      </c>
      <c r="D4574" t="s">
        <v>1491</v>
      </c>
      <c r="E4574">
        <v>122.5</v>
      </c>
      <c r="F4574">
        <v>20131205</v>
      </c>
      <c r="G4574" t="s">
        <v>413</v>
      </c>
      <c r="H4574" t="s">
        <v>414</v>
      </c>
      <c r="I4574" t="s">
        <v>21</v>
      </c>
    </row>
    <row r="4575" spans="1:9" x14ac:dyDescent="0.25">
      <c r="A4575">
        <v>20131206</v>
      </c>
      <c r="B4575" t="str">
        <f>"113166"</f>
        <v>113166</v>
      </c>
      <c r="C4575" t="str">
        <f>"53300"</f>
        <v>53300</v>
      </c>
      <c r="D4575" t="s">
        <v>1491</v>
      </c>
      <c r="E4575">
        <v>4.08</v>
      </c>
      <c r="F4575">
        <v>20131205</v>
      </c>
      <c r="G4575" t="s">
        <v>627</v>
      </c>
      <c r="H4575" t="s">
        <v>414</v>
      </c>
      <c r="I4575" t="s">
        <v>21</v>
      </c>
    </row>
    <row r="4576" spans="1:9" x14ac:dyDescent="0.25">
      <c r="A4576">
        <v>20131206</v>
      </c>
      <c r="B4576" t="str">
        <f>"113166"</f>
        <v>113166</v>
      </c>
      <c r="C4576" t="str">
        <f>"53300"</f>
        <v>53300</v>
      </c>
      <c r="D4576" t="s">
        <v>1491</v>
      </c>
      <c r="E4576">
        <v>1.29</v>
      </c>
      <c r="F4576">
        <v>20131205</v>
      </c>
      <c r="G4576" t="s">
        <v>629</v>
      </c>
      <c r="H4576" t="s">
        <v>414</v>
      </c>
      <c r="I4576" t="s">
        <v>21</v>
      </c>
    </row>
    <row r="4577" spans="1:9" x14ac:dyDescent="0.25">
      <c r="A4577">
        <v>20131206</v>
      </c>
      <c r="B4577" t="str">
        <f>"113166"</f>
        <v>113166</v>
      </c>
      <c r="C4577" t="str">
        <f>"53300"</f>
        <v>53300</v>
      </c>
      <c r="D4577" t="s">
        <v>1491</v>
      </c>
      <c r="E4577">
        <v>34.36</v>
      </c>
      <c r="F4577">
        <v>20131205</v>
      </c>
      <c r="G4577" t="s">
        <v>1224</v>
      </c>
      <c r="H4577" t="s">
        <v>414</v>
      </c>
      <c r="I4577" t="s">
        <v>21</v>
      </c>
    </row>
    <row r="4578" spans="1:9" x14ac:dyDescent="0.25">
      <c r="A4578">
        <v>20131206</v>
      </c>
      <c r="B4578" t="str">
        <f>"113167"</f>
        <v>113167</v>
      </c>
      <c r="C4578" t="str">
        <f>"58675"</f>
        <v>58675</v>
      </c>
      <c r="D4578" t="s">
        <v>657</v>
      </c>
      <c r="E4578" s="1">
        <v>1021.64</v>
      </c>
      <c r="F4578">
        <v>20131205</v>
      </c>
      <c r="G4578" t="s">
        <v>498</v>
      </c>
      <c r="H4578" t="s">
        <v>499</v>
      </c>
      <c r="I4578" t="s">
        <v>21</v>
      </c>
    </row>
    <row r="4579" spans="1:9" x14ac:dyDescent="0.25">
      <c r="A4579">
        <v>20131206</v>
      </c>
      <c r="B4579" t="str">
        <f>"113168"</f>
        <v>113168</v>
      </c>
      <c r="C4579" t="str">
        <f>"84597"</f>
        <v>84597</v>
      </c>
      <c r="D4579" t="s">
        <v>1508</v>
      </c>
      <c r="E4579">
        <v>271.73</v>
      </c>
      <c r="F4579">
        <v>20131205</v>
      </c>
      <c r="G4579" t="s">
        <v>340</v>
      </c>
      <c r="H4579" t="s">
        <v>525</v>
      </c>
      <c r="I4579" t="s">
        <v>21</v>
      </c>
    </row>
    <row r="4580" spans="1:9" x14ac:dyDescent="0.25">
      <c r="A4580">
        <v>20131206</v>
      </c>
      <c r="B4580" t="str">
        <f>"113168"</f>
        <v>113168</v>
      </c>
      <c r="C4580" t="str">
        <f>"84597"</f>
        <v>84597</v>
      </c>
      <c r="D4580" t="s">
        <v>1508</v>
      </c>
      <c r="E4580">
        <v>313.19</v>
      </c>
      <c r="F4580">
        <v>20131205</v>
      </c>
      <c r="G4580" t="s">
        <v>498</v>
      </c>
      <c r="H4580" t="s">
        <v>499</v>
      </c>
      <c r="I4580" t="s">
        <v>21</v>
      </c>
    </row>
    <row r="4581" spans="1:9" x14ac:dyDescent="0.25">
      <c r="A4581">
        <v>20131206</v>
      </c>
      <c r="B4581" t="str">
        <f>"113168"</f>
        <v>113168</v>
      </c>
      <c r="C4581" t="str">
        <f>"84597"</f>
        <v>84597</v>
      </c>
      <c r="D4581" t="s">
        <v>1508</v>
      </c>
      <c r="E4581">
        <v>33</v>
      </c>
      <c r="F4581">
        <v>20131205</v>
      </c>
      <c r="G4581" t="s">
        <v>498</v>
      </c>
      <c r="H4581" t="s">
        <v>499</v>
      </c>
      <c r="I4581" t="s">
        <v>21</v>
      </c>
    </row>
    <row r="4582" spans="1:9" x14ac:dyDescent="0.25">
      <c r="A4582">
        <v>20131206</v>
      </c>
      <c r="B4582" t="str">
        <f>"113168"</f>
        <v>113168</v>
      </c>
      <c r="C4582" t="str">
        <f>"84597"</f>
        <v>84597</v>
      </c>
      <c r="D4582" t="s">
        <v>1508</v>
      </c>
      <c r="E4582">
        <v>192</v>
      </c>
      <c r="F4582">
        <v>20131205</v>
      </c>
      <c r="G4582" t="s">
        <v>498</v>
      </c>
      <c r="H4582" t="s">
        <v>499</v>
      </c>
      <c r="I4582" t="s">
        <v>21</v>
      </c>
    </row>
    <row r="4583" spans="1:9" x14ac:dyDescent="0.25">
      <c r="A4583">
        <v>20131206</v>
      </c>
      <c r="B4583" t="str">
        <f>"113169"</f>
        <v>113169</v>
      </c>
      <c r="C4583" t="str">
        <f>"62451"</f>
        <v>62451</v>
      </c>
      <c r="D4583" t="s">
        <v>1797</v>
      </c>
      <c r="E4583" s="1">
        <v>4316.43</v>
      </c>
      <c r="F4583">
        <v>20131205</v>
      </c>
      <c r="G4583" t="s">
        <v>214</v>
      </c>
      <c r="H4583" t="s">
        <v>1798</v>
      </c>
      <c r="I4583" t="s">
        <v>38</v>
      </c>
    </row>
    <row r="4584" spans="1:9" x14ac:dyDescent="0.25">
      <c r="A4584">
        <v>20131206</v>
      </c>
      <c r="B4584" t="str">
        <f>"113170"</f>
        <v>113170</v>
      </c>
      <c r="C4584" t="str">
        <f>"86636"</f>
        <v>86636</v>
      </c>
      <c r="D4584" t="s">
        <v>2600</v>
      </c>
      <c r="E4584">
        <v>150</v>
      </c>
      <c r="F4584">
        <v>20131205</v>
      </c>
      <c r="G4584" t="s">
        <v>2591</v>
      </c>
      <c r="H4584" t="s">
        <v>2592</v>
      </c>
      <c r="I4584" t="s">
        <v>21</v>
      </c>
    </row>
    <row r="4585" spans="1:9" x14ac:dyDescent="0.25">
      <c r="A4585">
        <v>20131206</v>
      </c>
      <c r="B4585" t="str">
        <f>"113171"</f>
        <v>113171</v>
      </c>
      <c r="C4585" t="str">
        <f>"87650"</f>
        <v>87650</v>
      </c>
      <c r="D4585" t="s">
        <v>2601</v>
      </c>
      <c r="E4585" s="1">
        <v>1119.58</v>
      </c>
      <c r="F4585">
        <v>20131205</v>
      </c>
      <c r="G4585" t="s">
        <v>159</v>
      </c>
      <c r="H4585" t="s">
        <v>2602</v>
      </c>
      <c r="I4585" t="s">
        <v>25</v>
      </c>
    </row>
    <row r="4586" spans="1:9" x14ac:dyDescent="0.25">
      <c r="A4586">
        <v>20131206</v>
      </c>
      <c r="B4586" t="str">
        <f>"113172"</f>
        <v>113172</v>
      </c>
      <c r="C4586" t="str">
        <f>"68960"</f>
        <v>68960</v>
      </c>
      <c r="D4586" t="s">
        <v>689</v>
      </c>
      <c r="E4586">
        <v>5.7</v>
      </c>
      <c r="F4586">
        <v>20131205</v>
      </c>
      <c r="G4586" t="s">
        <v>356</v>
      </c>
      <c r="H4586" t="s">
        <v>357</v>
      </c>
      <c r="I4586" t="s">
        <v>61</v>
      </c>
    </row>
    <row r="4587" spans="1:9" x14ac:dyDescent="0.25">
      <c r="A4587">
        <v>20131206</v>
      </c>
      <c r="B4587" t="str">
        <f>"113173"</f>
        <v>113173</v>
      </c>
      <c r="C4587" t="str">
        <f>"00079"</f>
        <v>00079</v>
      </c>
      <c r="D4587" t="s">
        <v>2407</v>
      </c>
      <c r="E4587">
        <v>30</v>
      </c>
      <c r="F4587">
        <v>20131205</v>
      </c>
      <c r="G4587" t="s">
        <v>1153</v>
      </c>
      <c r="H4587" t="s">
        <v>388</v>
      </c>
      <c r="I4587" t="s">
        <v>61</v>
      </c>
    </row>
    <row r="4588" spans="1:9" x14ac:dyDescent="0.25">
      <c r="A4588">
        <v>20131206</v>
      </c>
      <c r="B4588" t="str">
        <f>"113174"</f>
        <v>113174</v>
      </c>
      <c r="C4588" t="str">
        <f>"69331"</f>
        <v>69331</v>
      </c>
      <c r="D4588" t="s">
        <v>383</v>
      </c>
      <c r="E4588" s="1">
        <v>8636.6</v>
      </c>
      <c r="F4588">
        <v>20131205</v>
      </c>
      <c r="G4588" t="s">
        <v>367</v>
      </c>
      <c r="H4588" t="s">
        <v>2603</v>
      </c>
      <c r="I4588" t="s">
        <v>21</v>
      </c>
    </row>
    <row r="4589" spans="1:9" x14ac:dyDescent="0.25">
      <c r="A4589">
        <v>20131206</v>
      </c>
      <c r="B4589" t="str">
        <f>"113175"</f>
        <v>113175</v>
      </c>
      <c r="C4589" t="str">
        <f>"87618"</f>
        <v>87618</v>
      </c>
      <c r="D4589" t="s">
        <v>2604</v>
      </c>
      <c r="E4589">
        <v>207.5</v>
      </c>
      <c r="F4589">
        <v>20131205</v>
      </c>
      <c r="G4589" t="s">
        <v>1672</v>
      </c>
      <c r="H4589" t="s">
        <v>2605</v>
      </c>
      <c r="I4589" t="s">
        <v>21</v>
      </c>
    </row>
    <row r="4590" spans="1:9" x14ac:dyDescent="0.25">
      <c r="A4590">
        <v>20131206</v>
      </c>
      <c r="B4590" t="str">
        <f>"113176"</f>
        <v>113176</v>
      </c>
      <c r="C4590" t="str">
        <f>"75600"</f>
        <v>75600</v>
      </c>
      <c r="D4590" t="s">
        <v>714</v>
      </c>
      <c r="E4590">
        <v>148.36000000000001</v>
      </c>
      <c r="F4590">
        <v>20131205</v>
      </c>
      <c r="G4590" t="s">
        <v>498</v>
      </c>
      <c r="H4590" t="s">
        <v>1090</v>
      </c>
      <c r="I4590" t="s">
        <v>21</v>
      </c>
    </row>
    <row r="4591" spans="1:9" x14ac:dyDescent="0.25">
      <c r="A4591">
        <v>20131206</v>
      </c>
      <c r="B4591" t="str">
        <f>"113177"</f>
        <v>113177</v>
      </c>
      <c r="C4591" t="str">
        <f>"76690"</f>
        <v>76690</v>
      </c>
      <c r="D4591" t="s">
        <v>1544</v>
      </c>
      <c r="E4591">
        <v>562.16</v>
      </c>
      <c r="F4591">
        <v>20131205</v>
      </c>
      <c r="G4591" t="s">
        <v>413</v>
      </c>
      <c r="H4591" t="s">
        <v>1546</v>
      </c>
      <c r="I4591" t="s">
        <v>21</v>
      </c>
    </row>
    <row r="4592" spans="1:9" x14ac:dyDescent="0.25">
      <c r="A4592">
        <v>20131206</v>
      </c>
      <c r="B4592" t="str">
        <f>"113178"</f>
        <v>113178</v>
      </c>
      <c r="C4592" t="str">
        <f>"87139"</f>
        <v>87139</v>
      </c>
      <c r="D4592" t="s">
        <v>2606</v>
      </c>
      <c r="E4592">
        <v>150</v>
      </c>
      <c r="F4592">
        <v>20131205</v>
      </c>
      <c r="G4592" t="s">
        <v>2591</v>
      </c>
      <c r="H4592" t="s">
        <v>2592</v>
      </c>
      <c r="I4592" t="s">
        <v>21</v>
      </c>
    </row>
    <row r="4593" spans="1:9" x14ac:dyDescent="0.25">
      <c r="A4593">
        <v>20131206</v>
      </c>
      <c r="B4593" t="str">
        <f>"113179"</f>
        <v>113179</v>
      </c>
      <c r="C4593" t="str">
        <f>"76915"</f>
        <v>76915</v>
      </c>
      <c r="D4593" t="s">
        <v>1324</v>
      </c>
      <c r="E4593">
        <v>125</v>
      </c>
      <c r="F4593">
        <v>20131205</v>
      </c>
      <c r="G4593" t="s">
        <v>413</v>
      </c>
      <c r="H4593" t="s">
        <v>414</v>
      </c>
      <c r="I4593" t="s">
        <v>21</v>
      </c>
    </row>
    <row r="4594" spans="1:9" x14ac:dyDescent="0.25">
      <c r="A4594">
        <v>20131206</v>
      </c>
      <c r="B4594" t="str">
        <f>"113179"</f>
        <v>113179</v>
      </c>
      <c r="C4594" t="str">
        <f>"76915"</f>
        <v>76915</v>
      </c>
      <c r="D4594" t="s">
        <v>1324</v>
      </c>
      <c r="E4594">
        <v>25.65</v>
      </c>
      <c r="F4594">
        <v>20131205</v>
      </c>
      <c r="G4594" t="s">
        <v>413</v>
      </c>
      <c r="H4594" t="s">
        <v>414</v>
      </c>
      <c r="I4594" t="s">
        <v>21</v>
      </c>
    </row>
    <row r="4595" spans="1:9" x14ac:dyDescent="0.25">
      <c r="A4595">
        <v>20131206</v>
      </c>
      <c r="B4595" t="str">
        <f>"113180"</f>
        <v>113180</v>
      </c>
      <c r="C4595" t="str">
        <f>"79400"</f>
        <v>79400</v>
      </c>
      <c r="D4595" t="s">
        <v>1328</v>
      </c>
      <c r="E4595" s="1">
        <v>25063.85</v>
      </c>
      <c r="F4595">
        <v>20131205</v>
      </c>
      <c r="G4595" t="s">
        <v>1329</v>
      </c>
      <c r="H4595" t="s">
        <v>1330</v>
      </c>
      <c r="I4595" t="s">
        <v>21</v>
      </c>
    </row>
    <row r="4596" spans="1:9" x14ac:dyDescent="0.25">
      <c r="A4596">
        <v>20131213</v>
      </c>
      <c r="B4596" t="str">
        <f>"113181"</f>
        <v>113181</v>
      </c>
      <c r="C4596" t="str">
        <f>"87590"</f>
        <v>87590</v>
      </c>
      <c r="D4596" t="s">
        <v>1957</v>
      </c>
      <c r="E4596" s="1">
        <v>1174</v>
      </c>
      <c r="F4596">
        <v>20131213</v>
      </c>
      <c r="G4596" t="s">
        <v>1272</v>
      </c>
      <c r="H4596" t="s">
        <v>2607</v>
      </c>
      <c r="I4596" t="s">
        <v>21</v>
      </c>
    </row>
    <row r="4597" spans="1:9" x14ac:dyDescent="0.25">
      <c r="A4597">
        <v>20131219</v>
      </c>
      <c r="B4597" t="str">
        <f>"113182"</f>
        <v>113182</v>
      </c>
      <c r="C4597" t="str">
        <f>"00925"</f>
        <v>00925</v>
      </c>
      <c r="D4597" t="s">
        <v>1553</v>
      </c>
      <c r="E4597">
        <v>438.67</v>
      </c>
      <c r="F4597">
        <v>20131217</v>
      </c>
      <c r="G4597" t="s">
        <v>1426</v>
      </c>
      <c r="H4597" t="s">
        <v>354</v>
      </c>
      <c r="I4597" t="s">
        <v>38</v>
      </c>
    </row>
    <row r="4598" spans="1:9" x14ac:dyDescent="0.25">
      <c r="A4598">
        <v>20131219</v>
      </c>
      <c r="B4598" t="str">
        <f>"113183"</f>
        <v>113183</v>
      </c>
      <c r="C4598" t="str">
        <f>"85944"</f>
        <v>85944</v>
      </c>
      <c r="D4598" t="s">
        <v>2608</v>
      </c>
      <c r="E4598" s="1">
        <v>1079.5999999999999</v>
      </c>
      <c r="F4598">
        <v>20131217</v>
      </c>
      <c r="G4598" t="s">
        <v>413</v>
      </c>
      <c r="H4598" t="s">
        <v>414</v>
      </c>
      <c r="I4598" t="s">
        <v>21</v>
      </c>
    </row>
    <row r="4599" spans="1:9" x14ac:dyDescent="0.25">
      <c r="A4599">
        <v>20131219</v>
      </c>
      <c r="B4599" t="str">
        <f>"113184"</f>
        <v>113184</v>
      </c>
      <c r="C4599" t="str">
        <f>"00954"</f>
        <v>00954</v>
      </c>
      <c r="D4599" t="s">
        <v>445</v>
      </c>
      <c r="E4599">
        <v>457</v>
      </c>
      <c r="F4599">
        <v>20131217</v>
      </c>
      <c r="G4599" t="s">
        <v>577</v>
      </c>
      <c r="H4599" t="s">
        <v>2609</v>
      </c>
      <c r="I4599" t="s">
        <v>21</v>
      </c>
    </row>
    <row r="4600" spans="1:9" x14ac:dyDescent="0.25">
      <c r="A4600">
        <v>20131219</v>
      </c>
      <c r="B4600" t="str">
        <f>"113184"</f>
        <v>113184</v>
      </c>
      <c r="C4600" t="str">
        <f>"00954"</f>
        <v>00954</v>
      </c>
      <c r="D4600" t="s">
        <v>445</v>
      </c>
      <c r="E4600">
        <v>366</v>
      </c>
      <c r="F4600">
        <v>20131218</v>
      </c>
      <c r="G4600" t="s">
        <v>36</v>
      </c>
      <c r="H4600" t="s">
        <v>446</v>
      </c>
      <c r="I4600" t="s">
        <v>38</v>
      </c>
    </row>
    <row r="4601" spans="1:9" x14ac:dyDescent="0.25">
      <c r="A4601">
        <v>20131219</v>
      </c>
      <c r="B4601" t="str">
        <f>"113185"</f>
        <v>113185</v>
      </c>
      <c r="C4601" t="str">
        <f>"86517"</f>
        <v>86517</v>
      </c>
      <c r="D4601" t="s">
        <v>2101</v>
      </c>
      <c r="E4601" s="1">
        <v>3765.2</v>
      </c>
      <c r="F4601">
        <v>20131218</v>
      </c>
      <c r="G4601" t="s">
        <v>404</v>
      </c>
      <c r="H4601" t="s">
        <v>2102</v>
      </c>
      <c r="I4601" t="s">
        <v>12</v>
      </c>
    </row>
    <row r="4602" spans="1:9" x14ac:dyDescent="0.25">
      <c r="A4602">
        <v>20131219</v>
      </c>
      <c r="B4602" t="str">
        <f t="shared" ref="B4602:B4613" si="301">"113186"</f>
        <v>113186</v>
      </c>
      <c r="C4602" t="str">
        <f t="shared" ref="C4602:C4613" si="302">"01890"</f>
        <v>01890</v>
      </c>
      <c r="D4602" t="s">
        <v>447</v>
      </c>
      <c r="E4602">
        <v>20.89</v>
      </c>
      <c r="F4602">
        <v>20131217</v>
      </c>
      <c r="G4602" t="s">
        <v>1338</v>
      </c>
      <c r="H4602" t="s">
        <v>414</v>
      </c>
      <c r="I4602" t="s">
        <v>21</v>
      </c>
    </row>
    <row r="4603" spans="1:9" x14ac:dyDescent="0.25">
      <c r="A4603">
        <v>20131219</v>
      </c>
      <c r="B4603" t="str">
        <f t="shared" si="301"/>
        <v>113186</v>
      </c>
      <c r="C4603" t="str">
        <f t="shared" si="302"/>
        <v>01890</v>
      </c>
      <c r="D4603" t="s">
        <v>447</v>
      </c>
      <c r="E4603">
        <v>89.03</v>
      </c>
      <c r="F4603">
        <v>20131217</v>
      </c>
      <c r="G4603" t="s">
        <v>1338</v>
      </c>
      <c r="H4603" t="s">
        <v>414</v>
      </c>
      <c r="I4603" t="s">
        <v>21</v>
      </c>
    </row>
    <row r="4604" spans="1:9" x14ac:dyDescent="0.25">
      <c r="A4604">
        <v>20131219</v>
      </c>
      <c r="B4604" t="str">
        <f t="shared" si="301"/>
        <v>113186</v>
      </c>
      <c r="C4604" t="str">
        <f t="shared" si="302"/>
        <v>01890</v>
      </c>
      <c r="D4604" t="s">
        <v>447</v>
      </c>
      <c r="E4604">
        <v>86.02</v>
      </c>
      <c r="F4604">
        <v>20131217</v>
      </c>
      <c r="G4604" t="s">
        <v>1338</v>
      </c>
      <c r="H4604" t="s">
        <v>414</v>
      </c>
      <c r="I4604" t="s">
        <v>21</v>
      </c>
    </row>
    <row r="4605" spans="1:9" x14ac:dyDescent="0.25">
      <c r="A4605">
        <v>20131219</v>
      </c>
      <c r="B4605" t="str">
        <f t="shared" si="301"/>
        <v>113186</v>
      </c>
      <c r="C4605" t="str">
        <f t="shared" si="302"/>
        <v>01890</v>
      </c>
      <c r="D4605" t="s">
        <v>447</v>
      </c>
      <c r="E4605">
        <v>20.28</v>
      </c>
      <c r="F4605">
        <v>20131217</v>
      </c>
      <c r="G4605" t="s">
        <v>1338</v>
      </c>
      <c r="H4605" t="s">
        <v>414</v>
      </c>
      <c r="I4605" t="s">
        <v>21</v>
      </c>
    </row>
    <row r="4606" spans="1:9" x14ac:dyDescent="0.25">
      <c r="A4606">
        <v>20131219</v>
      </c>
      <c r="B4606" t="str">
        <f t="shared" si="301"/>
        <v>113186</v>
      </c>
      <c r="C4606" t="str">
        <f t="shared" si="302"/>
        <v>01890</v>
      </c>
      <c r="D4606" t="s">
        <v>447</v>
      </c>
      <c r="E4606">
        <v>422.92</v>
      </c>
      <c r="F4606">
        <v>20131217</v>
      </c>
      <c r="G4606" t="s">
        <v>448</v>
      </c>
      <c r="H4606" t="s">
        <v>414</v>
      </c>
      <c r="I4606" t="s">
        <v>21</v>
      </c>
    </row>
    <row r="4607" spans="1:9" x14ac:dyDescent="0.25">
      <c r="A4607">
        <v>20131219</v>
      </c>
      <c r="B4607" t="str">
        <f t="shared" si="301"/>
        <v>113186</v>
      </c>
      <c r="C4607" t="str">
        <f t="shared" si="302"/>
        <v>01890</v>
      </c>
      <c r="D4607" t="s">
        <v>447</v>
      </c>
      <c r="E4607">
        <v>143.77000000000001</v>
      </c>
      <c r="F4607">
        <v>20131217</v>
      </c>
      <c r="G4607" t="s">
        <v>448</v>
      </c>
      <c r="H4607" t="s">
        <v>414</v>
      </c>
      <c r="I4607" t="s">
        <v>21</v>
      </c>
    </row>
    <row r="4608" spans="1:9" x14ac:dyDescent="0.25">
      <c r="A4608">
        <v>20131219</v>
      </c>
      <c r="B4608" t="str">
        <f t="shared" si="301"/>
        <v>113186</v>
      </c>
      <c r="C4608" t="str">
        <f t="shared" si="302"/>
        <v>01890</v>
      </c>
      <c r="D4608" t="s">
        <v>447</v>
      </c>
      <c r="E4608">
        <v>40.6</v>
      </c>
      <c r="F4608">
        <v>20131217</v>
      </c>
      <c r="G4608" t="s">
        <v>448</v>
      </c>
      <c r="H4608" t="s">
        <v>414</v>
      </c>
      <c r="I4608" t="s">
        <v>21</v>
      </c>
    </row>
    <row r="4609" spans="1:9" x14ac:dyDescent="0.25">
      <c r="A4609">
        <v>20131219</v>
      </c>
      <c r="B4609" t="str">
        <f t="shared" si="301"/>
        <v>113186</v>
      </c>
      <c r="C4609" t="str">
        <f t="shared" si="302"/>
        <v>01890</v>
      </c>
      <c r="D4609" t="s">
        <v>447</v>
      </c>
      <c r="E4609">
        <v>139.55000000000001</v>
      </c>
      <c r="F4609">
        <v>20131217</v>
      </c>
      <c r="G4609" t="s">
        <v>448</v>
      </c>
      <c r="H4609" t="s">
        <v>414</v>
      </c>
      <c r="I4609" t="s">
        <v>21</v>
      </c>
    </row>
    <row r="4610" spans="1:9" x14ac:dyDescent="0.25">
      <c r="A4610">
        <v>20131219</v>
      </c>
      <c r="B4610" t="str">
        <f t="shared" si="301"/>
        <v>113186</v>
      </c>
      <c r="C4610" t="str">
        <f t="shared" si="302"/>
        <v>01890</v>
      </c>
      <c r="D4610" t="s">
        <v>447</v>
      </c>
      <c r="E4610">
        <v>151.21</v>
      </c>
      <c r="F4610">
        <v>20131217</v>
      </c>
      <c r="G4610" t="s">
        <v>496</v>
      </c>
      <c r="H4610" t="s">
        <v>414</v>
      </c>
      <c r="I4610" t="s">
        <v>21</v>
      </c>
    </row>
    <row r="4611" spans="1:9" x14ac:dyDescent="0.25">
      <c r="A4611">
        <v>20131219</v>
      </c>
      <c r="B4611" t="str">
        <f t="shared" si="301"/>
        <v>113186</v>
      </c>
      <c r="C4611" t="str">
        <f t="shared" si="302"/>
        <v>01890</v>
      </c>
      <c r="D4611" t="s">
        <v>447</v>
      </c>
      <c r="E4611">
        <v>146.76</v>
      </c>
      <c r="F4611">
        <v>20131217</v>
      </c>
      <c r="G4611" t="s">
        <v>496</v>
      </c>
      <c r="H4611" t="s">
        <v>414</v>
      </c>
      <c r="I4611" t="s">
        <v>21</v>
      </c>
    </row>
    <row r="4612" spans="1:9" x14ac:dyDescent="0.25">
      <c r="A4612">
        <v>20131219</v>
      </c>
      <c r="B4612" t="str">
        <f t="shared" si="301"/>
        <v>113186</v>
      </c>
      <c r="C4612" t="str">
        <f t="shared" si="302"/>
        <v>01890</v>
      </c>
      <c r="D4612" t="s">
        <v>447</v>
      </c>
      <c r="E4612">
        <v>340.78</v>
      </c>
      <c r="F4612">
        <v>20131217</v>
      </c>
      <c r="G4612" t="s">
        <v>392</v>
      </c>
      <c r="H4612" t="s">
        <v>414</v>
      </c>
      <c r="I4612" t="s">
        <v>21</v>
      </c>
    </row>
    <row r="4613" spans="1:9" x14ac:dyDescent="0.25">
      <c r="A4613">
        <v>20131219</v>
      </c>
      <c r="B4613" t="str">
        <f t="shared" si="301"/>
        <v>113186</v>
      </c>
      <c r="C4613" t="str">
        <f t="shared" si="302"/>
        <v>01890</v>
      </c>
      <c r="D4613" t="s">
        <v>447</v>
      </c>
      <c r="E4613">
        <v>330.6</v>
      </c>
      <c r="F4613">
        <v>20131217</v>
      </c>
      <c r="G4613" t="s">
        <v>392</v>
      </c>
      <c r="H4613" t="s">
        <v>414</v>
      </c>
      <c r="I4613" t="s">
        <v>21</v>
      </c>
    </row>
    <row r="4614" spans="1:9" x14ac:dyDescent="0.25">
      <c r="A4614">
        <v>20131219</v>
      </c>
      <c r="B4614" t="str">
        <f>"113187"</f>
        <v>113187</v>
      </c>
      <c r="C4614" t="str">
        <f>"86889"</f>
        <v>86889</v>
      </c>
      <c r="D4614" t="s">
        <v>449</v>
      </c>
      <c r="E4614">
        <v>892.04</v>
      </c>
      <c r="F4614">
        <v>20131218</v>
      </c>
      <c r="G4614" t="s">
        <v>1271</v>
      </c>
      <c r="H4614" t="s">
        <v>2610</v>
      </c>
      <c r="I4614" t="s">
        <v>21</v>
      </c>
    </row>
    <row r="4615" spans="1:9" x14ac:dyDescent="0.25">
      <c r="A4615">
        <v>20131219</v>
      </c>
      <c r="B4615" t="str">
        <f>"113187"</f>
        <v>113187</v>
      </c>
      <c r="C4615" t="str">
        <f>"86889"</f>
        <v>86889</v>
      </c>
      <c r="D4615" t="s">
        <v>449</v>
      </c>
      <c r="E4615">
        <v>192.5</v>
      </c>
      <c r="F4615">
        <v>20131217</v>
      </c>
      <c r="G4615" t="s">
        <v>1464</v>
      </c>
      <c r="H4615" t="s">
        <v>2610</v>
      </c>
      <c r="I4615" t="s">
        <v>21</v>
      </c>
    </row>
    <row r="4616" spans="1:9" x14ac:dyDescent="0.25">
      <c r="A4616">
        <v>20131219</v>
      </c>
      <c r="B4616" t="str">
        <f t="shared" ref="B4616:B4629" si="303">"113188"</f>
        <v>113188</v>
      </c>
      <c r="C4616" t="str">
        <f t="shared" ref="C4616:C4629" si="304">"52460"</f>
        <v>52460</v>
      </c>
      <c r="D4616" t="s">
        <v>452</v>
      </c>
      <c r="E4616">
        <v>412.42</v>
      </c>
      <c r="F4616">
        <v>20131217</v>
      </c>
      <c r="G4616" t="s">
        <v>453</v>
      </c>
      <c r="H4616" t="s">
        <v>454</v>
      </c>
      <c r="I4616" t="s">
        <v>21</v>
      </c>
    </row>
    <row r="4617" spans="1:9" x14ac:dyDescent="0.25">
      <c r="A4617">
        <v>20131219</v>
      </c>
      <c r="B4617" t="str">
        <f t="shared" si="303"/>
        <v>113188</v>
      </c>
      <c r="C4617" t="str">
        <f t="shared" si="304"/>
        <v>52460</v>
      </c>
      <c r="D4617" t="s">
        <v>452</v>
      </c>
      <c r="E4617" s="1">
        <v>2295.6</v>
      </c>
      <c r="F4617">
        <v>20131217</v>
      </c>
      <c r="G4617" t="s">
        <v>455</v>
      </c>
      <c r="H4617" t="s">
        <v>454</v>
      </c>
      <c r="I4617" t="s">
        <v>21</v>
      </c>
    </row>
    <row r="4618" spans="1:9" x14ac:dyDescent="0.25">
      <c r="A4618">
        <v>20131219</v>
      </c>
      <c r="B4618" t="str">
        <f t="shared" si="303"/>
        <v>113188</v>
      </c>
      <c r="C4618" t="str">
        <f t="shared" si="304"/>
        <v>52460</v>
      </c>
      <c r="D4618" t="s">
        <v>452</v>
      </c>
      <c r="E4618" s="1">
        <v>1133.54</v>
      </c>
      <c r="F4618">
        <v>20131217</v>
      </c>
      <c r="G4618" t="s">
        <v>456</v>
      </c>
      <c r="H4618" t="s">
        <v>454</v>
      </c>
      <c r="I4618" t="s">
        <v>21</v>
      </c>
    </row>
    <row r="4619" spans="1:9" x14ac:dyDescent="0.25">
      <c r="A4619">
        <v>20131219</v>
      </c>
      <c r="B4619" t="str">
        <f t="shared" si="303"/>
        <v>113188</v>
      </c>
      <c r="C4619" t="str">
        <f t="shared" si="304"/>
        <v>52460</v>
      </c>
      <c r="D4619" t="s">
        <v>452</v>
      </c>
      <c r="E4619" s="1">
        <v>1032.3800000000001</v>
      </c>
      <c r="F4619">
        <v>20131217</v>
      </c>
      <c r="G4619" t="s">
        <v>457</v>
      </c>
      <c r="H4619" t="s">
        <v>454</v>
      </c>
      <c r="I4619" t="s">
        <v>21</v>
      </c>
    </row>
    <row r="4620" spans="1:9" x14ac:dyDescent="0.25">
      <c r="A4620">
        <v>20131219</v>
      </c>
      <c r="B4620" t="str">
        <f t="shared" si="303"/>
        <v>113188</v>
      </c>
      <c r="C4620" t="str">
        <f t="shared" si="304"/>
        <v>52460</v>
      </c>
      <c r="D4620" t="s">
        <v>452</v>
      </c>
      <c r="E4620">
        <v>905.29</v>
      </c>
      <c r="F4620">
        <v>20131217</v>
      </c>
      <c r="G4620" t="s">
        <v>458</v>
      </c>
      <c r="H4620" t="s">
        <v>454</v>
      </c>
      <c r="I4620" t="s">
        <v>21</v>
      </c>
    </row>
    <row r="4621" spans="1:9" x14ac:dyDescent="0.25">
      <c r="A4621">
        <v>20131219</v>
      </c>
      <c r="B4621" t="str">
        <f t="shared" si="303"/>
        <v>113188</v>
      </c>
      <c r="C4621" t="str">
        <f t="shared" si="304"/>
        <v>52460</v>
      </c>
      <c r="D4621" t="s">
        <v>452</v>
      </c>
      <c r="E4621" s="1">
        <v>1032.3800000000001</v>
      </c>
      <c r="F4621">
        <v>20131217</v>
      </c>
      <c r="G4621" t="s">
        <v>459</v>
      </c>
      <c r="H4621" t="s">
        <v>454</v>
      </c>
      <c r="I4621" t="s">
        <v>21</v>
      </c>
    </row>
    <row r="4622" spans="1:9" x14ac:dyDescent="0.25">
      <c r="A4622">
        <v>20131219</v>
      </c>
      <c r="B4622" t="str">
        <f t="shared" si="303"/>
        <v>113188</v>
      </c>
      <c r="C4622" t="str">
        <f t="shared" si="304"/>
        <v>52460</v>
      </c>
      <c r="D4622" t="s">
        <v>452</v>
      </c>
      <c r="E4622">
        <v>962.36</v>
      </c>
      <c r="F4622">
        <v>20131217</v>
      </c>
      <c r="G4622" t="s">
        <v>460</v>
      </c>
      <c r="H4622" t="s">
        <v>454</v>
      </c>
      <c r="I4622" t="s">
        <v>21</v>
      </c>
    </row>
    <row r="4623" spans="1:9" x14ac:dyDescent="0.25">
      <c r="A4623">
        <v>20131219</v>
      </c>
      <c r="B4623" t="str">
        <f t="shared" si="303"/>
        <v>113188</v>
      </c>
      <c r="C4623" t="str">
        <f t="shared" si="304"/>
        <v>52460</v>
      </c>
      <c r="D4623" t="s">
        <v>452</v>
      </c>
      <c r="E4623">
        <v>594.04</v>
      </c>
      <c r="F4623">
        <v>20131217</v>
      </c>
      <c r="G4623" t="s">
        <v>461</v>
      </c>
      <c r="H4623" t="s">
        <v>454</v>
      </c>
      <c r="I4623" t="s">
        <v>21</v>
      </c>
    </row>
    <row r="4624" spans="1:9" x14ac:dyDescent="0.25">
      <c r="A4624">
        <v>20131219</v>
      </c>
      <c r="B4624" t="str">
        <f t="shared" si="303"/>
        <v>113188</v>
      </c>
      <c r="C4624" t="str">
        <f t="shared" si="304"/>
        <v>52460</v>
      </c>
      <c r="D4624" t="s">
        <v>452</v>
      </c>
      <c r="E4624" s="1">
        <v>1032.3800000000001</v>
      </c>
      <c r="F4624">
        <v>20131217</v>
      </c>
      <c r="G4624" t="s">
        <v>462</v>
      </c>
      <c r="H4624" t="s">
        <v>454</v>
      </c>
      <c r="I4624" t="s">
        <v>21</v>
      </c>
    </row>
    <row r="4625" spans="1:9" x14ac:dyDescent="0.25">
      <c r="A4625">
        <v>20131219</v>
      </c>
      <c r="B4625" t="str">
        <f t="shared" si="303"/>
        <v>113188</v>
      </c>
      <c r="C4625" t="str">
        <f t="shared" si="304"/>
        <v>52460</v>
      </c>
      <c r="D4625" t="s">
        <v>452</v>
      </c>
      <c r="E4625">
        <v>272.37</v>
      </c>
      <c r="F4625">
        <v>20131217</v>
      </c>
      <c r="G4625" t="s">
        <v>463</v>
      </c>
      <c r="H4625" t="s">
        <v>454</v>
      </c>
      <c r="I4625" t="s">
        <v>21</v>
      </c>
    </row>
    <row r="4626" spans="1:9" x14ac:dyDescent="0.25">
      <c r="A4626">
        <v>20131219</v>
      </c>
      <c r="B4626" t="str">
        <f t="shared" si="303"/>
        <v>113188</v>
      </c>
      <c r="C4626" t="str">
        <f t="shared" si="304"/>
        <v>52460</v>
      </c>
      <c r="D4626" t="s">
        <v>452</v>
      </c>
      <c r="E4626">
        <v>412.42</v>
      </c>
      <c r="F4626">
        <v>20131217</v>
      </c>
      <c r="G4626" t="s">
        <v>464</v>
      </c>
      <c r="H4626" t="s">
        <v>454</v>
      </c>
      <c r="I4626" t="s">
        <v>21</v>
      </c>
    </row>
    <row r="4627" spans="1:9" x14ac:dyDescent="0.25">
      <c r="A4627">
        <v>20131219</v>
      </c>
      <c r="B4627" t="str">
        <f t="shared" si="303"/>
        <v>113188</v>
      </c>
      <c r="C4627" t="str">
        <f t="shared" si="304"/>
        <v>52460</v>
      </c>
      <c r="D4627" t="s">
        <v>452</v>
      </c>
      <c r="E4627">
        <v>459.12</v>
      </c>
      <c r="F4627">
        <v>20131217</v>
      </c>
      <c r="G4627" t="s">
        <v>465</v>
      </c>
      <c r="H4627" t="s">
        <v>454</v>
      </c>
      <c r="I4627" t="s">
        <v>21</v>
      </c>
    </row>
    <row r="4628" spans="1:9" x14ac:dyDescent="0.25">
      <c r="A4628">
        <v>20131219</v>
      </c>
      <c r="B4628" t="str">
        <f t="shared" si="303"/>
        <v>113188</v>
      </c>
      <c r="C4628" t="str">
        <f t="shared" si="304"/>
        <v>52460</v>
      </c>
      <c r="D4628" t="s">
        <v>452</v>
      </c>
      <c r="E4628">
        <v>701.7</v>
      </c>
      <c r="F4628">
        <v>20131217</v>
      </c>
      <c r="G4628" t="s">
        <v>466</v>
      </c>
      <c r="H4628" t="s">
        <v>454</v>
      </c>
      <c r="I4628" t="s">
        <v>21</v>
      </c>
    </row>
    <row r="4629" spans="1:9" x14ac:dyDescent="0.25">
      <c r="A4629">
        <v>20131219</v>
      </c>
      <c r="B4629" t="str">
        <f t="shared" si="303"/>
        <v>113188</v>
      </c>
      <c r="C4629" t="str">
        <f t="shared" si="304"/>
        <v>52460</v>
      </c>
      <c r="D4629" t="s">
        <v>452</v>
      </c>
      <c r="E4629">
        <v>272.37</v>
      </c>
      <c r="F4629">
        <v>20131217</v>
      </c>
      <c r="G4629" t="s">
        <v>467</v>
      </c>
      <c r="H4629" t="s">
        <v>454</v>
      </c>
      <c r="I4629" t="s">
        <v>21</v>
      </c>
    </row>
    <row r="4630" spans="1:9" x14ac:dyDescent="0.25">
      <c r="A4630">
        <v>20131219</v>
      </c>
      <c r="B4630" t="str">
        <f>"113189"</f>
        <v>113189</v>
      </c>
      <c r="C4630" t="str">
        <f>"87466"</f>
        <v>87466</v>
      </c>
      <c r="D4630" t="s">
        <v>468</v>
      </c>
      <c r="E4630">
        <v>360</v>
      </c>
      <c r="F4630">
        <v>20131218</v>
      </c>
      <c r="G4630" t="s">
        <v>469</v>
      </c>
      <c r="H4630" t="s">
        <v>501</v>
      </c>
      <c r="I4630" t="s">
        <v>21</v>
      </c>
    </row>
    <row r="4631" spans="1:9" x14ac:dyDescent="0.25">
      <c r="A4631">
        <v>20131219</v>
      </c>
      <c r="B4631" t="str">
        <f>"113190"</f>
        <v>113190</v>
      </c>
      <c r="C4631" t="str">
        <f>"87134"</f>
        <v>87134</v>
      </c>
      <c r="D4631" t="s">
        <v>2611</v>
      </c>
      <c r="E4631" s="1">
        <v>24500</v>
      </c>
      <c r="F4631">
        <v>20131217</v>
      </c>
      <c r="G4631" t="s">
        <v>2612</v>
      </c>
      <c r="H4631" t="s">
        <v>2613</v>
      </c>
      <c r="I4631" t="s">
        <v>21</v>
      </c>
    </row>
    <row r="4632" spans="1:9" x14ac:dyDescent="0.25">
      <c r="A4632">
        <v>20131219</v>
      </c>
      <c r="B4632" t="str">
        <f>"113191"</f>
        <v>113191</v>
      </c>
      <c r="C4632" t="str">
        <f>"87013"</f>
        <v>87013</v>
      </c>
      <c r="D4632" t="s">
        <v>1701</v>
      </c>
      <c r="E4632">
        <v>96.49</v>
      </c>
      <c r="F4632">
        <v>20131217</v>
      </c>
      <c r="G4632" t="s">
        <v>1067</v>
      </c>
      <c r="H4632" t="s">
        <v>2614</v>
      </c>
      <c r="I4632" t="s">
        <v>21</v>
      </c>
    </row>
    <row r="4633" spans="1:9" x14ac:dyDescent="0.25">
      <c r="A4633">
        <v>20131219</v>
      </c>
      <c r="B4633" t="str">
        <f t="shared" ref="B4633:B4644" si="305">"113192"</f>
        <v>113192</v>
      </c>
      <c r="C4633" t="str">
        <f t="shared" ref="C4633:C4644" si="306">"84047"</f>
        <v>84047</v>
      </c>
      <c r="D4633" t="s">
        <v>472</v>
      </c>
      <c r="E4633">
        <v>255.75</v>
      </c>
      <c r="F4633">
        <v>20131217</v>
      </c>
      <c r="G4633" t="s">
        <v>473</v>
      </c>
      <c r="H4633" t="s">
        <v>474</v>
      </c>
      <c r="I4633" t="s">
        <v>21</v>
      </c>
    </row>
    <row r="4634" spans="1:9" x14ac:dyDescent="0.25">
      <c r="A4634">
        <v>20131219</v>
      </c>
      <c r="B4634" t="str">
        <f t="shared" si="305"/>
        <v>113192</v>
      </c>
      <c r="C4634" t="str">
        <f t="shared" si="306"/>
        <v>84047</v>
      </c>
      <c r="D4634" t="s">
        <v>472</v>
      </c>
      <c r="E4634">
        <v>150.15</v>
      </c>
      <c r="F4634">
        <v>20131217</v>
      </c>
      <c r="G4634" t="s">
        <v>475</v>
      </c>
      <c r="H4634" t="s">
        <v>474</v>
      </c>
      <c r="I4634" t="s">
        <v>21</v>
      </c>
    </row>
    <row r="4635" spans="1:9" x14ac:dyDescent="0.25">
      <c r="A4635">
        <v>20131219</v>
      </c>
      <c r="B4635" t="str">
        <f t="shared" si="305"/>
        <v>113192</v>
      </c>
      <c r="C4635" t="str">
        <f t="shared" si="306"/>
        <v>84047</v>
      </c>
      <c r="D4635" t="s">
        <v>472</v>
      </c>
      <c r="E4635">
        <v>150.15</v>
      </c>
      <c r="F4635">
        <v>20131217</v>
      </c>
      <c r="G4635" t="s">
        <v>476</v>
      </c>
      <c r="H4635" t="s">
        <v>474</v>
      </c>
      <c r="I4635" t="s">
        <v>21</v>
      </c>
    </row>
    <row r="4636" spans="1:9" x14ac:dyDescent="0.25">
      <c r="A4636">
        <v>20131219</v>
      </c>
      <c r="B4636" t="str">
        <f t="shared" si="305"/>
        <v>113192</v>
      </c>
      <c r="C4636" t="str">
        <f t="shared" si="306"/>
        <v>84047</v>
      </c>
      <c r="D4636" t="s">
        <v>472</v>
      </c>
      <c r="E4636">
        <v>150.15</v>
      </c>
      <c r="F4636">
        <v>20131217</v>
      </c>
      <c r="G4636" t="s">
        <v>477</v>
      </c>
      <c r="H4636" t="s">
        <v>474</v>
      </c>
      <c r="I4636" t="s">
        <v>21</v>
      </c>
    </row>
    <row r="4637" spans="1:9" x14ac:dyDescent="0.25">
      <c r="A4637">
        <v>20131219</v>
      </c>
      <c r="B4637" t="str">
        <f t="shared" si="305"/>
        <v>113192</v>
      </c>
      <c r="C4637" t="str">
        <f t="shared" si="306"/>
        <v>84047</v>
      </c>
      <c r="D4637" t="s">
        <v>472</v>
      </c>
      <c r="E4637">
        <v>176.55</v>
      </c>
      <c r="F4637">
        <v>20131217</v>
      </c>
      <c r="G4637" t="s">
        <v>478</v>
      </c>
      <c r="H4637" t="s">
        <v>474</v>
      </c>
      <c r="I4637" t="s">
        <v>21</v>
      </c>
    </row>
    <row r="4638" spans="1:9" x14ac:dyDescent="0.25">
      <c r="A4638">
        <v>20131219</v>
      </c>
      <c r="B4638" t="str">
        <f t="shared" si="305"/>
        <v>113192</v>
      </c>
      <c r="C4638" t="str">
        <f t="shared" si="306"/>
        <v>84047</v>
      </c>
      <c r="D4638" t="s">
        <v>472</v>
      </c>
      <c r="E4638">
        <v>150.15</v>
      </c>
      <c r="F4638">
        <v>20131217</v>
      </c>
      <c r="G4638" t="s">
        <v>479</v>
      </c>
      <c r="H4638" t="s">
        <v>474</v>
      </c>
      <c r="I4638" t="s">
        <v>21</v>
      </c>
    </row>
    <row r="4639" spans="1:9" x14ac:dyDescent="0.25">
      <c r="A4639">
        <v>20131219</v>
      </c>
      <c r="B4639" t="str">
        <f t="shared" si="305"/>
        <v>113192</v>
      </c>
      <c r="C4639" t="str">
        <f t="shared" si="306"/>
        <v>84047</v>
      </c>
      <c r="D4639" t="s">
        <v>472</v>
      </c>
      <c r="E4639">
        <v>150.15</v>
      </c>
      <c r="F4639">
        <v>20131217</v>
      </c>
      <c r="G4639" t="s">
        <v>480</v>
      </c>
      <c r="H4639" t="s">
        <v>474</v>
      </c>
      <c r="I4639" t="s">
        <v>21</v>
      </c>
    </row>
    <row r="4640" spans="1:9" x14ac:dyDescent="0.25">
      <c r="A4640">
        <v>20131219</v>
      </c>
      <c r="B4640" t="str">
        <f t="shared" si="305"/>
        <v>113192</v>
      </c>
      <c r="C4640" t="str">
        <f t="shared" si="306"/>
        <v>84047</v>
      </c>
      <c r="D4640" t="s">
        <v>472</v>
      </c>
      <c r="E4640">
        <v>150.15</v>
      </c>
      <c r="F4640">
        <v>20131217</v>
      </c>
      <c r="G4640" t="s">
        <v>481</v>
      </c>
      <c r="H4640" t="s">
        <v>474</v>
      </c>
      <c r="I4640" t="s">
        <v>21</v>
      </c>
    </row>
    <row r="4641" spans="1:9" x14ac:dyDescent="0.25">
      <c r="A4641">
        <v>20131219</v>
      </c>
      <c r="B4641" t="str">
        <f t="shared" si="305"/>
        <v>113192</v>
      </c>
      <c r="C4641" t="str">
        <f t="shared" si="306"/>
        <v>84047</v>
      </c>
      <c r="D4641" t="s">
        <v>472</v>
      </c>
      <c r="E4641">
        <v>87.45</v>
      </c>
      <c r="F4641">
        <v>20131217</v>
      </c>
      <c r="G4641" t="s">
        <v>482</v>
      </c>
      <c r="H4641" t="s">
        <v>474</v>
      </c>
      <c r="I4641" t="s">
        <v>21</v>
      </c>
    </row>
    <row r="4642" spans="1:9" x14ac:dyDescent="0.25">
      <c r="A4642">
        <v>20131219</v>
      </c>
      <c r="B4642" t="str">
        <f t="shared" si="305"/>
        <v>113192</v>
      </c>
      <c r="C4642" t="str">
        <f t="shared" si="306"/>
        <v>84047</v>
      </c>
      <c r="D4642" t="s">
        <v>472</v>
      </c>
      <c r="E4642">
        <v>150.15</v>
      </c>
      <c r="F4642">
        <v>20131217</v>
      </c>
      <c r="G4642" t="s">
        <v>483</v>
      </c>
      <c r="H4642" t="s">
        <v>474</v>
      </c>
      <c r="I4642" t="s">
        <v>21</v>
      </c>
    </row>
    <row r="4643" spans="1:9" x14ac:dyDescent="0.25">
      <c r="A4643">
        <v>20131219</v>
      </c>
      <c r="B4643" t="str">
        <f t="shared" si="305"/>
        <v>113192</v>
      </c>
      <c r="C4643" t="str">
        <f t="shared" si="306"/>
        <v>84047</v>
      </c>
      <c r="D4643" t="s">
        <v>472</v>
      </c>
      <c r="E4643">
        <v>177.65</v>
      </c>
      <c r="F4643">
        <v>20131217</v>
      </c>
      <c r="G4643" t="s">
        <v>484</v>
      </c>
      <c r="H4643" t="s">
        <v>474</v>
      </c>
      <c r="I4643" t="s">
        <v>21</v>
      </c>
    </row>
    <row r="4644" spans="1:9" x14ac:dyDescent="0.25">
      <c r="A4644">
        <v>20131219</v>
      </c>
      <c r="B4644" t="str">
        <f t="shared" si="305"/>
        <v>113192</v>
      </c>
      <c r="C4644" t="str">
        <f t="shared" si="306"/>
        <v>84047</v>
      </c>
      <c r="D4644" t="s">
        <v>472</v>
      </c>
      <c r="E4644">
        <v>123.75</v>
      </c>
      <c r="F4644">
        <v>20131217</v>
      </c>
      <c r="G4644" t="s">
        <v>485</v>
      </c>
      <c r="H4644" t="s">
        <v>474</v>
      </c>
      <c r="I4644" t="s">
        <v>21</v>
      </c>
    </row>
    <row r="4645" spans="1:9" x14ac:dyDescent="0.25">
      <c r="A4645">
        <v>20131219</v>
      </c>
      <c r="B4645" t="str">
        <f>"113193"</f>
        <v>113193</v>
      </c>
      <c r="C4645" t="str">
        <f>"00255"</f>
        <v>00255</v>
      </c>
      <c r="D4645" t="s">
        <v>489</v>
      </c>
      <c r="E4645">
        <v>909.84</v>
      </c>
      <c r="F4645">
        <v>20131217</v>
      </c>
      <c r="G4645" t="s">
        <v>491</v>
      </c>
      <c r="H4645" t="s">
        <v>488</v>
      </c>
      <c r="I4645" t="s">
        <v>21</v>
      </c>
    </row>
    <row r="4646" spans="1:9" x14ac:dyDescent="0.25">
      <c r="A4646">
        <v>20131219</v>
      </c>
      <c r="B4646" t="str">
        <f>"113193"</f>
        <v>113193</v>
      </c>
      <c r="C4646" t="str">
        <f>"00255"</f>
        <v>00255</v>
      </c>
      <c r="D4646" t="s">
        <v>489</v>
      </c>
      <c r="E4646">
        <v>271.42</v>
      </c>
      <c r="F4646">
        <v>20131217</v>
      </c>
      <c r="G4646" t="s">
        <v>771</v>
      </c>
      <c r="H4646" t="s">
        <v>488</v>
      </c>
      <c r="I4646" t="s">
        <v>21</v>
      </c>
    </row>
    <row r="4647" spans="1:9" x14ac:dyDescent="0.25">
      <c r="A4647">
        <v>20131219</v>
      </c>
      <c r="B4647" t="str">
        <f>"113193"</f>
        <v>113193</v>
      </c>
      <c r="C4647" t="str">
        <f>"00255"</f>
        <v>00255</v>
      </c>
      <c r="D4647" t="s">
        <v>489</v>
      </c>
      <c r="E4647">
        <v>163.96</v>
      </c>
      <c r="F4647">
        <v>20131218</v>
      </c>
      <c r="G4647" t="s">
        <v>1186</v>
      </c>
      <c r="H4647" t="s">
        <v>488</v>
      </c>
      <c r="I4647" t="s">
        <v>21</v>
      </c>
    </row>
    <row r="4648" spans="1:9" x14ac:dyDescent="0.25">
      <c r="A4648">
        <v>20131219</v>
      </c>
      <c r="B4648" t="str">
        <f>"113194"</f>
        <v>113194</v>
      </c>
      <c r="C4648" t="str">
        <f>"82826"</f>
        <v>82826</v>
      </c>
      <c r="D4648" t="s">
        <v>2615</v>
      </c>
      <c r="E4648" s="1">
        <v>2009.25</v>
      </c>
      <c r="F4648">
        <v>20131218</v>
      </c>
      <c r="G4648" t="s">
        <v>413</v>
      </c>
      <c r="H4648" t="s">
        <v>414</v>
      </c>
      <c r="I4648" t="s">
        <v>21</v>
      </c>
    </row>
    <row r="4649" spans="1:9" x14ac:dyDescent="0.25">
      <c r="A4649">
        <v>20131219</v>
      </c>
      <c r="B4649" t="str">
        <f>"113195"</f>
        <v>113195</v>
      </c>
      <c r="C4649" t="str">
        <f>"09600"</f>
        <v>09600</v>
      </c>
      <c r="D4649" t="s">
        <v>497</v>
      </c>
      <c r="E4649">
        <v>279.2</v>
      </c>
      <c r="F4649">
        <v>20131217</v>
      </c>
      <c r="G4649" t="s">
        <v>498</v>
      </c>
      <c r="H4649" t="s">
        <v>499</v>
      </c>
      <c r="I4649" t="s">
        <v>21</v>
      </c>
    </row>
    <row r="4650" spans="1:9" x14ac:dyDescent="0.25">
      <c r="A4650">
        <v>20131219</v>
      </c>
      <c r="B4650" t="str">
        <f>"113196"</f>
        <v>113196</v>
      </c>
      <c r="C4650" t="str">
        <f>"87658"</f>
        <v>87658</v>
      </c>
      <c r="D4650" t="s">
        <v>2616</v>
      </c>
      <c r="E4650">
        <v>120</v>
      </c>
      <c r="F4650">
        <v>20131217</v>
      </c>
      <c r="G4650" t="s">
        <v>1846</v>
      </c>
      <c r="H4650" t="s">
        <v>765</v>
      </c>
      <c r="I4650" t="s">
        <v>63</v>
      </c>
    </row>
    <row r="4651" spans="1:9" x14ac:dyDescent="0.25">
      <c r="A4651">
        <v>20131219</v>
      </c>
      <c r="B4651" t="str">
        <f>"113197"</f>
        <v>113197</v>
      </c>
      <c r="C4651" t="str">
        <f>"00042"</f>
        <v>00042</v>
      </c>
      <c r="D4651" t="s">
        <v>2617</v>
      </c>
      <c r="E4651">
        <v>154.94999999999999</v>
      </c>
      <c r="F4651">
        <v>20131212</v>
      </c>
      <c r="G4651" t="s">
        <v>1193</v>
      </c>
      <c r="H4651" t="s">
        <v>2618</v>
      </c>
      <c r="I4651" t="s">
        <v>25</v>
      </c>
    </row>
    <row r="4652" spans="1:9" x14ac:dyDescent="0.25">
      <c r="A4652">
        <v>20131219</v>
      </c>
      <c r="B4652" t="str">
        <f>"113198"</f>
        <v>113198</v>
      </c>
      <c r="C4652" t="str">
        <f>"87157"</f>
        <v>87157</v>
      </c>
      <c r="D4652" t="s">
        <v>2619</v>
      </c>
      <c r="E4652">
        <v>115.32</v>
      </c>
      <c r="F4652">
        <v>20131217</v>
      </c>
      <c r="G4652" t="s">
        <v>1846</v>
      </c>
      <c r="H4652" t="s">
        <v>765</v>
      </c>
      <c r="I4652" t="s">
        <v>63</v>
      </c>
    </row>
    <row r="4653" spans="1:9" x14ac:dyDescent="0.25">
      <c r="A4653">
        <v>20131219</v>
      </c>
      <c r="B4653" t="str">
        <f>"113199"</f>
        <v>113199</v>
      </c>
      <c r="C4653" t="str">
        <f>"82758"</f>
        <v>82758</v>
      </c>
      <c r="D4653" t="s">
        <v>776</v>
      </c>
      <c r="E4653" s="1">
        <v>13526.2</v>
      </c>
      <c r="F4653">
        <v>20131218</v>
      </c>
      <c r="G4653" t="s">
        <v>777</v>
      </c>
      <c r="H4653" t="s">
        <v>778</v>
      </c>
      <c r="I4653" t="s">
        <v>21</v>
      </c>
    </row>
    <row r="4654" spans="1:9" x14ac:dyDescent="0.25">
      <c r="A4654">
        <v>20131219</v>
      </c>
      <c r="B4654" t="str">
        <f>"113200"</f>
        <v>113200</v>
      </c>
      <c r="C4654" t="str">
        <f>"87465"</f>
        <v>87465</v>
      </c>
      <c r="D4654" t="s">
        <v>500</v>
      </c>
      <c r="E4654">
        <v>80</v>
      </c>
      <c r="F4654">
        <v>20131218</v>
      </c>
      <c r="G4654" t="s">
        <v>469</v>
      </c>
      <c r="H4654" t="s">
        <v>501</v>
      </c>
      <c r="I4654" t="s">
        <v>21</v>
      </c>
    </row>
    <row r="4655" spans="1:9" x14ac:dyDescent="0.25">
      <c r="A4655">
        <v>20131219</v>
      </c>
      <c r="B4655" t="str">
        <f>"113201"</f>
        <v>113201</v>
      </c>
      <c r="C4655" t="str">
        <f>"87555"</f>
        <v>87555</v>
      </c>
      <c r="D4655" t="s">
        <v>1560</v>
      </c>
      <c r="E4655">
        <v>18.899999999999999</v>
      </c>
      <c r="F4655">
        <v>20131217</v>
      </c>
      <c r="G4655" t="s">
        <v>562</v>
      </c>
      <c r="H4655" t="s">
        <v>563</v>
      </c>
      <c r="I4655" t="s">
        <v>21</v>
      </c>
    </row>
    <row r="4656" spans="1:9" x14ac:dyDescent="0.25">
      <c r="A4656">
        <v>20131219</v>
      </c>
      <c r="B4656" t="str">
        <f>"113202"</f>
        <v>113202</v>
      </c>
      <c r="C4656" t="str">
        <f>"11570"</f>
        <v>11570</v>
      </c>
      <c r="D4656" t="s">
        <v>1354</v>
      </c>
      <c r="E4656">
        <v>45</v>
      </c>
      <c r="F4656">
        <v>20131218</v>
      </c>
      <c r="G4656" t="s">
        <v>621</v>
      </c>
      <c r="H4656" t="s">
        <v>1355</v>
      </c>
      <c r="I4656" t="s">
        <v>21</v>
      </c>
    </row>
    <row r="4657" spans="1:9" x14ac:dyDescent="0.25">
      <c r="A4657">
        <v>20131219</v>
      </c>
      <c r="B4657" t="str">
        <f>"113202"</f>
        <v>113202</v>
      </c>
      <c r="C4657" t="str">
        <f>"11570"</f>
        <v>11570</v>
      </c>
      <c r="D4657" t="s">
        <v>1354</v>
      </c>
      <c r="E4657">
        <v>65</v>
      </c>
      <c r="F4657">
        <v>20131218</v>
      </c>
      <c r="G4657" t="s">
        <v>526</v>
      </c>
      <c r="H4657" t="s">
        <v>1355</v>
      </c>
      <c r="I4657" t="s">
        <v>21</v>
      </c>
    </row>
    <row r="4658" spans="1:9" x14ac:dyDescent="0.25">
      <c r="A4658">
        <v>20131219</v>
      </c>
      <c r="B4658" t="str">
        <f>"113202"</f>
        <v>113202</v>
      </c>
      <c r="C4658" t="str">
        <f>"11570"</f>
        <v>11570</v>
      </c>
      <c r="D4658" t="s">
        <v>1354</v>
      </c>
      <c r="E4658">
        <v>50</v>
      </c>
      <c r="F4658">
        <v>20131218</v>
      </c>
      <c r="G4658" t="s">
        <v>1271</v>
      </c>
      <c r="H4658" t="s">
        <v>1355</v>
      </c>
      <c r="I4658" t="s">
        <v>21</v>
      </c>
    </row>
    <row r="4659" spans="1:9" x14ac:dyDescent="0.25">
      <c r="A4659">
        <v>20131219</v>
      </c>
      <c r="B4659" t="str">
        <f>"113203"</f>
        <v>113203</v>
      </c>
      <c r="C4659" t="str">
        <f>"82560"</f>
        <v>82560</v>
      </c>
      <c r="D4659" t="s">
        <v>403</v>
      </c>
      <c r="E4659" s="1">
        <v>2740.25</v>
      </c>
      <c r="F4659">
        <v>20131218</v>
      </c>
      <c r="G4659" t="s">
        <v>404</v>
      </c>
      <c r="H4659" t="s">
        <v>405</v>
      </c>
      <c r="I4659" t="s">
        <v>12</v>
      </c>
    </row>
    <row r="4660" spans="1:9" x14ac:dyDescent="0.25">
      <c r="A4660">
        <v>20131219</v>
      </c>
      <c r="B4660" t="str">
        <f>"113204"</f>
        <v>113204</v>
      </c>
      <c r="C4660" t="str">
        <f>"11851"</f>
        <v>11851</v>
      </c>
      <c r="D4660" t="s">
        <v>342</v>
      </c>
      <c r="E4660">
        <v>110</v>
      </c>
      <c r="F4660">
        <v>20131217</v>
      </c>
      <c r="G4660" t="s">
        <v>171</v>
      </c>
      <c r="H4660" t="s">
        <v>1357</v>
      </c>
      <c r="I4660" t="s">
        <v>38</v>
      </c>
    </row>
    <row r="4661" spans="1:9" x14ac:dyDescent="0.25">
      <c r="A4661">
        <v>20131219</v>
      </c>
      <c r="B4661" t="str">
        <f>"113204"</f>
        <v>113204</v>
      </c>
      <c r="C4661" t="str">
        <f>"11851"</f>
        <v>11851</v>
      </c>
      <c r="D4661" t="s">
        <v>342</v>
      </c>
      <c r="E4661">
        <v>40</v>
      </c>
      <c r="F4661">
        <v>20131217</v>
      </c>
      <c r="G4661" t="s">
        <v>181</v>
      </c>
      <c r="H4661" t="s">
        <v>784</v>
      </c>
      <c r="I4661" t="s">
        <v>38</v>
      </c>
    </row>
    <row r="4662" spans="1:9" x14ac:dyDescent="0.25">
      <c r="A4662">
        <v>20131219</v>
      </c>
      <c r="B4662" t="str">
        <f>"113204"</f>
        <v>113204</v>
      </c>
      <c r="C4662" t="str">
        <f>"11851"</f>
        <v>11851</v>
      </c>
      <c r="D4662" t="s">
        <v>342</v>
      </c>
      <c r="E4662">
        <v>126.95</v>
      </c>
      <c r="F4662">
        <v>20131217</v>
      </c>
      <c r="G4662" t="s">
        <v>119</v>
      </c>
      <c r="H4662" t="s">
        <v>2620</v>
      </c>
      <c r="I4662" t="s">
        <v>38</v>
      </c>
    </row>
    <row r="4663" spans="1:9" x14ac:dyDescent="0.25">
      <c r="A4663">
        <v>20131219</v>
      </c>
      <c r="B4663" t="str">
        <f>"113205"</f>
        <v>113205</v>
      </c>
      <c r="C4663" t="str">
        <f>"11805"</f>
        <v>11805</v>
      </c>
      <c r="D4663" t="s">
        <v>1358</v>
      </c>
      <c r="E4663" s="1">
        <v>3730.41</v>
      </c>
      <c r="F4663">
        <v>20131218</v>
      </c>
      <c r="G4663" t="s">
        <v>404</v>
      </c>
      <c r="H4663" t="s">
        <v>133</v>
      </c>
      <c r="I4663" t="s">
        <v>12</v>
      </c>
    </row>
    <row r="4664" spans="1:9" x14ac:dyDescent="0.25">
      <c r="A4664">
        <v>20131219</v>
      </c>
      <c r="B4664" t="str">
        <f>"113206"</f>
        <v>113206</v>
      </c>
      <c r="C4664" t="str">
        <f>"12140"</f>
        <v>12140</v>
      </c>
      <c r="D4664" t="s">
        <v>406</v>
      </c>
      <c r="E4664" s="1">
        <v>35676.9</v>
      </c>
      <c r="F4664">
        <v>20131218</v>
      </c>
      <c r="G4664" t="s">
        <v>404</v>
      </c>
      <c r="H4664" t="s">
        <v>408</v>
      </c>
      <c r="I4664" t="s">
        <v>12</v>
      </c>
    </row>
    <row r="4665" spans="1:9" x14ac:dyDescent="0.25">
      <c r="A4665">
        <v>20131219</v>
      </c>
      <c r="B4665" t="str">
        <f>"113207"</f>
        <v>113207</v>
      </c>
      <c r="C4665" t="str">
        <f>"12175"</f>
        <v>12175</v>
      </c>
      <c r="D4665" t="s">
        <v>2621</v>
      </c>
      <c r="E4665" s="1">
        <v>1964.02</v>
      </c>
      <c r="F4665">
        <v>20131212</v>
      </c>
      <c r="G4665" t="s">
        <v>2622</v>
      </c>
      <c r="H4665" t="s">
        <v>2623</v>
      </c>
      <c r="I4665" t="s">
        <v>21</v>
      </c>
    </row>
    <row r="4666" spans="1:9" x14ac:dyDescent="0.25">
      <c r="A4666">
        <v>20131219</v>
      </c>
      <c r="B4666" t="str">
        <f>"113208"</f>
        <v>113208</v>
      </c>
      <c r="C4666" t="str">
        <f>"87264"</f>
        <v>87264</v>
      </c>
      <c r="D4666" t="s">
        <v>1361</v>
      </c>
      <c r="E4666">
        <v>100</v>
      </c>
      <c r="F4666">
        <v>20131218</v>
      </c>
      <c r="G4666" t="s">
        <v>1362</v>
      </c>
      <c r="H4666" t="s">
        <v>2592</v>
      </c>
      <c r="I4666" t="s">
        <v>21</v>
      </c>
    </row>
    <row r="4667" spans="1:9" x14ac:dyDescent="0.25">
      <c r="A4667">
        <v>20131219</v>
      </c>
      <c r="B4667" t="str">
        <f t="shared" ref="B4667:B4672" si="307">"113209"</f>
        <v>113209</v>
      </c>
      <c r="C4667" t="str">
        <f t="shared" ref="C4667:C4672" si="308">"86533"</f>
        <v>86533</v>
      </c>
      <c r="D4667" t="s">
        <v>505</v>
      </c>
      <c r="E4667">
        <v>97.28</v>
      </c>
      <c r="F4667">
        <v>20131217</v>
      </c>
      <c r="G4667" t="s">
        <v>506</v>
      </c>
      <c r="H4667" t="s">
        <v>414</v>
      </c>
      <c r="I4667" t="s">
        <v>21</v>
      </c>
    </row>
    <row r="4668" spans="1:9" x14ac:dyDescent="0.25">
      <c r="A4668">
        <v>20131219</v>
      </c>
      <c r="B4668" t="str">
        <f t="shared" si="307"/>
        <v>113209</v>
      </c>
      <c r="C4668" t="str">
        <f t="shared" si="308"/>
        <v>86533</v>
      </c>
      <c r="D4668" t="s">
        <v>505</v>
      </c>
      <c r="E4668">
        <v>299.95</v>
      </c>
      <c r="F4668">
        <v>20131217</v>
      </c>
      <c r="G4668" t="s">
        <v>1640</v>
      </c>
      <c r="H4668" t="s">
        <v>414</v>
      </c>
      <c r="I4668" t="s">
        <v>21</v>
      </c>
    </row>
    <row r="4669" spans="1:9" x14ac:dyDescent="0.25">
      <c r="A4669">
        <v>20131219</v>
      </c>
      <c r="B4669" t="str">
        <f t="shared" si="307"/>
        <v>113209</v>
      </c>
      <c r="C4669" t="str">
        <f t="shared" si="308"/>
        <v>86533</v>
      </c>
      <c r="D4669" t="s">
        <v>505</v>
      </c>
      <c r="E4669">
        <v>41.44</v>
      </c>
      <c r="F4669">
        <v>20131217</v>
      </c>
      <c r="G4669" t="s">
        <v>1640</v>
      </c>
      <c r="H4669" t="s">
        <v>414</v>
      </c>
      <c r="I4669" t="s">
        <v>21</v>
      </c>
    </row>
    <row r="4670" spans="1:9" x14ac:dyDescent="0.25">
      <c r="A4670">
        <v>20131219</v>
      </c>
      <c r="B4670" t="str">
        <f t="shared" si="307"/>
        <v>113209</v>
      </c>
      <c r="C4670" t="str">
        <f t="shared" si="308"/>
        <v>86533</v>
      </c>
      <c r="D4670" t="s">
        <v>505</v>
      </c>
      <c r="E4670">
        <v>720.24</v>
      </c>
      <c r="F4670">
        <v>20131217</v>
      </c>
      <c r="G4670" t="s">
        <v>124</v>
      </c>
      <c r="H4670" t="s">
        <v>414</v>
      </c>
      <c r="I4670" t="s">
        <v>38</v>
      </c>
    </row>
    <row r="4671" spans="1:9" x14ac:dyDescent="0.25">
      <c r="A4671">
        <v>20131219</v>
      </c>
      <c r="B4671" t="str">
        <f t="shared" si="307"/>
        <v>113209</v>
      </c>
      <c r="C4671" t="str">
        <f t="shared" si="308"/>
        <v>86533</v>
      </c>
      <c r="D4671" t="s">
        <v>505</v>
      </c>
      <c r="E4671">
        <v>89.91</v>
      </c>
      <c r="F4671">
        <v>20131217</v>
      </c>
      <c r="G4671" t="s">
        <v>124</v>
      </c>
      <c r="H4671" t="s">
        <v>414</v>
      </c>
      <c r="I4671" t="s">
        <v>38</v>
      </c>
    </row>
    <row r="4672" spans="1:9" x14ac:dyDescent="0.25">
      <c r="A4672">
        <v>20131219</v>
      </c>
      <c r="B4672" t="str">
        <f t="shared" si="307"/>
        <v>113209</v>
      </c>
      <c r="C4672" t="str">
        <f t="shared" si="308"/>
        <v>86533</v>
      </c>
      <c r="D4672" t="s">
        <v>505</v>
      </c>
      <c r="E4672">
        <v>71.92</v>
      </c>
      <c r="F4672">
        <v>20131217</v>
      </c>
      <c r="G4672" t="s">
        <v>124</v>
      </c>
      <c r="H4672" t="s">
        <v>414</v>
      </c>
      <c r="I4672" t="s">
        <v>38</v>
      </c>
    </row>
    <row r="4673" spans="1:9" x14ac:dyDescent="0.25">
      <c r="A4673">
        <v>20131219</v>
      </c>
      <c r="B4673" t="str">
        <f>"113210"</f>
        <v>113210</v>
      </c>
      <c r="C4673" t="str">
        <f>"10075"</f>
        <v>10075</v>
      </c>
      <c r="D4673" t="s">
        <v>1199</v>
      </c>
      <c r="E4673">
        <v>438</v>
      </c>
      <c r="F4673">
        <v>20131212</v>
      </c>
      <c r="G4673" t="s">
        <v>2624</v>
      </c>
      <c r="H4673" t="s">
        <v>2625</v>
      </c>
      <c r="I4673" t="s">
        <v>61</v>
      </c>
    </row>
    <row r="4674" spans="1:9" x14ac:dyDescent="0.25">
      <c r="A4674">
        <v>20131219</v>
      </c>
      <c r="B4674" t="str">
        <f t="shared" ref="B4674:B4679" si="309">"113211"</f>
        <v>113211</v>
      </c>
      <c r="C4674" t="str">
        <f t="shared" ref="C4674:C4679" si="310">"83493"</f>
        <v>83493</v>
      </c>
      <c r="D4674" t="s">
        <v>509</v>
      </c>
      <c r="E4674">
        <v>130</v>
      </c>
      <c r="F4674">
        <v>20131217</v>
      </c>
      <c r="G4674" t="s">
        <v>819</v>
      </c>
      <c r="H4674" t="s">
        <v>357</v>
      </c>
      <c r="I4674" t="s">
        <v>63</v>
      </c>
    </row>
    <row r="4675" spans="1:9" x14ac:dyDescent="0.25">
      <c r="A4675">
        <v>20131219</v>
      </c>
      <c r="B4675" t="str">
        <f t="shared" si="309"/>
        <v>113211</v>
      </c>
      <c r="C4675" t="str">
        <f t="shared" si="310"/>
        <v>83493</v>
      </c>
      <c r="D4675" t="s">
        <v>509</v>
      </c>
      <c r="E4675">
        <v>130</v>
      </c>
      <c r="F4675">
        <v>20131217</v>
      </c>
      <c r="G4675" t="s">
        <v>819</v>
      </c>
      <c r="H4675" t="s">
        <v>357</v>
      </c>
      <c r="I4675" t="s">
        <v>63</v>
      </c>
    </row>
    <row r="4676" spans="1:9" x14ac:dyDescent="0.25">
      <c r="A4676">
        <v>20131219</v>
      </c>
      <c r="B4676" t="str">
        <f t="shared" si="309"/>
        <v>113211</v>
      </c>
      <c r="C4676" t="str">
        <f t="shared" si="310"/>
        <v>83493</v>
      </c>
      <c r="D4676" t="s">
        <v>509</v>
      </c>
      <c r="E4676">
        <v>400</v>
      </c>
      <c r="F4676">
        <v>20131217</v>
      </c>
      <c r="G4676" t="s">
        <v>819</v>
      </c>
      <c r="H4676" t="s">
        <v>357</v>
      </c>
      <c r="I4676" t="s">
        <v>63</v>
      </c>
    </row>
    <row r="4677" spans="1:9" x14ac:dyDescent="0.25">
      <c r="A4677">
        <v>20131219</v>
      </c>
      <c r="B4677" t="str">
        <f t="shared" si="309"/>
        <v>113211</v>
      </c>
      <c r="C4677" t="str">
        <f t="shared" si="310"/>
        <v>83493</v>
      </c>
      <c r="D4677" t="s">
        <v>509</v>
      </c>
      <c r="E4677">
        <v>400</v>
      </c>
      <c r="F4677">
        <v>20131217</v>
      </c>
      <c r="G4677" t="s">
        <v>819</v>
      </c>
      <c r="H4677" t="s">
        <v>357</v>
      </c>
      <c r="I4677" t="s">
        <v>63</v>
      </c>
    </row>
    <row r="4678" spans="1:9" x14ac:dyDescent="0.25">
      <c r="A4678">
        <v>20131219</v>
      </c>
      <c r="B4678" t="str">
        <f t="shared" si="309"/>
        <v>113211</v>
      </c>
      <c r="C4678" t="str">
        <f t="shared" si="310"/>
        <v>83493</v>
      </c>
      <c r="D4678" t="s">
        <v>509</v>
      </c>
      <c r="E4678">
        <v>130</v>
      </c>
      <c r="F4678">
        <v>20131217</v>
      </c>
      <c r="G4678" t="s">
        <v>819</v>
      </c>
      <c r="H4678" t="s">
        <v>357</v>
      </c>
      <c r="I4678" t="s">
        <v>63</v>
      </c>
    </row>
    <row r="4679" spans="1:9" x14ac:dyDescent="0.25">
      <c r="A4679">
        <v>20131219</v>
      </c>
      <c r="B4679" t="str">
        <f t="shared" si="309"/>
        <v>113211</v>
      </c>
      <c r="C4679" t="str">
        <f t="shared" si="310"/>
        <v>83493</v>
      </c>
      <c r="D4679" t="s">
        <v>509</v>
      </c>
      <c r="E4679">
        <v>400</v>
      </c>
      <c r="F4679">
        <v>20131217</v>
      </c>
      <c r="G4679" t="s">
        <v>819</v>
      </c>
      <c r="H4679" t="s">
        <v>357</v>
      </c>
      <c r="I4679" t="s">
        <v>63</v>
      </c>
    </row>
    <row r="4680" spans="1:9" x14ac:dyDescent="0.25">
      <c r="A4680">
        <v>20131219</v>
      </c>
      <c r="B4680" t="str">
        <f>"113212"</f>
        <v>113212</v>
      </c>
      <c r="C4680" t="str">
        <f>"84519"</f>
        <v>84519</v>
      </c>
      <c r="D4680" t="s">
        <v>2626</v>
      </c>
      <c r="E4680" s="1">
        <v>1196.55</v>
      </c>
      <c r="F4680">
        <v>20131217</v>
      </c>
      <c r="G4680" t="s">
        <v>2292</v>
      </c>
      <c r="H4680" t="s">
        <v>2627</v>
      </c>
      <c r="I4680" t="s">
        <v>63</v>
      </c>
    </row>
    <row r="4681" spans="1:9" x14ac:dyDescent="0.25">
      <c r="A4681">
        <v>20131219</v>
      </c>
      <c r="B4681" t="str">
        <f>"113213"</f>
        <v>113213</v>
      </c>
      <c r="C4681" t="str">
        <f>"84575"</f>
        <v>84575</v>
      </c>
      <c r="D4681" t="s">
        <v>1568</v>
      </c>
      <c r="E4681">
        <v>237.6</v>
      </c>
      <c r="F4681">
        <v>20131217</v>
      </c>
      <c r="G4681" t="s">
        <v>562</v>
      </c>
      <c r="H4681" t="s">
        <v>563</v>
      </c>
      <c r="I4681" t="s">
        <v>21</v>
      </c>
    </row>
    <row r="4682" spans="1:9" x14ac:dyDescent="0.25">
      <c r="A4682">
        <v>20131219</v>
      </c>
      <c r="B4682" t="str">
        <f>"113214"</f>
        <v>113214</v>
      </c>
      <c r="C4682" t="str">
        <f>"83967"</f>
        <v>83967</v>
      </c>
      <c r="D4682" t="s">
        <v>1569</v>
      </c>
      <c r="E4682" s="1">
        <v>3293.13</v>
      </c>
      <c r="F4682">
        <v>20131212</v>
      </c>
      <c r="G4682" t="s">
        <v>2492</v>
      </c>
      <c r="H4682" t="s">
        <v>2628</v>
      </c>
      <c r="I4682" t="s">
        <v>21</v>
      </c>
    </row>
    <row r="4683" spans="1:9" x14ac:dyDescent="0.25">
      <c r="A4683">
        <v>20131219</v>
      </c>
      <c r="B4683" t="str">
        <f>"113215"</f>
        <v>113215</v>
      </c>
      <c r="C4683" t="str">
        <f>"16988"</f>
        <v>16988</v>
      </c>
      <c r="D4683" t="s">
        <v>510</v>
      </c>
      <c r="E4683" s="1">
        <v>1102.43</v>
      </c>
      <c r="F4683">
        <v>20131217</v>
      </c>
      <c r="G4683" t="s">
        <v>496</v>
      </c>
      <c r="H4683" t="s">
        <v>414</v>
      </c>
      <c r="I4683" t="s">
        <v>21</v>
      </c>
    </row>
    <row r="4684" spans="1:9" x14ac:dyDescent="0.25">
      <c r="A4684">
        <v>20131219</v>
      </c>
      <c r="B4684" t="str">
        <f>"113215"</f>
        <v>113215</v>
      </c>
      <c r="C4684" t="str">
        <f>"16988"</f>
        <v>16988</v>
      </c>
      <c r="D4684" t="s">
        <v>510</v>
      </c>
      <c r="E4684">
        <v>725</v>
      </c>
      <c r="F4684">
        <v>20131217</v>
      </c>
      <c r="G4684" t="s">
        <v>511</v>
      </c>
      <c r="H4684" t="s">
        <v>1368</v>
      </c>
      <c r="I4684" t="s">
        <v>21</v>
      </c>
    </row>
    <row r="4685" spans="1:9" x14ac:dyDescent="0.25">
      <c r="A4685">
        <v>20131219</v>
      </c>
      <c r="B4685" t="str">
        <f>"113215"</f>
        <v>113215</v>
      </c>
      <c r="C4685" t="str">
        <f>"16988"</f>
        <v>16988</v>
      </c>
      <c r="D4685" t="s">
        <v>510</v>
      </c>
      <c r="E4685">
        <v>927.82</v>
      </c>
      <c r="F4685">
        <v>20131217</v>
      </c>
      <c r="G4685" t="s">
        <v>511</v>
      </c>
      <c r="H4685" t="s">
        <v>512</v>
      </c>
      <c r="I4685" t="s">
        <v>21</v>
      </c>
    </row>
    <row r="4686" spans="1:9" x14ac:dyDescent="0.25">
      <c r="A4686">
        <v>20131219</v>
      </c>
      <c r="B4686" t="str">
        <f t="shared" ref="B4686:B4692" si="311">"113216"</f>
        <v>113216</v>
      </c>
      <c r="C4686" t="str">
        <f t="shared" ref="C4686:C4692" si="312">"16998"</f>
        <v>16998</v>
      </c>
      <c r="D4686" t="s">
        <v>1372</v>
      </c>
      <c r="E4686" s="1">
        <v>2076.6799999999998</v>
      </c>
      <c r="F4686">
        <v>20131217</v>
      </c>
      <c r="G4686" t="s">
        <v>1380</v>
      </c>
      <c r="H4686" t="s">
        <v>525</v>
      </c>
      <c r="I4686" t="s">
        <v>21</v>
      </c>
    </row>
    <row r="4687" spans="1:9" x14ac:dyDescent="0.25">
      <c r="A4687">
        <v>20131219</v>
      </c>
      <c r="B4687" t="str">
        <f t="shared" si="311"/>
        <v>113216</v>
      </c>
      <c r="C4687" t="str">
        <f t="shared" si="312"/>
        <v>16998</v>
      </c>
      <c r="D4687" t="s">
        <v>1372</v>
      </c>
      <c r="E4687">
        <v>760.21</v>
      </c>
      <c r="F4687">
        <v>20131218</v>
      </c>
      <c r="G4687" t="s">
        <v>1380</v>
      </c>
      <c r="H4687" t="s">
        <v>1375</v>
      </c>
      <c r="I4687" t="s">
        <v>21</v>
      </c>
    </row>
    <row r="4688" spans="1:9" x14ac:dyDescent="0.25">
      <c r="A4688">
        <v>20131219</v>
      </c>
      <c r="B4688" t="str">
        <f t="shared" si="311"/>
        <v>113216</v>
      </c>
      <c r="C4688" t="str">
        <f t="shared" si="312"/>
        <v>16998</v>
      </c>
      <c r="D4688" t="s">
        <v>1372</v>
      </c>
      <c r="E4688">
        <v>824.1</v>
      </c>
      <c r="F4688">
        <v>20131217</v>
      </c>
      <c r="G4688" t="s">
        <v>628</v>
      </c>
      <c r="H4688" t="s">
        <v>2629</v>
      </c>
      <c r="I4688" t="s">
        <v>21</v>
      </c>
    </row>
    <row r="4689" spans="1:9" x14ac:dyDescent="0.25">
      <c r="A4689">
        <v>20131219</v>
      </c>
      <c r="B4689" t="str">
        <f t="shared" si="311"/>
        <v>113216</v>
      </c>
      <c r="C4689" t="str">
        <f t="shared" si="312"/>
        <v>16998</v>
      </c>
      <c r="D4689" t="s">
        <v>1372</v>
      </c>
      <c r="E4689">
        <v>854.73</v>
      </c>
      <c r="F4689">
        <v>20131217</v>
      </c>
      <c r="G4689" t="s">
        <v>628</v>
      </c>
      <c r="H4689" t="s">
        <v>1375</v>
      </c>
      <c r="I4689" t="s">
        <v>21</v>
      </c>
    </row>
    <row r="4690" spans="1:9" x14ac:dyDescent="0.25">
      <c r="A4690">
        <v>20131219</v>
      </c>
      <c r="B4690" t="str">
        <f t="shared" si="311"/>
        <v>113216</v>
      </c>
      <c r="C4690" t="str">
        <f t="shared" si="312"/>
        <v>16998</v>
      </c>
      <c r="D4690" t="s">
        <v>1372</v>
      </c>
      <c r="E4690">
        <v>111.61</v>
      </c>
      <c r="F4690">
        <v>20131217</v>
      </c>
      <c r="G4690" t="s">
        <v>630</v>
      </c>
      <c r="H4690" t="s">
        <v>2630</v>
      </c>
      <c r="I4690" t="s">
        <v>21</v>
      </c>
    </row>
    <row r="4691" spans="1:9" x14ac:dyDescent="0.25">
      <c r="A4691">
        <v>20131219</v>
      </c>
      <c r="B4691" t="str">
        <f t="shared" si="311"/>
        <v>113216</v>
      </c>
      <c r="C4691" t="str">
        <f t="shared" si="312"/>
        <v>16998</v>
      </c>
      <c r="D4691" t="s">
        <v>1372</v>
      </c>
      <c r="E4691" s="1">
        <v>2667.96</v>
      </c>
      <c r="F4691">
        <v>20131218</v>
      </c>
      <c r="G4691" t="s">
        <v>392</v>
      </c>
      <c r="H4691" t="s">
        <v>414</v>
      </c>
      <c r="I4691" t="s">
        <v>21</v>
      </c>
    </row>
    <row r="4692" spans="1:9" x14ac:dyDescent="0.25">
      <c r="A4692">
        <v>20131219</v>
      </c>
      <c r="B4692" t="str">
        <f t="shared" si="311"/>
        <v>113216</v>
      </c>
      <c r="C4692" t="str">
        <f t="shared" si="312"/>
        <v>16998</v>
      </c>
      <c r="D4692" t="s">
        <v>1372</v>
      </c>
      <c r="E4692">
        <v>801.57</v>
      </c>
      <c r="F4692">
        <v>20131217</v>
      </c>
      <c r="G4692" t="s">
        <v>1224</v>
      </c>
      <c r="H4692" t="s">
        <v>2631</v>
      </c>
      <c r="I4692" t="s">
        <v>21</v>
      </c>
    </row>
    <row r="4693" spans="1:9" x14ac:dyDescent="0.25">
      <c r="A4693">
        <v>20131219</v>
      </c>
      <c r="B4693" t="str">
        <f>"113217"</f>
        <v>113217</v>
      </c>
      <c r="C4693" t="str">
        <f>"84398"</f>
        <v>84398</v>
      </c>
      <c r="D4693" t="s">
        <v>349</v>
      </c>
      <c r="E4693" s="1">
        <v>1525</v>
      </c>
      <c r="F4693">
        <v>20131218</v>
      </c>
      <c r="G4693" t="s">
        <v>41</v>
      </c>
      <c r="H4693" t="s">
        <v>2632</v>
      </c>
      <c r="I4693" t="s">
        <v>38</v>
      </c>
    </row>
    <row r="4694" spans="1:9" x14ac:dyDescent="0.25">
      <c r="A4694">
        <v>20131219</v>
      </c>
      <c r="B4694" t="str">
        <f>"113218"</f>
        <v>113218</v>
      </c>
      <c r="C4694" t="str">
        <f>"18025"</f>
        <v>18025</v>
      </c>
      <c r="D4694" t="s">
        <v>514</v>
      </c>
      <c r="E4694">
        <v>74.849999999999994</v>
      </c>
      <c r="F4694">
        <v>20131217</v>
      </c>
      <c r="G4694" t="s">
        <v>36</v>
      </c>
      <c r="H4694" t="s">
        <v>357</v>
      </c>
      <c r="I4694" t="s">
        <v>38</v>
      </c>
    </row>
    <row r="4695" spans="1:9" x14ac:dyDescent="0.25">
      <c r="A4695">
        <v>20131219</v>
      </c>
      <c r="B4695" t="str">
        <f>"113219"</f>
        <v>113219</v>
      </c>
      <c r="C4695" t="str">
        <f>"18025"</f>
        <v>18025</v>
      </c>
      <c r="D4695" t="s">
        <v>514</v>
      </c>
      <c r="E4695">
        <v>130</v>
      </c>
      <c r="F4695">
        <v>20131217</v>
      </c>
      <c r="G4695" t="s">
        <v>819</v>
      </c>
      <c r="H4695" t="s">
        <v>357</v>
      </c>
      <c r="I4695" t="s">
        <v>63</v>
      </c>
    </row>
    <row r="4696" spans="1:9" x14ac:dyDescent="0.25">
      <c r="A4696">
        <v>20131219</v>
      </c>
      <c r="B4696" t="str">
        <f>"113220"</f>
        <v>113220</v>
      </c>
      <c r="C4696" t="str">
        <f>"87549"</f>
        <v>87549</v>
      </c>
      <c r="D4696" t="s">
        <v>1382</v>
      </c>
      <c r="E4696">
        <v>99.98</v>
      </c>
      <c r="F4696">
        <v>20131218</v>
      </c>
      <c r="G4696" t="s">
        <v>99</v>
      </c>
      <c r="H4696" t="s">
        <v>2633</v>
      </c>
      <c r="I4696" t="s">
        <v>21</v>
      </c>
    </row>
    <row r="4697" spans="1:9" x14ac:dyDescent="0.25">
      <c r="A4697">
        <v>20131219</v>
      </c>
      <c r="B4697" t="str">
        <f t="shared" ref="B4697:B4704" si="313">"113221"</f>
        <v>113221</v>
      </c>
      <c r="C4697" t="str">
        <f t="shared" ref="C4697:C4704" si="314">"87566"</f>
        <v>87566</v>
      </c>
      <c r="D4697" t="s">
        <v>2139</v>
      </c>
      <c r="E4697">
        <v>11.26</v>
      </c>
      <c r="F4697">
        <v>20131217</v>
      </c>
      <c r="G4697" t="s">
        <v>1222</v>
      </c>
      <c r="H4697" t="s">
        <v>414</v>
      </c>
      <c r="I4697" t="s">
        <v>21</v>
      </c>
    </row>
    <row r="4698" spans="1:9" x14ac:dyDescent="0.25">
      <c r="A4698">
        <v>20131219</v>
      </c>
      <c r="B4698" t="str">
        <f t="shared" si="313"/>
        <v>113221</v>
      </c>
      <c r="C4698" t="str">
        <f t="shared" si="314"/>
        <v>87566</v>
      </c>
      <c r="D4698" t="s">
        <v>2139</v>
      </c>
      <c r="E4698">
        <v>58.96</v>
      </c>
      <c r="F4698">
        <v>20131217</v>
      </c>
      <c r="G4698" t="s">
        <v>1222</v>
      </c>
      <c r="H4698" t="s">
        <v>414</v>
      </c>
      <c r="I4698" t="s">
        <v>21</v>
      </c>
    </row>
    <row r="4699" spans="1:9" x14ac:dyDescent="0.25">
      <c r="A4699">
        <v>20131219</v>
      </c>
      <c r="B4699" t="str">
        <f t="shared" si="313"/>
        <v>113221</v>
      </c>
      <c r="C4699" t="str">
        <f t="shared" si="314"/>
        <v>87566</v>
      </c>
      <c r="D4699" t="s">
        <v>2139</v>
      </c>
      <c r="E4699">
        <v>179.11</v>
      </c>
      <c r="F4699">
        <v>20131217</v>
      </c>
      <c r="G4699" t="s">
        <v>1222</v>
      </c>
      <c r="H4699" t="s">
        <v>414</v>
      </c>
      <c r="I4699" t="s">
        <v>21</v>
      </c>
    </row>
    <row r="4700" spans="1:9" x14ac:dyDescent="0.25">
      <c r="A4700">
        <v>20131219</v>
      </c>
      <c r="B4700" t="str">
        <f t="shared" si="313"/>
        <v>113221</v>
      </c>
      <c r="C4700" t="str">
        <f t="shared" si="314"/>
        <v>87566</v>
      </c>
      <c r="D4700" t="s">
        <v>2139</v>
      </c>
      <c r="E4700">
        <v>764.29</v>
      </c>
      <c r="F4700">
        <v>20131217</v>
      </c>
      <c r="G4700" t="s">
        <v>1222</v>
      </c>
      <c r="H4700" t="s">
        <v>414</v>
      </c>
      <c r="I4700" t="s">
        <v>21</v>
      </c>
    </row>
    <row r="4701" spans="1:9" x14ac:dyDescent="0.25">
      <c r="A4701">
        <v>20131219</v>
      </c>
      <c r="B4701" t="str">
        <f t="shared" si="313"/>
        <v>113221</v>
      </c>
      <c r="C4701" t="str">
        <f t="shared" si="314"/>
        <v>87566</v>
      </c>
      <c r="D4701" t="s">
        <v>2139</v>
      </c>
      <c r="E4701">
        <v>85.14</v>
      </c>
      <c r="F4701">
        <v>20131217</v>
      </c>
      <c r="G4701" t="s">
        <v>1224</v>
      </c>
      <c r="H4701" t="s">
        <v>414</v>
      </c>
      <c r="I4701" t="s">
        <v>21</v>
      </c>
    </row>
    <row r="4702" spans="1:9" x14ac:dyDescent="0.25">
      <c r="A4702">
        <v>20131219</v>
      </c>
      <c r="B4702" t="str">
        <f t="shared" si="313"/>
        <v>113221</v>
      </c>
      <c r="C4702" t="str">
        <f t="shared" si="314"/>
        <v>87566</v>
      </c>
      <c r="D4702" t="s">
        <v>2139</v>
      </c>
      <c r="E4702">
        <v>317.92</v>
      </c>
      <c r="F4702">
        <v>20131217</v>
      </c>
      <c r="G4702" t="s">
        <v>1224</v>
      </c>
      <c r="H4702" t="s">
        <v>414</v>
      </c>
      <c r="I4702" t="s">
        <v>21</v>
      </c>
    </row>
    <row r="4703" spans="1:9" x14ac:dyDescent="0.25">
      <c r="A4703">
        <v>20131219</v>
      </c>
      <c r="B4703" t="str">
        <f t="shared" si="313"/>
        <v>113221</v>
      </c>
      <c r="C4703" t="str">
        <f t="shared" si="314"/>
        <v>87566</v>
      </c>
      <c r="D4703" t="s">
        <v>2139</v>
      </c>
      <c r="E4703">
        <v>21.72</v>
      </c>
      <c r="F4703">
        <v>20131217</v>
      </c>
      <c r="G4703" t="s">
        <v>1224</v>
      </c>
      <c r="H4703" t="s">
        <v>414</v>
      </c>
      <c r="I4703" t="s">
        <v>21</v>
      </c>
    </row>
    <row r="4704" spans="1:9" x14ac:dyDescent="0.25">
      <c r="A4704">
        <v>20131219</v>
      </c>
      <c r="B4704" t="str">
        <f t="shared" si="313"/>
        <v>113221</v>
      </c>
      <c r="C4704" t="str">
        <f t="shared" si="314"/>
        <v>87566</v>
      </c>
      <c r="D4704" t="s">
        <v>2139</v>
      </c>
      <c r="E4704">
        <v>208.44</v>
      </c>
      <c r="F4704">
        <v>20131217</v>
      </c>
      <c r="G4704" t="s">
        <v>1224</v>
      </c>
      <c r="H4704" t="s">
        <v>414</v>
      </c>
      <c r="I4704" t="s">
        <v>21</v>
      </c>
    </row>
    <row r="4705" spans="1:9" x14ac:dyDescent="0.25">
      <c r="A4705">
        <v>20131219</v>
      </c>
      <c r="B4705" t="str">
        <f>"113222"</f>
        <v>113222</v>
      </c>
      <c r="C4705" t="str">
        <f>"19701"</f>
        <v>19701</v>
      </c>
      <c r="D4705" t="s">
        <v>1384</v>
      </c>
      <c r="E4705">
        <v>325</v>
      </c>
      <c r="F4705">
        <v>20131217</v>
      </c>
      <c r="G4705" t="s">
        <v>1943</v>
      </c>
      <c r="H4705" t="s">
        <v>388</v>
      </c>
      <c r="I4705" t="s">
        <v>21</v>
      </c>
    </row>
    <row r="4706" spans="1:9" x14ac:dyDescent="0.25">
      <c r="A4706">
        <v>20131219</v>
      </c>
      <c r="B4706" t="str">
        <f>"113223"</f>
        <v>113223</v>
      </c>
      <c r="C4706" t="str">
        <f>"87150"</f>
        <v>87150</v>
      </c>
      <c r="D4706" t="s">
        <v>1386</v>
      </c>
      <c r="E4706" s="1">
        <v>1091.1300000000001</v>
      </c>
      <c r="F4706">
        <v>20131218</v>
      </c>
      <c r="G4706" t="s">
        <v>404</v>
      </c>
      <c r="H4706" t="s">
        <v>913</v>
      </c>
      <c r="I4706" t="s">
        <v>12</v>
      </c>
    </row>
    <row r="4707" spans="1:9" x14ac:dyDescent="0.25">
      <c r="A4707">
        <v>20131219</v>
      </c>
      <c r="B4707" t="str">
        <f>"113223"</f>
        <v>113223</v>
      </c>
      <c r="C4707" t="str">
        <f>"87150"</f>
        <v>87150</v>
      </c>
      <c r="D4707" t="s">
        <v>1386</v>
      </c>
      <c r="E4707">
        <v>34.700000000000003</v>
      </c>
      <c r="F4707">
        <v>20131218</v>
      </c>
      <c r="G4707" t="s">
        <v>202</v>
      </c>
      <c r="H4707" t="s">
        <v>2141</v>
      </c>
      <c r="I4707" t="s">
        <v>12</v>
      </c>
    </row>
    <row r="4708" spans="1:9" x14ac:dyDescent="0.25">
      <c r="A4708">
        <v>20131219</v>
      </c>
      <c r="B4708" t="str">
        <f>"113224"</f>
        <v>113224</v>
      </c>
      <c r="C4708" t="str">
        <f>"20000"</f>
        <v>20000</v>
      </c>
      <c r="D4708" t="s">
        <v>2634</v>
      </c>
      <c r="E4708">
        <v>18</v>
      </c>
      <c r="F4708">
        <v>20131218</v>
      </c>
      <c r="G4708" t="s">
        <v>289</v>
      </c>
      <c r="H4708" t="s">
        <v>2635</v>
      </c>
      <c r="I4708" t="s">
        <v>38</v>
      </c>
    </row>
    <row r="4709" spans="1:9" x14ac:dyDescent="0.25">
      <c r="A4709">
        <v>20131219</v>
      </c>
      <c r="B4709" t="str">
        <f>"113225"</f>
        <v>113225</v>
      </c>
      <c r="C4709" t="str">
        <f>"87084"</f>
        <v>87084</v>
      </c>
      <c r="D4709" t="s">
        <v>1036</v>
      </c>
      <c r="E4709">
        <v>58.85</v>
      </c>
      <c r="F4709">
        <v>20131217</v>
      </c>
      <c r="G4709" t="s">
        <v>441</v>
      </c>
      <c r="H4709" t="s">
        <v>365</v>
      </c>
      <c r="I4709" t="s">
        <v>66</v>
      </c>
    </row>
    <row r="4710" spans="1:9" x14ac:dyDescent="0.25">
      <c r="A4710">
        <v>20131219</v>
      </c>
      <c r="B4710" t="str">
        <f>"113226"</f>
        <v>113226</v>
      </c>
      <c r="C4710" t="str">
        <f>"23122"</f>
        <v>23122</v>
      </c>
      <c r="D4710" t="s">
        <v>2337</v>
      </c>
      <c r="E4710">
        <v>138.44999999999999</v>
      </c>
      <c r="F4710">
        <v>20131217</v>
      </c>
      <c r="G4710" t="s">
        <v>1486</v>
      </c>
      <c r="H4710" t="s">
        <v>414</v>
      </c>
      <c r="I4710" t="s">
        <v>38</v>
      </c>
    </row>
    <row r="4711" spans="1:9" x14ac:dyDescent="0.25">
      <c r="A4711">
        <v>20131219</v>
      </c>
      <c r="B4711" t="str">
        <f>"113226"</f>
        <v>113226</v>
      </c>
      <c r="C4711" t="str">
        <f>"23122"</f>
        <v>23122</v>
      </c>
      <c r="D4711" t="s">
        <v>2337</v>
      </c>
      <c r="E4711">
        <v>93.4</v>
      </c>
      <c r="F4711">
        <v>20131217</v>
      </c>
      <c r="G4711" t="s">
        <v>1486</v>
      </c>
      <c r="H4711" t="s">
        <v>414</v>
      </c>
      <c r="I4711" t="s">
        <v>38</v>
      </c>
    </row>
    <row r="4712" spans="1:9" x14ac:dyDescent="0.25">
      <c r="A4712">
        <v>20131219</v>
      </c>
      <c r="B4712" t="str">
        <f>"113227"</f>
        <v>113227</v>
      </c>
      <c r="C4712" t="str">
        <f>"81251"</f>
        <v>81251</v>
      </c>
      <c r="D4712" t="s">
        <v>1571</v>
      </c>
      <c r="E4712">
        <v>43.92</v>
      </c>
      <c r="F4712">
        <v>20131218</v>
      </c>
      <c r="G4712" t="s">
        <v>404</v>
      </c>
      <c r="H4712" t="s">
        <v>2636</v>
      </c>
      <c r="I4712" t="s">
        <v>12</v>
      </c>
    </row>
    <row r="4713" spans="1:9" x14ac:dyDescent="0.25">
      <c r="A4713">
        <v>20131219</v>
      </c>
      <c r="B4713" t="str">
        <f>"113227"</f>
        <v>113227</v>
      </c>
      <c r="C4713" t="str">
        <f>"81251"</f>
        <v>81251</v>
      </c>
      <c r="D4713" t="s">
        <v>1571</v>
      </c>
      <c r="E4713">
        <v>19.97</v>
      </c>
      <c r="F4713">
        <v>20131218</v>
      </c>
      <c r="G4713" t="s">
        <v>331</v>
      </c>
      <c r="H4713" t="s">
        <v>2637</v>
      </c>
      <c r="I4713" t="s">
        <v>12</v>
      </c>
    </row>
    <row r="4714" spans="1:9" x14ac:dyDescent="0.25">
      <c r="A4714">
        <v>20131219</v>
      </c>
      <c r="B4714" t="str">
        <f>"113227"</f>
        <v>113227</v>
      </c>
      <c r="C4714" t="str">
        <f>"81251"</f>
        <v>81251</v>
      </c>
      <c r="D4714" t="s">
        <v>1571</v>
      </c>
      <c r="E4714">
        <v>20</v>
      </c>
      <c r="F4714">
        <v>20131218</v>
      </c>
      <c r="G4714" t="s">
        <v>202</v>
      </c>
      <c r="H4714" t="s">
        <v>2638</v>
      </c>
      <c r="I4714" t="s">
        <v>12</v>
      </c>
    </row>
    <row r="4715" spans="1:9" x14ac:dyDescent="0.25">
      <c r="A4715">
        <v>20131219</v>
      </c>
      <c r="B4715" t="str">
        <f>"113228"</f>
        <v>113228</v>
      </c>
      <c r="C4715" t="str">
        <f>"21950"</f>
        <v>21950</v>
      </c>
      <c r="D4715" t="s">
        <v>35</v>
      </c>
      <c r="E4715">
        <v>109.55</v>
      </c>
      <c r="F4715">
        <v>20131217</v>
      </c>
      <c r="G4715" t="s">
        <v>2639</v>
      </c>
      <c r="H4715" t="s">
        <v>414</v>
      </c>
      <c r="I4715" t="s">
        <v>21</v>
      </c>
    </row>
    <row r="4716" spans="1:9" x14ac:dyDescent="0.25">
      <c r="A4716">
        <v>20131219</v>
      </c>
      <c r="B4716" t="str">
        <f>"113228"</f>
        <v>113228</v>
      </c>
      <c r="C4716" t="str">
        <f>"21950"</f>
        <v>21950</v>
      </c>
      <c r="D4716" t="s">
        <v>35</v>
      </c>
      <c r="E4716">
        <v>39.19</v>
      </c>
      <c r="F4716">
        <v>20131218</v>
      </c>
      <c r="G4716" t="s">
        <v>145</v>
      </c>
      <c r="H4716" t="s">
        <v>1009</v>
      </c>
      <c r="I4716" t="s">
        <v>38</v>
      </c>
    </row>
    <row r="4717" spans="1:9" x14ac:dyDescent="0.25">
      <c r="A4717">
        <v>20131219</v>
      </c>
      <c r="B4717" t="str">
        <f>"113229"</f>
        <v>113229</v>
      </c>
      <c r="C4717" t="str">
        <f>"22200"</f>
        <v>22200</v>
      </c>
      <c r="D4717" t="s">
        <v>519</v>
      </c>
      <c r="E4717">
        <v>110.44</v>
      </c>
      <c r="F4717">
        <v>20131217</v>
      </c>
      <c r="G4717" t="s">
        <v>737</v>
      </c>
      <c r="H4717" t="s">
        <v>2640</v>
      </c>
      <c r="I4717" t="s">
        <v>21</v>
      </c>
    </row>
    <row r="4718" spans="1:9" x14ac:dyDescent="0.25">
      <c r="A4718">
        <v>20131219</v>
      </c>
      <c r="B4718" t="str">
        <f>"113230"</f>
        <v>113230</v>
      </c>
      <c r="C4718" t="str">
        <f>"22200"</f>
        <v>22200</v>
      </c>
      <c r="D4718" t="s">
        <v>519</v>
      </c>
      <c r="E4718">
        <v>238.75</v>
      </c>
      <c r="F4718">
        <v>20131218</v>
      </c>
      <c r="G4718" t="s">
        <v>202</v>
      </c>
      <c r="H4718" t="s">
        <v>1394</v>
      </c>
      <c r="I4718" t="s">
        <v>12</v>
      </c>
    </row>
    <row r="4719" spans="1:9" x14ac:dyDescent="0.25">
      <c r="A4719">
        <v>20131219</v>
      </c>
      <c r="B4719" t="str">
        <f>"113231"</f>
        <v>113231</v>
      </c>
      <c r="C4719" t="str">
        <f>"22220"</f>
        <v>22220</v>
      </c>
      <c r="D4719" t="s">
        <v>521</v>
      </c>
      <c r="E4719" s="1">
        <v>1013.88</v>
      </c>
      <c r="F4719">
        <v>20131217</v>
      </c>
      <c r="G4719" t="s">
        <v>734</v>
      </c>
      <c r="H4719" t="s">
        <v>2641</v>
      </c>
      <c r="I4719" t="s">
        <v>21</v>
      </c>
    </row>
    <row r="4720" spans="1:9" x14ac:dyDescent="0.25">
      <c r="A4720">
        <v>20131219</v>
      </c>
      <c r="B4720" t="str">
        <f>"113232"</f>
        <v>113232</v>
      </c>
      <c r="C4720" t="str">
        <f>"22240"</f>
        <v>22240</v>
      </c>
      <c r="D4720" t="s">
        <v>1038</v>
      </c>
      <c r="E4720">
        <v>936.69</v>
      </c>
      <c r="F4720">
        <v>20131217</v>
      </c>
      <c r="G4720" t="s">
        <v>2642</v>
      </c>
      <c r="H4720" t="s">
        <v>2643</v>
      </c>
      <c r="I4720" t="s">
        <v>38</v>
      </c>
    </row>
    <row r="4721" spans="1:9" x14ac:dyDescent="0.25">
      <c r="A4721">
        <v>20131219</v>
      </c>
      <c r="B4721" t="str">
        <f>"113233"</f>
        <v>113233</v>
      </c>
      <c r="C4721" t="str">
        <f>"84184"</f>
        <v>84184</v>
      </c>
      <c r="D4721" t="s">
        <v>2339</v>
      </c>
      <c r="E4721">
        <v>400</v>
      </c>
      <c r="F4721">
        <v>20131217</v>
      </c>
      <c r="G4721" t="s">
        <v>448</v>
      </c>
      <c r="H4721" t="s">
        <v>2644</v>
      </c>
      <c r="I4721" t="s">
        <v>21</v>
      </c>
    </row>
    <row r="4722" spans="1:9" x14ac:dyDescent="0.25">
      <c r="A4722">
        <v>20131219</v>
      </c>
      <c r="B4722" t="str">
        <f>"113233"</f>
        <v>113233</v>
      </c>
      <c r="C4722" t="str">
        <f>"84184"</f>
        <v>84184</v>
      </c>
      <c r="D4722" t="s">
        <v>2339</v>
      </c>
      <c r="E4722" s="1">
        <v>1970.7</v>
      </c>
      <c r="F4722">
        <v>20131217</v>
      </c>
      <c r="G4722" t="s">
        <v>448</v>
      </c>
      <c r="H4722" t="s">
        <v>2645</v>
      </c>
      <c r="I4722" t="s">
        <v>21</v>
      </c>
    </row>
    <row r="4723" spans="1:9" x14ac:dyDescent="0.25">
      <c r="A4723">
        <v>20131219</v>
      </c>
      <c r="B4723" t="str">
        <f>"113234"</f>
        <v>113234</v>
      </c>
      <c r="C4723" t="str">
        <f>"83674"</f>
        <v>83674</v>
      </c>
      <c r="D4723" t="s">
        <v>2646</v>
      </c>
      <c r="E4723" s="1">
        <v>2400</v>
      </c>
      <c r="F4723">
        <v>20131218</v>
      </c>
      <c r="G4723" t="s">
        <v>202</v>
      </c>
      <c r="H4723" t="s">
        <v>2647</v>
      </c>
      <c r="I4723" t="s">
        <v>12</v>
      </c>
    </row>
    <row r="4724" spans="1:9" x14ac:dyDescent="0.25">
      <c r="A4724">
        <v>20131219</v>
      </c>
      <c r="B4724" t="str">
        <f>"113235"</f>
        <v>113235</v>
      </c>
      <c r="C4724" t="str">
        <f>"23168"</f>
        <v>23168</v>
      </c>
      <c r="D4724" t="s">
        <v>1396</v>
      </c>
      <c r="E4724">
        <v>395.9</v>
      </c>
      <c r="F4724">
        <v>20131218</v>
      </c>
      <c r="G4724" t="s">
        <v>511</v>
      </c>
      <c r="H4724" t="s">
        <v>2648</v>
      </c>
      <c r="I4724" t="s">
        <v>21</v>
      </c>
    </row>
    <row r="4725" spans="1:9" x14ac:dyDescent="0.25">
      <c r="A4725">
        <v>20131219</v>
      </c>
      <c r="B4725" t="str">
        <f>"113236"</f>
        <v>113236</v>
      </c>
      <c r="C4725" t="str">
        <f>"23185"</f>
        <v>23185</v>
      </c>
      <c r="D4725" t="s">
        <v>803</v>
      </c>
      <c r="E4725">
        <v>96</v>
      </c>
      <c r="F4725">
        <v>20131217</v>
      </c>
      <c r="G4725" t="s">
        <v>1222</v>
      </c>
      <c r="H4725" t="s">
        <v>2649</v>
      </c>
      <c r="I4725" t="s">
        <v>21</v>
      </c>
    </row>
    <row r="4726" spans="1:9" x14ac:dyDescent="0.25">
      <c r="A4726">
        <v>20131219</v>
      </c>
      <c r="B4726" t="str">
        <f>"113237"</f>
        <v>113237</v>
      </c>
      <c r="C4726" t="str">
        <f>"82219"</f>
        <v>82219</v>
      </c>
      <c r="D4726" t="s">
        <v>2650</v>
      </c>
      <c r="E4726">
        <v>22.15</v>
      </c>
      <c r="F4726">
        <v>20131217</v>
      </c>
      <c r="G4726" t="s">
        <v>808</v>
      </c>
      <c r="H4726" t="s">
        <v>921</v>
      </c>
      <c r="I4726" t="s">
        <v>21</v>
      </c>
    </row>
    <row r="4727" spans="1:9" x14ac:dyDescent="0.25">
      <c r="A4727">
        <v>20131219</v>
      </c>
      <c r="B4727" t="str">
        <f>"113237"</f>
        <v>113237</v>
      </c>
      <c r="C4727" t="str">
        <f>"82219"</f>
        <v>82219</v>
      </c>
      <c r="D4727" t="s">
        <v>2650</v>
      </c>
      <c r="E4727">
        <v>487.3</v>
      </c>
      <c r="F4727">
        <v>20131217</v>
      </c>
      <c r="G4727" t="s">
        <v>810</v>
      </c>
      <c r="H4727" t="s">
        <v>921</v>
      </c>
      <c r="I4727" t="s">
        <v>66</v>
      </c>
    </row>
    <row r="4728" spans="1:9" x14ac:dyDescent="0.25">
      <c r="A4728">
        <v>20131219</v>
      </c>
      <c r="B4728" t="str">
        <f t="shared" ref="B4728:B4737" si="315">"113238"</f>
        <v>113238</v>
      </c>
      <c r="C4728" t="str">
        <f t="shared" ref="C4728:C4737" si="316">"23827"</f>
        <v>23827</v>
      </c>
      <c r="D4728" t="s">
        <v>528</v>
      </c>
      <c r="E4728">
        <v>270.75</v>
      </c>
      <c r="F4728">
        <v>20131218</v>
      </c>
      <c r="G4728" t="s">
        <v>506</v>
      </c>
      <c r="H4728" t="s">
        <v>513</v>
      </c>
      <c r="I4728" t="s">
        <v>21</v>
      </c>
    </row>
    <row r="4729" spans="1:9" x14ac:dyDescent="0.25">
      <c r="A4729">
        <v>20131219</v>
      </c>
      <c r="B4729" t="str">
        <f t="shared" si="315"/>
        <v>113238</v>
      </c>
      <c r="C4729" t="str">
        <f t="shared" si="316"/>
        <v>23827</v>
      </c>
      <c r="D4729" t="s">
        <v>528</v>
      </c>
      <c r="E4729">
        <v>68.8</v>
      </c>
      <c r="F4729">
        <v>20131218</v>
      </c>
      <c r="G4729" t="s">
        <v>506</v>
      </c>
      <c r="H4729" t="s">
        <v>513</v>
      </c>
      <c r="I4729" t="s">
        <v>21</v>
      </c>
    </row>
    <row r="4730" spans="1:9" x14ac:dyDescent="0.25">
      <c r="A4730">
        <v>20131219</v>
      </c>
      <c r="B4730" t="str">
        <f t="shared" si="315"/>
        <v>113238</v>
      </c>
      <c r="C4730" t="str">
        <f t="shared" si="316"/>
        <v>23827</v>
      </c>
      <c r="D4730" t="s">
        <v>528</v>
      </c>
      <c r="E4730">
        <v>694.2</v>
      </c>
      <c r="F4730">
        <v>20131217</v>
      </c>
      <c r="G4730" t="s">
        <v>2254</v>
      </c>
      <c r="H4730" t="s">
        <v>2651</v>
      </c>
      <c r="I4730" t="s">
        <v>21</v>
      </c>
    </row>
    <row r="4731" spans="1:9" x14ac:dyDescent="0.25">
      <c r="A4731">
        <v>20131219</v>
      </c>
      <c r="B4731" t="str">
        <f t="shared" si="315"/>
        <v>113238</v>
      </c>
      <c r="C4731" t="str">
        <f t="shared" si="316"/>
        <v>23827</v>
      </c>
      <c r="D4731" t="s">
        <v>528</v>
      </c>
      <c r="E4731" s="1">
        <v>1637.85</v>
      </c>
      <c r="F4731">
        <v>20131217</v>
      </c>
      <c r="G4731" t="s">
        <v>145</v>
      </c>
      <c r="H4731" t="s">
        <v>513</v>
      </c>
      <c r="I4731" t="s">
        <v>38</v>
      </c>
    </row>
    <row r="4732" spans="1:9" x14ac:dyDescent="0.25">
      <c r="A4732">
        <v>20131219</v>
      </c>
      <c r="B4732" t="str">
        <f t="shared" si="315"/>
        <v>113238</v>
      </c>
      <c r="C4732" t="str">
        <f t="shared" si="316"/>
        <v>23827</v>
      </c>
      <c r="D4732" t="s">
        <v>528</v>
      </c>
      <c r="E4732">
        <v>375.4</v>
      </c>
      <c r="F4732">
        <v>20131217</v>
      </c>
      <c r="G4732" t="s">
        <v>145</v>
      </c>
      <c r="H4732" t="s">
        <v>513</v>
      </c>
      <c r="I4732" t="s">
        <v>38</v>
      </c>
    </row>
    <row r="4733" spans="1:9" x14ac:dyDescent="0.25">
      <c r="A4733">
        <v>20131219</v>
      </c>
      <c r="B4733" t="str">
        <f t="shared" si="315"/>
        <v>113238</v>
      </c>
      <c r="C4733" t="str">
        <f t="shared" si="316"/>
        <v>23827</v>
      </c>
      <c r="D4733" t="s">
        <v>528</v>
      </c>
      <c r="E4733">
        <v>117.16</v>
      </c>
      <c r="F4733">
        <v>20131217</v>
      </c>
      <c r="G4733" t="s">
        <v>637</v>
      </c>
      <c r="H4733" t="s">
        <v>513</v>
      </c>
      <c r="I4733" t="s">
        <v>38</v>
      </c>
    </row>
    <row r="4734" spans="1:9" x14ac:dyDescent="0.25">
      <c r="A4734">
        <v>20131219</v>
      </c>
      <c r="B4734" t="str">
        <f t="shared" si="315"/>
        <v>113238</v>
      </c>
      <c r="C4734" t="str">
        <f t="shared" si="316"/>
        <v>23827</v>
      </c>
      <c r="D4734" t="s">
        <v>528</v>
      </c>
      <c r="E4734" s="1">
        <v>1246.44</v>
      </c>
      <c r="F4734">
        <v>20131217</v>
      </c>
      <c r="G4734" t="s">
        <v>154</v>
      </c>
      <c r="H4734" t="s">
        <v>2651</v>
      </c>
      <c r="I4734" t="s">
        <v>25</v>
      </c>
    </row>
    <row r="4735" spans="1:9" x14ac:dyDescent="0.25">
      <c r="A4735">
        <v>20131219</v>
      </c>
      <c r="B4735" t="str">
        <f t="shared" si="315"/>
        <v>113238</v>
      </c>
      <c r="C4735" t="str">
        <f t="shared" si="316"/>
        <v>23827</v>
      </c>
      <c r="D4735" t="s">
        <v>528</v>
      </c>
      <c r="E4735">
        <v>501.44</v>
      </c>
      <c r="F4735">
        <v>20131218</v>
      </c>
      <c r="G4735" t="s">
        <v>48</v>
      </c>
      <c r="H4735" t="s">
        <v>2652</v>
      </c>
      <c r="I4735" t="s">
        <v>25</v>
      </c>
    </row>
    <row r="4736" spans="1:9" x14ac:dyDescent="0.25">
      <c r="A4736">
        <v>20131219</v>
      </c>
      <c r="B4736" t="str">
        <f t="shared" si="315"/>
        <v>113238</v>
      </c>
      <c r="C4736" t="str">
        <f t="shared" si="316"/>
        <v>23827</v>
      </c>
      <c r="D4736" t="s">
        <v>528</v>
      </c>
      <c r="E4736">
        <v>287.60000000000002</v>
      </c>
      <c r="F4736">
        <v>20131218</v>
      </c>
      <c r="G4736" t="s">
        <v>1052</v>
      </c>
      <c r="H4736" t="s">
        <v>513</v>
      </c>
      <c r="I4736" t="s">
        <v>25</v>
      </c>
    </row>
    <row r="4737" spans="1:9" x14ac:dyDescent="0.25">
      <c r="A4737">
        <v>20131219</v>
      </c>
      <c r="B4737" t="str">
        <f t="shared" si="315"/>
        <v>113238</v>
      </c>
      <c r="C4737" t="str">
        <f t="shared" si="316"/>
        <v>23827</v>
      </c>
      <c r="D4737" t="s">
        <v>528</v>
      </c>
      <c r="E4737">
        <v>198</v>
      </c>
      <c r="F4737">
        <v>20131217</v>
      </c>
      <c r="G4737" t="s">
        <v>2150</v>
      </c>
      <c r="H4737" t="s">
        <v>513</v>
      </c>
      <c r="I4737" t="s">
        <v>25</v>
      </c>
    </row>
    <row r="4738" spans="1:9" x14ac:dyDescent="0.25">
      <c r="A4738">
        <v>20131219</v>
      </c>
      <c r="B4738" t="str">
        <f>"113239"</f>
        <v>113239</v>
      </c>
      <c r="C4738" t="str">
        <f>"81177"</f>
        <v>81177</v>
      </c>
      <c r="D4738" t="s">
        <v>2341</v>
      </c>
      <c r="E4738">
        <v>155</v>
      </c>
      <c r="F4738">
        <v>20131217</v>
      </c>
      <c r="G4738" t="s">
        <v>356</v>
      </c>
      <c r="H4738" t="s">
        <v>357</v>
      </c>
      <c r="I4738" t="s">
        <v>61</v>
      </c>
    </row>
    <row r="4739" spans="1:9" x14ac:dyDescent="0.25">
      <c r="A4739">
        <v>20131219</v>
      </c>
      <c r="B4739" t="str">
        <f>"113240"</f>
        <v>113240</v>
      </c>
      <c r="C4739" t="str">
        <f>"82357"</f>
        <v>82357</v>
      </c>
      <c r="D4739" t="s">
        <v>2653</v>
      </c>
      <c r="E4739" s="1">
        <v>7188.66</v>
      </c>
      <c r="F4739">
        <v>20131217</v>
      </c>
      <c r="G4739" t="s">
        <v>1464</v>
      </c>
      <c r="H4739" t="s">
        <v>2654</v>
      </c>
      <c r="I4739" t="s">
        <v>21</v>
      </c>
    </row>
    <row r="4740" spans="1:9" x14ac:dyDescent="0.25">
      <c r="A4740">
        <v>20131219</v>
      </c>
      <c r="B4740" t="str">
        <f>"113241"</f>
        <v>113241</v>
      </c>
      <c r="C4740" t="str">
        <f>"87640"</f>
        <v>87640</v>
      </c>
      <c r="D4740" t="s">
        <v>2655</v>
      </c>
      <c r="E4740">
        <v>50.11</v>
      </c>
      <c r="F4740">
        <v>20131218</v>
      </c>
      <c r="G4740" t="s">
        <v>202</v>
      </c>
      <c r="H4740" t="s">
        <v>2656</v>
      </c>
      <c r="I4740" t="s">
        <v>12</v>
      </c>
    </row>
    <row r="4741" spans="1:9" x14ac:dyDescent="0.25">
      <c r="A4741">
        <v>20131219</v>
      </c>
      <c r="B4741" t="str">
        <f>"113242"</f>
        <v>113242</v>
      </c>
      <c r="C4741" t="str">
        <f>"84625"</f>
        <v>84625</v>
      </c>
      <c r="D4741" t="s">
        <v>1580</v>
      </c>
      <c r="E4741">
        <v>189.94</v>
      </c>
      <c r="F4741">
        <v>20131218</v>
      </c>
      <c r="G4741" t="s">
        <v>704</v>
      </c>
      <c r="H4741" t="s">
        <v>2446</v>
      </c>
      <c r="I4741" t="s">
        <v>21</v>
      </c>
    </row>
    <row r="4742" spans="1:9" x14ac:dyDescent="0.25">
      <c r="A4742">
        <v>20131219</v>
      </c>
      <c r="B4742" t="str">
        <f>"113242"</f>
        <v>113242</v>
      </c>
      <c r="C4742" t="str">
        <f>"84625"</f>
        <v>84625</v>
      </c>
      <c r="D4742" t="s">
        <v>1580</v>
      </c>
      <c r="E4742">
        <v>72</v>
      </c>
      <c r="F4742">
        <v>20131218</v>
      </c>
      <c r="G4742" t="s">
        <v>704</v>
      </c>
      <c r="H4742" t="s">
        <v>2446</v>
      </c>
      <c r="I4742" t="s">
        <v>21</v>
      </c>
    </row>
    <row r="4743" spans="1:9" x14ac:dyDescent="0.25">
      <c r="A4743">
        <v>20131219</v>
      </c>
      <c r="B4743" t="str">
        <f>"113242"</f>
        <v>113242</v>
      </c>
      <c r="C4743" t="str">
        <f>"84625"</f>
        <v>84625</v>
      </c>
      <c r="D4743" t="s">
        <v>1580</v>
      </c>
      <c r="E4743">
        <v>415.82</v>
      </c>
      <c r="F4743">
        <v>20131212</v>
      </c>
      <c r="G4743" t="s">
        <v>840</v>
      </c>
      <c r="H4743" t="s">
        <v>2657</v>
      </c>
      <c r="I4743" t="s">
        <v>21</v>
      </c>
    </row>
    <row r="4744" spans="1:9" x14ac:dyDescent="0.25">
      <c r="A4744">
        <v>20131219</v>
      </c>
      <c r="B4744" t="str">
        <f>"113243"</f>
        <v>113243</v>
      </c>
      <c r="C4744" t="str">
        <f>"82048"</f>
        <v>82048</v>
      </c>
      <c r="D4744" t="s">
        <v>1860</v>
      </c>
      <c r="E4744">
        <v>160</v>
      </c>
      <c r="F4744">
        <v>20131218</v>
      </c>
      <c r="G4744" t="s">
        <v>2149</v>
      </c>
      <c r="H4744" t="s">
        <v>553</v>
      </c>
      <c r="I4744" t="s">
        <v>25</v>
      </c>
    </row>
    <row r="4745" spans="1:9" x14ac:dyDescent="0.25">
      <c r="A4745">
        <v>20131219</v>
      </c>
      <c r="B4745" t="str">
        <f>"113243"</f>
        <v>113243</v>
      </c>
      <c r="C4745" t="str">
        <f>"82048"</f>
        <v>82048</v>
      </c>
      <c r="D4745" t="s">
        <v>1860</v>
      </c>
      <c r="E4745">
        <v>640</v>
      </c>
      <c r="F4745">
        <v>20131218</v>
      </c>
      <c r="G4745" t="s">
        <v>2149</v>
      </c>
      <c r="H4745" t="s">
        <v>553</v>
      </c>
      <c r="I4745" t="s">
        <v>25</v>
      </c>
    </row>
    <row r="4746" spans="1:9" x14ac:dyDescent="0.25">
      <c r="A4746">
        <v>20131219</v>
      </c>
      <c r="B4746" t="str">
        <f>"113244"</f>
        <v>113244</v>
      </c>
      <c r="C4746" t="str">
        <f>"24575"</f>
        <v>24575</v>
      </c>
      <c r="D4746" t="s">
        <v>2658</v>
      </c>
      <c r="E4746">
        <v>539.99</v>
      </c>
      <c r="F4746">
        <v>20131212</v>
      </c>
      <c r="G4746" t="s">
        <v>1399</v>
      </c>
      <c r="H4746" t="s">
        <v>2659</v>
      </c>
      <c r="I4746" t="s">
        <v>21</v>
      </c>
    </row>
    <row r="4747" spans="1:9" x14ac:dyDescent="0.25">
      <c r="A4747">
        <v>20131219</v>
      </c>
      <c r="B4747" t="str">
        <f>"113245"</f>
        <v>113245</v>
      </c>
      <c r="C4747" t="str">
        <f>"24700"</f>
        <v>24700</v>
      </c>
      <c r="D4747" t="s">
        <v>2157</v>
      </c>
      <c r="E4747">
        <v>216.82</v>
      </c>
      <c r="F4747">
        <v>20131217</v>
      </c>
      <c r="G4747" t="s">
        <v>1424</v>
      </c>
      <c r="H4747" t="s">
        <v>2660</v>
      </c>
      <c r="I4747" t="s">
        <v>21</v>
      </c>
    </row>
    <row r="4748" spans="1:9" x14ac:dyDescent="0.25">
      <c r="A4748">
        <v>20131219</v>
      </c>
      <c r="B4748" t="str">
        <f>"113246"</f>
        <v>113246</v>
      </c>
      <c r="C4748" t="str">
        <f>"87528"</f>
        <v>87528</v>
      </c>
      <c r="D4748" t="s">
        <v>1048</v>
      </c>
      <c r="E4748">
        <v>630</v>
      </c>
      <c r="F4748">
        <v>20131218</v>
      </c>
      <c r="G4748" t="s">
        <v>1049</v>
      </c>
      <c r="H4748" t="s">
        <v>1050</v>
      </c>
      <c r="I4748" t="s">
        <v>21</v>
      </c>
    </row>
    <row r="4749" spans="1:9" x14ac:dyDescent="0.25">
      <c r="A4749">
        <v>20131219</v>
      </c>
      <c r="B4749" t="str">
        <f t="shared" ref="B4749:B4761" si="317">"113247"</f>
        <v>113247</v>
      </c>
      <c r="C4749" t="str">
        <f t="shared" ref="C4749:C4762" si="318">"25516"</f>
        <v>25516</v>
      </c>
      <c r="D4749" t="s">
        <v>529</v>
      </c>
      <c r="E4749">
        <v>30.44</v>
      </c>
      <c r="F4749">
        <v>20131218</v>
      </c>
      <c r="G4749" t="s">
        <v>496</v>
      </c>
      <c r="H4749" t="s">
        <v>414</v>
      </c>
      <c r="I4749" t="s">
        <v>21</v>
      </c>
    </row>
    <row r="4750" spans="1:9" x14ac:dyDescent="0.25">
      <c r="A4750">
        <v>20131219</v>
      </c>
      <c r="B4750" t="str">
        <f t="shared" si="317"/>
        <v>113247</v>
      </c>
      <c r="C4750" t="str">
        <f t="shared" si="318"/>
        <v>25516</v>
      </c>
      <c r="D4750" t="s">
        <v>529</v>
      </c>
      <c r="E4750" s="1">
        <v>1649.09</v>
      </c>
      <c r="F4750">
        <v>20131218</v>
      </c>
      <c r="G4750" t="s">
        <v>473</v>
      </c>
      <c r="H4750" t="s">
        <v>414</v>
      </c>
      <c r="I4750" t="s">
        <v>21</v>
      </c>
    </row>
    <row r="4751" spans="1:9" x14ac:dyDescent="0.25">
      <c r="A4751">
        <v>20131219</v>
      </c>
      <c r="B4751" t="str">
        <f t="shared" si="317"/>
        <v>113247</v>
      </c>
      <c r="C4751" t="str">
        <f t="shared" si="318"/>
        <v>25516</v>
      </c>
      <c r="D4751" t="s">
        <v>529</v>
      </c>
      <c r="E4751">
        <v>507.09</v>
      </c>
      <c r="F4751">
        <v>20131218</v>
      </c>
      <c r="G4751" t="s">
        <v>475</v>
      </c>
      <c r="H4751" t="s">
        <v>414</v>
      </c>
      <c r="I4751" t="s">
        <v>21</v>
      </c>
    </row>
    <row r="4752" spans="1:9" x14ac:dyDescent="0.25">
      <c r="A4752">
        <v>20131219</v>
      </c>
      <c r="B4752" t="str">
        <f t="shared" si="317"/>
        <v>113247</v>
      </c>
      <c r="C4752" t="str">
        <f t="shared" si="318"/>
        <v>25516</v>
      </c>
      <c r="D4752" t="s">
        <v>529</v>
      </c>
      <c r="E4752">
        <v>122.38</v>
      </c>
      <c r="F4752">
        <v>20131218</v>
      </c>
      <c r="G4752" t="s">
        <v>476</v>
      </c>
      <c r="H4752" t="s">
        <v>414</v>
      </c>
      <c r="I4752" t="s">
        <v>21</v>
      </c>
    </row>
    <row r="4753" spans="1:9" x14ac:dyDescent="0.25">
      <c r="A4753">
        <v>20131219</v>
      </c>
      <c r="B4753" t="str">
        <f t="shared" si="317"/>
        <v>113247</v>
      </c>
      <c r="C4753" t="str">
        <f t="shared" si="318"/>
        <v>25516</v>
      </c>
      <c r="D4753" t="s">
        <v>529</v>
      </c>
      <c r="E4753">
        <v>551.22</v>
      </c>
      <c r="F4753">
        <v>20131218</v>
      </c>
      <c r="G4753" t="s">
        <v>477</v>
      </c>
      <c r="H4753" t="s">
        <v>414</v>
      </c>
      <c r="I4753" t="s">
        <v>21</v>
      </c>
    </row>
    <row r="4754" spans="1:9" x14ac:dyDescent="0.25">
      <c r="A4754">
        <v>20131219</v>
      </c>
      <c r="B4754" t="str">
        <f t="shared" si="317"/>
        <v>113247</v>
      </c>
      <c r="C4754" t="str">
        <f t="shared" si="318"/>
        <v>25516</v>
      </c>
      <c r="D4754" t="s">
        <v>529</v>
      </c>
      <c r="E4754">
        <v>874.63</v>
      </c>
      <c r="F4754">
        <v>20131218</v>
      </c>
      <c r="G4754" t="s">
        <v>478</v>
      </c>
      <c r="H4754" t="s">
        <v>414</v>
      </c>
      <c r="I4754" t="s">
        <v>21</v>
      </c>
    </row>
    <row r="4755" spans="1:9" x14ac:dyDescent="0.25">
      <c r="A4755">
        <v>20131219</v>
      </c>
      <c r="B4755" t="str">
        <f t="shared" si="317"/>
        <v>113247</v>
      </c>
      <c r="C4755" t="str">
        <f t="shared" si="318"/>
        <v>25516</v>
      </c>
      <c r="D4755" t="s">
        <v>529</v>
      </c>
      <c r="E4755">
        <v>978.18</v>
      </c>
      <c r="F4755">
        <v>20131218</v>
      </c>
      <c r="G4755" t="s">
        <v>479</v>
      </c>
      <c r="H4755" t="s">
        <v>414</v>
      </c>
      <c r="I4755" t="s">
        <v>21</v>
      </c>
    </row>
    <row r="4756" spans="1:9" x14ac:dyDescent="0.25">
      <c r="A4756">
        <v>20131219</v>
      </c>
      <c r="B4756" t="str">
        <f t="shared" si="317"/>
        <v>113247</v>
      </c>
      <c r="C4756" t="str">
        <f t="shared" si="318"/>
        <v>25516</v>
      </c>
      <c r="D4756" t="s">
        <v>529</v>
      </c>
      <c r="E4756">
        <v>655.14</v>
      </c>
      <c r="F4756">
        <v>20131218</v>
      </c>
      <c r="G4756" t="s">
        <v>480</v>
      </c>
      <c r="H4756" t="s">
        <v>414</v>
      </c>
      <c r="I4756" t="s">
        <v>21</v>
      </c>
    </row>
    <row r="4757" spans="1:9" x14ac:dyDescent="0.25">
      <c r="A4757">
        <v>20131219</v>
      </c>
      <c r="B4757" t="str">
        <f t="shared" si="317"/>
        <v>113247</v>
      </c>
      <c r="C4757" t="str">
        <f t="shared" si="318"/>
        <v>25516</v>
      </c>
      <c r="D4757" t="s">
        <v>529</v>
      </c>
      <c r="E4757" s="1">
        <v>1061.8499999999999</v>
      </c>
      <c r="F4757">
        <v>20131218</v>
      </c>
      <c r="G4757" t="s">
        <v>481</v>
      </c>
      <c r="H4757" t="s">
        <v>414</v>
      </c>
      <c r="I4757" t="s">
        <v>21</v>
      </c>
    </row>
    <row r="4758" spans="1:9" x14ac:dyDescent="0.25">
      <c r="A4758">
        <v>20131219</v>
      </c>
      <c r="B4758" t="str">
        <f t="shared" si="317"/>
        <v>113247</v>
      </c>
      <c r="C4758" t="str">
        <f t="shared" si="318"/>
        <v>25516</v>
      </c>
      <c r="D4758" t="s">
        <v>529</v>
      </c>
      <c r="E4758" s="1">
        <v>1104.6600000000001</v>
      </c>
      <c r="F4758">
        <v>20131218</v>
      </c>
      <c r="G4758" t="s">
        <v>482</v>
      </c>
      <c r="H4758" t="s">
        <v>414</v>
      </c>
      <c r="I4758" t="s">
        <v>21</v>
      </c>
    </row>
    <row r="4759" spans="1:9" x14ac:dyDescent="0.25">
      <c r="A4759">
        <v>20131219</v>
      </c>
      <c r="B4759" t="str">
        <f t="shared" si="317"/>
        <v>113247</v>
      </c>
      <c r="C4759" t="str">
        <f t="shared" si="318"/>
        <v>25516</v>
      </c>
      <c r="D4759" t="s">
        <v>529</v>
      </c>
      <c r="E4759">
        <v>147.47</v>
      </c>
      <c r="F4759">
        <v>20131218</v>
      </c>
      <c r="G4759" t="s">
        <v>483</v>
      </c>
      <c r="H4759" t="s">
        <v>414</v>
      </c>
      <c r="I4759" t="s">
        <v>21</v>
      </c>
    </row>
    <row r="4760" spans="1:9" x14ac:dyDescent="0.25">
      <c r="A4760">
        <v>20131219</v>
      </c>
      <c r="B4760" t="str">
        <f t="shared" si="317"/>
        <v>113247</v>
      </c>
      <c r="C4760" t="str">
        <f t="shared" si="318"/>
        <v>25516</v>
      </c>
      <c r="D4760" t="s">
        <v>529</v>
      </c>
      <c r="E4760">
        <v>428.44</v>
      </c>
      <c r="F4760">
        <v>20131218</v>
      </c>
      <c r="G4760" t="s">
        <v>484</v>
      </c>
      <c r="H4760" t="s">
        <v>414</v>
      </c>
      <c r="I4760" t="s">
        <v>21</v>
      </c>
    </row>
    <row r="4761" spans="1:9" x14ac:dyDescent="0.25">
      <c r="A4761">
        <v>20131219</v>
      </c>
      <c r="B4761" t="str">
        <f t="shared" si="317"/>
        <v>113247</v>
      </c>
      <c r="C4761" t="str">
        <f t="shared" si="318"/>
        <v>25516</v>
      </c>
      <c r="D4761" t="s">
        <v>529</v>
      </c>
      <c r="E4761">
        <v>739.53</v>
      </c>
      <c r="F4761">
        <v>20131218</v>
      </c>
      <c r="G4761" t="s">
        <v>485</v>
      </c>
      <c r="H4761" t="s">
        <v>414</v>
      </c>
      <c r="I4761" t="s">
        <v>21</v>
      </c>
    </row>
    <row r="4762" spans="1:9" x14ac:dyDescent="0.25">
      <c r="A4762">
        <v>20131219</v>
      </c>
      <c r="B4762" t="str">
        <f>"113248"</f>
        <v>113248</v>
      </c>
      <c r="C4762" t="str">
        <f t="shared" si="318"/>
        <v>25516</v>
      </c>
      <c r="D4762" t="s">
        <v>529</v>
      </c>
      <c r="E4762">
        <v>921.63</v>
      </c>
      <c r="F4762">
        <v>20131218</v>
      </c>
      <c r="G4762" t="s">
        <v>331</v>
      </c>
      <c r="H4762" t="s">
        <v>414</v>
      </c>
      <c r="I4762" t="s">
        <v>12</v>
      </c>
    </row>
    <row r="4763" spans="1:9" x14ac:dyDescent="0.25">
      <c r="A4763">
        <v>20131219</v>
      </c>
      <c r="B4763" t="str">
        <f>"113249"</f>
        <v>113249</v>
      </c>
      <c r="C4763" t="str">
        <f>"25680"</f>
        <v>25680</v>
      </c>
      <c r="D4763" t="s">
        <v>818</v>
      </c>
      <c r="E4763">
        <v>156.75</v>
      </c>
      <c r="F4763">
        <v>20131217</v>
      </c>
      <c r="G4763" t="s">
        <v>819</v>
      </c>
      <c r="H4763" t="s">
        <v>2661</v>
      </c>
      <c r="I4763" t="s">
        <v>63</v>
      </c>
    </row>
    <row r="4764" spans="1:9" x14ac:dyDescent="0.25">
      <c r="A4764">
        <v>20131219</v>
      </c>
      <c r="B4764" t="str">
        <f>"113249"</f>
        <v>113249</v>
      </c>
      <c r="C4764" t="str">
        <f>"25680"</f>
        <v>25680</v>
      </c>
      <c r="D4764" t="s">
        <v>818</v>
      </c>
      <c r="E4764">
        <v>328</v>
      </c>
      <c r="F4764">
        <v>20131217</v>
      </c>
      <c r="G4764" t="s">
        <v>819</v>
      </c>
      <c r="H4764" t="s">
        <v>2661</v>
      </c>
      <c r="I4764" t="s">
        <v>63</v>
      </c>
    </row>
    <row r="4765" spans="1:9" x14ac:dyDescent="0.25">
      <c r="A4765">
        <v>20131219</v>
      </c>
      <c r="B4765" t="str">
        <f>"113250"</f>
        <v>113250</v>
      </c>
      <c r="C4765" t="str">
        <f>"26425"</f>
        <v>26425</v>
      </c>
      <c r="D4765" t="s">
        <v>822</v>
      </c>
      <c r="E4765">
        <v>280.02</v>
      </c>
      <c r="F4765">
        <v>20131218</v>
      </c>
      <c r="G4765" t="s">
        <v>1408</v>
      </c>
      <c r="H4765" t="s">
        <v>525</v>
      </c>
      <c r="I4765" t="s">
        <v>12</v>
      </c>
    </row>
    <row r="4766" spans="1:9" x14ac:dyDescent="0.25">
      <c r="A4766">
        <v>20131219</v>
      </c>
      <c r="B4766" t="str">
        <f>"113251"</f>
        <v>113251</v>
      </c>
      <c r="C4766" t="str">
        <f>"26990"</f>
        <v>26990</v>
      </c>
      <c r="D4766" t="s">
        <v>548</v>
      </c>
      <c r="E4766">
        <v>110</v>
      </c>
      <c r="F4766">
        <v>20131217</v>
      </c>
      <c r="G4766" t="s">
        <v>2662</v>
      </c>
      <c r="H4766" t="s">
        <v>2468</v>
      </c>
      <c r="I4766" t="s">
        <v>21</v>
      </c>
    </row>
    <row r="4767" spans="1:9" x14ac:dyDescent="0.25">
      <c r="A4767">
        <v>20131219</v>
      </c>
      <c r="B4767" t="str">
        <f>"113251"</f>
        <v>113251</v>
      </c>
      <c r="C4767" t="str">
        <f>"26990"</f>
        <v>26990</v>
      </c>
      <c r="D4767" t="s">
        <v>548</v>
      </c>
      <c r="E4767">
        <v>330</v>
      </c>
      <c r="F4767">
        <v>20131217</v>
      </c>
      <c r="G4767" t="s">
        <v>2663</v>
      </c>
      <c r="H4767" t="s">
        <v>2468</v>
      </c>
      <c r="I4767" t="s">
        <v>21</v>
      </c>
    </row>
    <row r="4768" spans="1:9" x14ac:dyDescent="0.25">
      <c r="A4768">
        <v>20131219</v>
      </c>
      <c r="B4768" t="str">
        <f>"113251"</f>
        <v>113251</v>
      </c>
      <c r="C4768" t="str">
        <f>"26990"</f>
        <v>26990</v>
      </c>
      <c r="D4768" t="s">
        <v>548</v>
      </c>
      <c r="E4768">
        <v>375</v>
      </c>
      <c r="F4768">
        <v>20131212</v>
      </c>
      <c r="G4768" t="s">
        <v>817</v>
      </c>
      <c r="H4768" t="s">
        <v>1054</v>
      </c>
      <c r="I4768" t="s">
        <v>66</v>
      </c>
    </row>
    <row r="4769" spans="1:9" x14ac:dyDescent="0.25">
      <c r="A4769">
        <v>20131219</v>
      </c>
      <c r="B4769" t="str">
        <f>"113252"</f>
        <v>113252</v>
      </c>
      <c r="C4769" t="str">
        <f>"26990"</f>
        <v>26990</v>
      </c>
      <c r="D4769" t="s">
        <v>548</v>
      </c>
      <c r="E4769">
        <v>30</v>
      </c>
      <c r="F4769">
        <v>20131218</v>
      </c>
      <c r="G4769" t="s">
        <v>202</v>
      </c>
      <c r="H4769" t="s">
        <v>2664</v>
      </c>
      <c r="I4769" t="s">
        <v>12</v>
      </c>
    </row>
    <row r="4770" spans="1:9" x14ac:dyDescent="0.25">
      <c r="A4770">
        <v>20131219</v>
      </c>
      <c r="B4770" t="str">
        <f>"113253"</f>
        <v>113253</v>
      </c>
      <c r="C4770" t="str">
        <f>"26980"</f>
        <v>26980</v>
      </c>
      <c r="D4770" t="s">
        <v>1230</v>
      </c>
      <c r="E4770" s="1">
        <v>1050.8399999999999</v>
      </c>
      <c r="F4770">
        <v>20131218</v>
      </c>
      <c r="G4770" t="s">
        <v>202</v>
      </c>
      <c r="H4770" t="s">
        <v>2665</v>
      </c>
      <c r="I4770" t="s">
        <v>12</v>
      </c>
    </row>
    <row r="4771" spans="1:9" x14ac:dyDescent="0.25">
      <c r="A4771">
        <v>20131219</v>
      </c>
      <c r="B4771" t="str">
        <f>"113254"</f>
        <v>113254</v>
      </c>
      <c r="C4771" t="str">
        <f>"27981"</f>
        <v>27981</v>
      </c>
      <c r="D4771" t="s">
        <v>551</v>
      </c>
      <c r="E4771">
        <v>282</v>
      </c>
      <c r="F4771">
        <v>20131217</v>
      </c>
      <c r="G4771" t="s">
        <v>415</v>
      </c>
      <c r="H4771" t="s">
        <v>414</v>
      </c>
      <c r="I4771" t="s">
        <v>21</v>
      </c>
    </row>
    <row r="4772" spans="1:9" x14ac:dyDescent="0.25">
      <c r="A4772">
        <v>20131219</v>
      </c>
      <c r="B4772" t="str">
        <f>"113254"</f>
        <v>113254</v>
      </c>
      <c r="C4772" t="str">
        <f>"27981"</f>
        <v>27981</v>
      </c>
      <c r="D4772" t="s">
        <v>551</v>
      </c>
      <c r="E4772">
        <v>88.35</v>
      </c>
      <c r="F4772">
        <v>20131217</v>
      </c>
      <c r="G4772" t="s">
        <v>627</v>
      </c>
      <c r="H4772" t="s">
        <v>414</v>
      </c>
      <c r="I4772" t="s">
        <v>21</v>
      </c>
    </row>
    <row r="4773" spans="1:9" x14ac:dyDescent="0.25">
      <c r="A4773">
        <v>20131219</v>
      </c>
      <c r="B4773" t="str">
        <f>"113254"</f>
        <v>113254</v>
      </c>
      <c r="C4773" t="str">
        <f>"27981"</f>
        <v>27981</v>
      </c>
      <c r="D4773" t="s">
        <v>551</v>
      </c>
      <c r="E4773">
        <v>16.5</v>
      </c>
      <c r="F4773">
        <v>20131217</v>
      </c>
      <c r="G4773" t="s">
        <v>392</v>
      </c>
      <c r="H4773" t="s">
        <v>414</v>
      </c>
      <c r="I4773" t="s">
        <v>21</v>
      </c>
    </row>
    <row r="4774" spans="1:9" x14ac:dyDescent="0.25">
      <c r="A4774">
        <v>20131219</v>
      </c>
      <c r="B4774" t="str">
        <f>"113254"</f>
        <v>113254</v>
      </c>
      <c r="C4774" t="str">
        <f>"27981"</f>
        <v>27981</v>
      </c>
      <c r="D4774" t="s">
        <v>551</v>
      </c>
      <c r="E4774">
        <v>105.33</v>
      </c>
      <c r="F4774">
        <v>20131217</v>
      </c>
      <c r="G4774" t="s">
        <v>392</v>
      </c>
      <c r="H4774" t="s">
        <v>414</v>
      </c>
      <c r="I4774" t="s">
        <v>21</v>
      </c>
    </row>
    <row r="4775" spans="1:9" x14ac:dyDescent="0.25">
      <c r="A4775">
        <v>20131219</v>
      </c>
      <c r="B4775" t="str">
        <f>"113255"</f>
        <v>113255</v>
      </c>
      <c r="C4775" t="str">
        <f>"86524"</f>
        <v>86524</v>
      </c>
      <c r="D4775" t="s">
        <v>2666</v>
      </c>
      <c r="E4775">
        <v>225</v>
      </c>
      <c r="F4775">
        <v>20131212</v>
      </c>
      <c r="G4775" t="s">
        <v>2667</v>
      </c>
      <c r="H4775" t="s">
        <v>2668</v>
      </c>
      <c r="I4775" t="s">
        <v>21</v>
      </c>
    </row>
    <row r="4776" spans="1:9" x14ac:dyDescent="0.25">
      <c r="A4776">
        <v>20131219</v>
      </c>
      <c r="B4776" t="str">
        <f>"113255"</f>
        <v>113255</v>
      </c>
      <c r="C4776" t="str">
        <f>"86524"</f>
        <v>86524</v>
      </c>
      <c r="D4776" t="s">
        <v>2666</v>
      </c>
      <c r="E4776">
        <v>105</v>
      </c>
      <c r="F4776">
        <v>20131212</v>
      </c>
      <c r="G4776" t="s">
        <v>2669</v>
      </c>
      <c r="H4776" t="s">
        <v>2668</v>
      </c>
      <c r="I4776" t="s">
        <v>21</v>
      </c>
    </row>
    <row r="4777" spans="1:9" x14ac:dyDescent="0.25">
      <c r="A4777">
        <v>20131219</v>
      </c>
      <c r="B4777" t="str">
        <f>"113256"</f>
        <v>113256</v>
      </c>
      <c r="C4777" t="str">
        <f>"28015"</f>
        <v>28015</v>
      </c>
      <c r="D4777" t="s">
        <v>1234</v>
      </c>
      <c r="E4777" s="1">
        <v>1595.76</v>
      </c>
      <c r="F4777">
        <v>20131217</v>
      </c>
      <c r="G4777" t="s">
        <v>1721</v>
      </c>
      <c r="H4777" t="s">
        <v>921</v>
      </c>
      <c r="I4777" t="s">
        <v>21</v>
      </c>
    </row>
    <row r="4778" spans="1:9" x14ac:dyDescent="0.25">
      <c r="A4778">
        <v>20131219</v>
      </c>
      <c r="B4778" t="str">
        <f>"113256"</f>
        <v>113256</v>
      </c>
      <c r="C4778" t="str">
        <f>"28015"</f>
        <v>28015</v>
      </c>
      <c r="D4778" t="s">
        <v>1234</v>
      </c>
      <c r="E4778" s="1">
        <v>1595.76</v>
      </c>
      <c r="F4778">
        <v>20131217</v>
      </c>
      <c r="G4778" t="s">
        <v>1120</v>
      </c>
      <c r="H4778" t="s">
        <v>921</v>
      </c>
      <c r="I4778" t="s">
        <v>66</v>
      </c>
    </row>
    <row r="4779" spans="1:9" x14ac:dyDescent="0.25">
      <c r="A4779">
        <v>20131219</v>
      </c>
      <c r="B4779" t="str">
        <f>"113257"</f>
        <v>113257</v>
      </c>
      <c r="C4779" t="str">
        <f>"84866"</f>
        <v>84866</v>
      </c>
      <c r="D4779" t="s">
        <v>1060</v>
      </c>
      <c r="E4779">
        <v>83.16</v>
      </c>
      <c r="F4779">
        <v>20131217</v>
      </c>
      <c r="G4779" t="s">
        <v>171</v>
      </c>
      <c r="H4779" t="s">
        <v>1741</v>
      </c>
      <c r="I4779" t="s">
        <v>38</v>
      </c>
    </row>
    <row r="4780" spans="1:9" x14ac:dyDescent="0.25">
      <c r="A4780">
        <v>20131219</v>
      </c>
      <c r="B4780" t="str">
        <f>"113258"</f>
        <v>113258</v>
      </c>
      <c r="C4780" t="str">
        <f>"86750"</f>
        <v>86750</v>
      </c>
      <c r="D4780" t="s">
        <v>2670</v>
      </c>
      <c r="E4780">
        <v>58.58</v>
      </c>
      <c r="F4780">
        <v>20131217</v>
      </c>
      <c r="G4780" t="s">
        <v>438</v>
      </c>
      <c r="H4780" t="s">
        <v>365</v>
      </c>
      <c r="I4780" t="s">
        <v>66</v>
      </c>
    </row>
    <row r="4781" spans="1:9" x14ac:dyDescent="0.25">
      <c r="A4781">
        <v>20131219</v>
      </c>
      <c r="B4781" t="str">
        <f>"113259"</f>
        <v>113259</v>
      </c>
      <c r="C4781" t="str">
        <f>"81292"</f>
        <v>81292</v>
      </c>
      <c r="D4781" t="s">
        <v>1417</v>
      </c>
      <c r="E4781">
        <v>5.09</v>
      </c>
      <c r="F4781">
        <v>20131217</v>
      </c>
      <c r="G4781" t="s">
        <v>496</v>
      </c>
      <c r="H4781" t="s">
        <v>414</v>
      </c>
      <c r="I4781" t="s">
        <v>21</v>
      </c>
    </row>
    <row r="4782" spans="1:9" x14ac:dyDescent="0.25">
      <c r="A4782">
        <v>20131219</v>
      </c>
      <c r="B4782" t="str">
        <f>"113259"</f>
        <v>113259</v>
      </c>
      <c r="C4782" t="str">
        <f>"81292"</f>
        <v>81292</v>
      </c>
      <c r="D4782" t="s">
        <v>1417</v>
      </c>
      <c r="E4782">
        <v>17.14</v>
      </c>
      <c r="F4782">
        <v>20131217</v>
      </c>
      <c r="G4782" t="s">
        <v>415</v>
      </c>
      <c r="H4782" t="s">
        <v>414</v>
      </c>
      <c r="I4782" t="s">
        <v>21</v>
      </c>
    </row>
    <row r="4783" spans="1:9" x14ac:dyDescent="0.25">
      <c r="A4783">
        <v>20131219</v>
      </c>
      <c r="B4783" t="str">
        <f>"113260"</f>
        <v>113260</v>
      </c>
      <c r="C4783" t="str">
        <f>"86945"</f>
        <v>86945</v>
      </c>
      <c r="D4783" t="s">
        <v>1589</v>
      </c>
      <c r="E4783">
        <v>140.4</v>
      </c>
      <c r="F4783">
        <v>20131217</v>
      </c>
      <c r="G4783" t="s">
        <v>2671</v>
      </c>
      <c r="H4783" t="s">
        <v>365</v>
      </c>
      <c r="I4783" t="s">
        <v>66</v>
      </c>
    </row>
    <row r="4784" spans="1:9" x14ac:dyDescent="0.25">
      <c r="A4784">
        <v>20131219</v>
      </c>
      <c r="B4784" t="str">
        <f>"113261"</f>
        <v>113261</v>
      </c>
      <c r="C4784" t="str">
        <f>"87669"</f>
        <v>87669</v>
      </c>
      <c r="D4784" t="s">
        <v>2672</v>
      </c>
      <c r="E4784">
        <v>200</v>
      </c>
      <c r="F4784">
        <v>20131218</v>
      </c>
      <c r="G4784" t="s">
        <v>214</v>
      </c>
      <c r="H4784" t="s">
        <v>2673</v>
      </c>
      <c r="I4784" t="s">
        <v>38</v>
      </c>
    </row>
    <row r="4785" spans="1:9" x14ac:dyDescent="0.25">
      <c r="A4785">
        <v>20131219</v>
      </c>
      <c r="B4785" t="str">
        <f t="shared" ref="B4785:B4797" si="319">"113262"</f>
        <v>113262</v>
      </c>
      <c r="C4785" t="str">
        <f t="shared" ref="C4785:C4797" si="320">"30000"</f>
        <v>30000</v>
      </c>
      <c r="D4785" t="s">
        <v>556</v>
      </c>
      <c r="E4785">
        <v>344.36</v>
      </c>
      <c r="F4785">
        <v>20131213</v>
      </c>
      <c r="G4785" t="s">
        <v>1067</v>
      </c>
      <c r="H4785" t="s">
        <v>2674</v>
      </c>
      <c r="I4785" t="s">
        <v>21</v>
      </c>
    </row>
    <row r="4786" spans="1:9" x14ac:dyDescent="0.25">
      <c r="A4786">
        <v>20131219</v>
      </c>
      <c r="B4786" t="str">
        <f t="shared" si="319"/>
        <v>113262</v>
      </c>
      <c r="C4786" t="str">
        <f t="shared" si="320"/>
        <v>30000</v>
      </c>
      <c r="D4786" t="s">
        <v>556</v>
      </c>
      <c r="E4786">
        <v>893.93</v>
      </c>
      <c r="F4786">
        <v>20131217</v>
      </c>
      <c r="G4786" t="s">
        <v>828</v>
      </c>
      <c r="H4786" t="s">
        <v>2675</v>
      </c>
      <c r="I4786" t="s">
        <v>21</v>
      </c>
    </row>
    <row r="4787" spans="1:9" x14ac:dyDescent="0.25">
      <c r="A4787">
        <v>20131219</v>
      </c>
      <c r="B4787" t="str">
        <f t="shared" si="319"/>
        <v>113262</v>
      </c>
      <c r="C4787" t="str">
        <f t="shared" si="320"/>
        <v>30000</v>
      </c>
      <c r="D4787" t="s">
        <v>556</v>
      </c>
      <c r="E4787">
        <v>53.98</v>
      </c>
      <c r="F4787">
        <v>20131212</v>
      </c>
      <c r="G4787" t="s">
        <v>1773</v>
      </c>
      <c r="H4787" t="s">
        <v>2676</v>
      </c>
      <c r="I4787" t="s">
        <v>21</v>
      </c>
    </row>
    <row r="4788" spans="1:9" x14ac:dyDescent="0.25">
      <c r="A4788">
        <v>20131219</v>
      </c>
      <c r="B4788" t="str">
        <f t="shared" si="319"/>
        <v>113262</v>
      </c>
      <c r="C4788" t="str">
        <f t="shared" si="320"/>
        <v>30000</v>
      </c>
      <c r="D4788" t="s">
        <v>556</v>
      </c>
      <c r="E4788">
        <v>26.99</v>
      </c>
      <c r="F4788">
        <v>20131212</v>
      </c>
      <c r="G4788" t="s">
        <v>1774</v>
      </c>
      <c r="H4788" t="s">
        <v>2676</v>
      </c>
      <c r="I4788" t="s">
        <v>21</v>
      </c>
    </row>
    <row r="4789" spans="1:9" x14ac:dyDescent="0.25">
      <c r="A4789">
        <v>20131219</v>
      </c>
      <c r="B4789" t="str">
        <f t="shared" si="319"/>
        <v>113262</v>
      </c>
      <c r="C4789" t="str">
        <f t="shared" si="320"/>
        <v>30000</v>
      </c>
      <c r="D4789" t="s">
        <v>556</v>
      </c>
      <c r="E4789">
        <v>26.99</v>
      </c>
      <c r="F4789">
        <v>20131212</v>
      </c>
      <c r="G4789" t="s">
        <v>2677</v>
      </c>
      <c r="H4789" t="s">
        <v>2676</v>
      </c>
      <c r="I4789" t="s">
        <v>21</v>
      </c>
    </row>
    <row r="4790" spans="1:9" x14ac:dyDescent="0.25">
      <c r="A4790">
        <v>20131219</v>
      </c>
      <c r="B4790" t="str">
        <f t="shared" si="319"/>
        <v>113262</v>
      </c>
      <c r="C4790" t="str">
        <f t="shared" si="320"/>
        <v>30000</v>
      </c>
      <c r="D4790" t="s">
        <v>556</v>
      </c>
      <c r="E4790">
        <v>26.99</v>
      </c>
      <c r="F4790">
        <v>20131212</v>
      </c>
      <c r="G4790" t="s">
        <v>1618</v>
      </c>
      <c r="H4790" t="s">
        <v>2676</v>
      </c>
      <c r="I4790" t="s">
        <v>21</v>
      </c>
    </row>
    <row r="4791" spans="1:9" x14ac:dyDescent="0.25">
      <c r="A4791">
        <v>20131219</v>
      </c>
      <c r="B4791" t="str">
        <f t="shared" si="319"/>
        <v>113262</v>
      </c>
      <c r="C4791" t="str">
        <f t="shared" si="320"/>
        <v>30000</v>
      </c>
      <c r="D4791" t="s">
        <v>556</v>
      </c>
      <c r="E4791">
        <v>26.99</v>
      </c>
      <c r="F4791">
        <v>20131212</v>
      </c>
      <c r="G4791" t="s">
        <v>1775</v>
      </c>
      <c r="H4791" t="s">
        <v>2676</v>
      </c>
      <c r="I4791" t="s">
        <v>21</v>
      </c>
    </row>
    <row r="4792" spans="1:9" x14ac:dyDescent="0.25">
      <c r="A4792">
        <v>20131219</v>
      </c>
      <c r="B4792" t="str">
        <f t="shared" si="319"/>
        <v>113262</v>
      </c>
      <c r="C4792" t="str">
        <f t="shared" si="320"/>
        <v>30000</v>
      </c>
      <c r="D4792" t="s">
        <v>556</v>
      </c>
      <c r="E4792">
        <v>26.99</v>
      </c>
      <c r="F4792">
        <v>20131212</v>
      </c>
      <c r="G4792" t="s">
        <v>2622</v>
      </c>
      <c r="H4792" t="s">
        <v>2676</v>
      </c>
      <c r="I4792" t="s">
        <v>21</v>
      </c>
    </row>
    <row r="4793" spans="1:9" x14ac:dyDescent="0.25">
      <c r="A4793">
        <v>20131219</v>
      </c>
      <c r="B4793" t="str">
        <f t="shared" si="319"/>
        <v>113262</v>
      </c>
      <c r="C4793" t="str">
        <f t="shared" si="320"/>
        <v>30000</v>
      </c>
      <c r="D4793" t="s">
        <v>556</v>
      </c>
      <c r="E4793">
        <v>26.99</v>
      </c>
      <c r="F4793">
        <v>20131212</v>
      </c>
      <c r="G4793" t="s">
        <v>1619</v>
      </c>
      <c r="H4793" t="s">
        <v>2676</v>
      </c>
      <c r="I4793" t="s">
        <v>21</v>
      </c>
    </row>
    <row r="4794" spans="1:9" x14ac:dyDescent="0.25">
      <c r="A4794">
        <v>20131219</v>
      </c>
      <c r="B4794" t="str">
        <f t="shared" si="319"/>
        <v>113262</v>
      </c>
      <c r="C4794" t="str">
        <f t="shared" si="320"/>
        <v>30000</v>
      </c>
      <c r="D4794" t="s">
        <v>556</v>
      </c>
      <c r="E4794">
        <v>26.99</v>
      </c>
      <c r="F4794">
        <v>20131212</v>
      </c>
      <c r="G4794" t="s">
        <v>1776</v>
      </c>
      <c r="H4794" t="s">
        <v>2676</v>
      </c>
      <c r="I4794" t="s">
        <v>21</v>
      </c>
    </row>
    <row r="4795" spans="1:9" x14ac:dyDescent="0.25">
      <c r="A4795">
        <v>20131219</v>
      </c>
      <c r="B4795" t="str">
        <f t="shared" si="319"/>
        <v>113262</v>
      </c>
      <c r="C4795" t="str">
        <f t="shared" si="320"/>
        <v>30000</v>
      </c>
      <c r="D4795" t="s">
        <v>556</v>
      </c>
      <c r="E4795">
        <v>42.99</v>
      </c>
      <c r="F4795">
        <v>20131212</v>
      </c>
      <c r="G4795" t="s">
        <v>834</v>
      </c>
      <c r="H4795" t="s">
        <v>2678</v>
      </c>
      <c r="I4795" t="s">
        <v>21</v>
      </c>
    </row>
    <row r="4796" spans="1:9" x14ac:dyDescent="0.25">
      <c r="A4796">
        <v>20131219</v>
      </c>
      <c r="B4796" t="str">
        <f t="shared" si="319"/>
        <v>113262</v>
      </c>
      <c r="C4796" t="str">
        <f t="shared" si="320"/>
        <v>30000</v>
      </c>
      <c r="D4796" t="s">
        <v>556</v>
      </c>
      <c r="E4796">
        <v>445.69</v>
      </c>
      <c r="F4796">
        <v>20131212</v>
      </c>
      <c r="G4796" t="s">
        <v>834</v>
      </c>
      <c r="H4796" t="s">
        <v>2679</v>
      </c>
      <c r="I4796" t="s">
        <v>21</v>
      </c>
    </row>
    <row r="4797" spans="1:9" x14ac:dyDescent="0.25">
      <c r="A4797">
        <v>20131219</v>
      </c>
      <c r="B4797" t="str">
        <f t="shared" si="319"/>
        <v>113262</v>
      </c>
      <c r="C4797" t="str">
        <f t="shared" si="320"/>
        <v>30000</v>
      </c>
      <c r="D4797" t="s">
        <v>556</v>
      </c>
      <c r="E4797">
        <v>18.989999999999998</v>
      </c>
      <c r="F4797">
        <v>20131217</v>
      </c>
      <c r="G4797" t="s">
        <v>137</v>
      </c>
      <c r="H4797" t="s">
        <v>414</v>
      </c>
      <c r="I4797" t="s">
        <v>21</v>
      </c>
    </row>
    <row r="4798" spans="1:9" x14ac:dyDescent="0.25">
      <c r="A4798">
        <v>20131219</v>
      </c>
      <c r="B4798" t="str">
        <f>"113263"</f>
        <v>113263</v>
      </c>
      <c r="C4798" t="str">
        <f>"30125"</f>
        <v>30125</v>
      </c>
      <c r="D4798" t="s">
        <v>2509</v>
      </c>
      <c r="E4798">
        <v>371.23</v>
      </c>
      <c r="F4798">
        <v>20131212</v>
      </c>
      <c r="G4798" t="s">
        <v>1774</v>
      </c>
      <c r="H4798" t="s">
        <v>2680</v>
      </c>
      <c r="I4798" t="s">
        <v>21</v>
      </c>
    </row>
    <row r="4799" spans="1:9" x14ac:dyDescent="0.25">
      <c r="A4799">
        <v>20131219</v>
      </c>
      <c r="B4799" t="str">
        <f>"113264"</f>
        <v>113264</v>
      </c>
      <c r="C4799" t="str">
        <f>"00287"</f>
        <v>00287</v>
      </c>
      <c r="D4799" t="s">
        <v>558</v>
      </c>
      <c r="E4799">
        <v>408.65</v>
      </c>
      <c r="F4799">
        <v>20131212</v>
      </c>
      <c r="G4799" t="s">
        <v>840</v>
      </c>
      <c r="H4799" t="s">
        <v>2681</v>
      </c>
      <c r="I4799" t="s">
        <v>21</v>
      </c>
    </row>
    <row r="4800" spans="1:9" x14ac:dyDescent="0.25">
      <c r="A4800">
        <v>20131219</v>
      </c>
      <c r="B4800" t="str">
        <f>"113265"</f>
        <v>113265</v>
      </c>
      <c r="C4800" t="str">
        <f>"87037"</f>
        <v>87037</v>
      </c>
      <c r="D4800" t="s">
        <v>2184</v>
      </c>
      <c r="E4800">
        <v>22.46</v>
      </c>
      <c r="F4800">
        <v>20131218</v>
      </c>
      <c r="G4800" t="s">
        <v>562</v>
      </c>
      <c r="H4800" t="s">
        <v>563</v>
      </c>
      <c r="I4800" t="s">
        <v>21</v>
      </c>
    </row>
    <row r="4801" spans="1:9" x14ac:dyDescent="0.25">
      <c r="A4801">
        <v>20131219</v>
      </c>
      <c r="B4801" t="str">
        <f>"113266"</f>
        <v>113266</v>
      </c>
      <c r="C4801" t="str">
        <f>"30500"</f>
        <v>30500</v>
      </c>
      <c r="D4801" t="s">
        <v>2682</v>
      </c>
      <c r="E4801">
        <v>278.25</v>
      </c>
      <c r="F4801">
        <v>20131217</v>
      </c>
      <c r="G4801" t="s">
        <v>2599</v>
      </c>
      <c r="H4801" t="s">
        <v>2683</v>
      </c>
      <c r="I4801" t="s">
        <v>21</v>
      </c>
    </row>
    <row r="4802" spans="1:9" x14ac:dyDescent="0.25">
      <c r="A4802">
        <v>20131219</v>
      </c>
      <c r="B4802" t="str">
        <f>"113267"</f>
        <v>113267</v>
      </c>
      <c r="C4802" t="str">
        <f>"30600"</f>
        <v>30600</v>
      </c>
      <c r="D4802" t="s">
        <v>2511</v>
      </c>
      <c r="E4802">
        <v>942.43</v>
      </c>
      <c r="F4802">
        <v>20131213</v>
      </c>
      <c r="G4802" t="s">
        <v>1067</v>
      </c>
      <c r="H4802" t="s">
        <v>2684</v>
      </c>
      <c r="I4802" t="s">
        <v>21</v>
      </c>
    </row>
    <row r="4803" spans="1:9" x14ac:dyDescent="0.25">
      <c r="A4803">
        <v>20131219</v>
      </c>
      <c r="B4803" t="str">
        <f>"113268"</f>
        <v>113268</v>
      </c>
      <c r="C4803" t="str">
        <f>"85748"</f>
        <v>85748</v>
      </c>
      <c r="D4803" t="s">
        <v>1598</v>
      </c>
      <c r="E4803">
        <v>720</v>
      </c>
      <c r="F4803">
        <v>20131217</v>
      </c>
      <c r="G4803" t="s">
        <v>1026</v>
      </c>
      <c r="H4803" t="s">
        <v>563</v>
      </c>
      <c r="I4803" t="s">
        <v>21</v>
      </c>
    </row>
    <row r="4804" spans="1:9" x14ac:dyDescent="0.25">
      <c r="A4804">
        <v>20131219</v>
      </c>
      <c r="B4804" t="str">
        <f>"113269"</f>
        <v>113269</v>
      </c>
      <c r="C4804" t="str">
        <f>"82187"</f>
        <v>82187</v>
      </c>
      <c r="D4804" t="s">
        <v>2513</v>
      </c>
      <c r="E4804">
        <v>75.5</v>
      </c>
      <c r="F4804">
        <v>20131217</v>
      </c>
      <c r="G4804" t="s">
        <v>585</v>
      </c>
      <c r="H4804" t="s">
        <v>354</v>
      </c>
      <c r="I4804" t="s">
        <v>21</v>
      </c>
    </row>
    <row r="4805" spans="1:9" x14ac:dyDescent="0.25">
      <c r="A4805">
        <v>20131219</v>
      </c>
      <c r="B4805" t="str">
        <f>"113270"</f>
        <v>113270</v>
      </c>
      <c r="C4805" t="str">
        <f>"82763"</f>
        <v>82763</v>
      </c>
      <c r="D4805" t="s">
        <v>2189</v>
      </c>
      <c r="E4805">
        <v>50</v>
      </c>
      <c r="F4805">
        <v>20131217</v>
      </c>
      <c r="G4805" t="s">
        <v>1773</v>
      </c>
      <c r="H4805" t="s">
        <v>2685</v>
      </c>
      <c r="I4805" t="s">
        <v>21</v>
      </c>
    </row>
    <row r="4806" spans="1:9" x14ac:dyDescent="0.25">
      <c r="A4806">
        <v>20131219</v>
      </c>
      <c r="B4806" t="str">
        <f>"113271"</f>
        <v>113271</v>
      </c>
      <c r="C4806" t="str">
        <f>"31200"</f>
        <v>31200</v>
      </c>
      <c r="D4806" t="s">
        <v>576</v>
      </c>
      <c r="E4806">
        <v>274</v>
      </c>
      <c r="F4806">
        <v>20131217</v>
      </c>
      <c r="G4806" t="s">
        <v>581</v>
      </c>
      <c r="H4806" t="s">
        <v>2686</v>
      </c>
      <c r="I4806" t="s">
        <v>21</v>
      </c>
    </row>
    <row r="4807" spans="1:9" x14ac:dyDescent="0.25">
      <c r="A4807">
        <v>20131219</v>
      </c>
      <c r="B4807" t="str">
        <f>"113272"</f>
        <v>113272</v>
      </c>
      <c r="C4807" t="str">
        <f>"85307"</f>
        <v>85307</v>
      </c>
      <c r="D4807" t="s">
        <v>2687</v>
      </c>
      <c r="E4807">
        <v>120</v>
      </c>
      <c r="F4807">
        <v>20131217</v>
      </c>
      <c r="G4807" t="s">
        <v>1846</v>
      </c>
      <c r="H4807" t="s">
        <v>765</v>
      </c>
      <c r="I4807" t="s">
        <v>63</v>
      </c>
    </row>
    <row r="4808" spans="1:9" x14ac:dyDescent="0.25">
      <c r="A4808">
        <v>20131219</v>
      </c>
      <c r="B4808" t="str">
        <f>"113273"</f>
        <v>113273</v>
      </c>
      <c r="C4808" t="str">
        <f>"87654"</f>
        <v>87654</v>
      </c>
      <c r="D4808" t="s">
        <v>2688</v>
      </c>
      <c r="E4808">
        <v>86.23</v>
      </c>
      <c r="F4808">
        <v>20131217</v>
      </c>
      <c r="G4808" t="s">
        <v>877</v>
      </c>
      <c r="H4808" t="s">
        <v>365</v>
      </c>
      <c r="I4808" t="s">
        <v>66</v>
      </c>
    </row>
    <row r="4809" spans="1:9" x14ac:dyDescent="0.25">
      <c r="A4809">
        <v>20131219</v>
      </c>
      <c r="B4809" t="str">
        <f>"113274"</f>
        <v>113274</v>
      </c>
      <c r="C4809" t="str">
        <f>"87456"</f>
        <v>87456</v>
      </c>
      <c r="D4809" t="s">
        <v>1434</v>
      </c>
      <c r="E4809" s="1">
        <v>4008.75</v>
      </c>
      <c r="F4809">
        <v>20131212</v>
      </c>
      <c r="G4809" t="s">
        <v>1064</v>
      </c>
      <c r="H4809" t="s">
        <v>2689</v>
      </c>
      <c r="I4809" t="s">
        <v>21</v>
      </c>
    </row>
    <row r="4810" spans="1:9" x14ac:dyDescent="0.25">
      <c r="A4810">
        <v>20131219</v>
      </c>
      <c r="B4810" t="str">
        <f>"113275"</f>
        <v>113275</v>
      </c>
      <c r="C4810" t="str">
        <f>"87352"</f>
        <v>87352</v>
      </c>
      <c r="D4810" t="s">
        <v>1602</v>
      </c>
      <c r="E4810" s="1">
        <v>13536</v>
      </c>
      <c r="F4810">
        <v>20131218</v>
      </c>
      <c r="G4810" t="s">
        <v>48</v>
      </c>
      <c r="H4810" t="s">
        <v>1603</v>
      </c>
      <c r="I4810" t="s">
        <v>25</v>
      </c>
    </row>
    <row r="4811" spans="1:9" x14ac:dyDescent="0.25">
      <c r="A4811">
        <v>20131219</v>
      </c>
      <c r="B4811" t="str">
        <f>"113276"</f>
        <v>113276</v>
      </c>
      <c r="C4811" t="str">
        <f>"84980"</f>
        <v>84980</v>
      </c>
      <c r="D4811" t="s">
        <v>591</v>
      </c>
      <c r="E4811" s="1">
        <v>1053.5</v>
      </c>
      <c r="F4811">
        <v>20131218</v>
      </c>
      <c r="G4811" t="s">
        <v>819</v>
      </c>
      <c r="H4811" t="s">
        <v>2369</v>
      </c>
      <c r="I4811" t="s">
        <v>63</v>
      </c>
    </row>
    <row r="4812" spans="1:9" x14ac:dyDescent="0.25">
      <c r="A4812">
        <v>20131219</v>
      </c>
      <c r="B4812" t="str">
        <f>"113276"</f>
        <v>113276</v>
      </c>
      <c r="C4812" t="str">
        <f>"84980"</f>
        <v>84980</v>
      </c>
      <c r="D4812" t="s">
        <v>591</v>
      </c>
      <c r="E4812">
        <v>431.71</v>
      </c>
      <c r="F4812">
        <v>20131218</v>
      </c>
      <c r="G4812" t="s">
        <v>837</v>
      </c>
      <c r="H4812" t="s">
        <v>2690</v>
      </c>
      <c r="I4812" t="s">
        <v>21</v>
      </c>
    </row>
    <row r="4813" spans="1:9" x14ac:dyDescent="0.25">
      <c r="A4813">
        <v>20131219</v>
      </c>
      <c r="B4813" t="str">
        <f>"113277"</f>
        <v>113277</v>
      </c>
      <c r="C4813" t="str">
        <f>"87110"</f>
        <v>87110</v>
      </c>
      <c r="D4813" t="s">
        <v>2523</v>
      </c>
      <c r="E4813">
        <v>110</v>
      </c>
      <c r="F4813">
        <v>20131217</v>
      </c>
      <c r="G4813" t="s">
        <v>2324</v>
      </c>
      <c r="H4813" t="s">
        <v>765</v>
      </c>
      <c r="I4813" t="s">
        <v>61</v>
      </c>
    </row>
    <row r="4814" spans="1:9" x14ac:dyDescent="0.25">
      <c r="A4814">
        <v>20131219</v>
      </c>
      <c r="B4814" t="str">
        <f>"113278"</f>
        <v>113278</v>
      </c>
      <c r="C4814" t="str">
        <f>"34230"</f>
        <v>34230</v>
      </c>
      <c r="D4814" t="s">
        <v>1094</v>
      </c>
      <c r="E4814">
        <v>167.84</v>
      </c>
      <c r="F4814">
        <v>20131217</v>
      </c>
      <c r="G4814" t="s">
        <v>214</v>
      </c>
      <c r="H4814" t="s">
        <v>2691</v>
      </c>
      <c r="I4814" t="s">
        <v>38</v>
      </c>
    </row>
    <row r="4815" spans="1:9" x14ac:dyDescent="0.25">
      <c r="A4815">
        <v>20131219</v>
      </c>
      <c r="B4815" t="str">
        <f>"113279"</f>
        <v>113279</v>
      </c>
      <c r="C4815" t="str">
        <f>"83880"</f>
        <v>83880</v>
      </c>
      <c r="D4815" t="s">
        <v>865</v>
      </c>
      <c r="E4815">
        <v>324.83</v>
      </c>
      <c r="F4815">
        <v>20131218</v>
      </c>
      <c r="G4815" t="s">
        <v>41</v>
      </c>
      <c r="H4815" t="s">
        <v>354</v>
      </c>
      <c r="I4815" t="s">
        <v>38</v>
      </c>
    </row>
    <row r="4816" spans="1:9" x14ac:dyDescent="0.25">
      <c r="A4816">
        <v>20131219</v>
      </c>
      <c r="B4816" t="str">
        <f>"113280"</f>
        <v>113280</v>
      </c>
      <c r="C4816" t="str">
        <f>"87615"</f>
        <v>87615</v>
      </c>
      <c r="D4816" t="s">
        <v>2371</v>
      </c>
      <c r="E4816">
        <v>165</v>
      </c>
      <c r="F4816">
        <v>20131217</v>
      </c>
      <c r="G4816" t="s">
        <v>1049</v>
      </c>
      <c r="H4816" t="s">
        <v>2372</v>
      </c>
      <c r="I4816" t="s">
        <v>21</v>
      </c>
    </row>
    <row r="4817" spans="1:9" x14ac:dyDescent="0.25">
      <c r="A4817">
        <v>20131219</v>
      </c>
      <c r="B4817" t="str">
        <f>"113281"</f>
        <v>113281</v>
      </c>
      <c r="C4817" t="str">
        <f>"87666"</f>
        <v>87666</v>
      </c>
      <c r="D4817" t="s">
        <v>2692</v>
      </c>
      <c r="E4817">
        <v>121.6</v>
      </c>
      <c r="F4817">
        <v>20131217</v>
      </c>
      <c r="G4817" t="s">
        <v>1846</v>
      </c>
      <c r="H4817" t="s">
        <v>765</v>
      </c>
      <c r="I4817" t="s">
        <v>63</v>
      </c>
    </row>
    <row r="4818" spans="1:9" x14ac:dyDescent="0.25">
      <c r="A4818">
        <v>20131219</v>
      </c>
      <c r="B4818" t="str">
        <f>"113282"</f>
        <v>113282</v>
      </c>
      <c r="C4818" t="str">
        <f>"35337"</f>
        <v>35337</v>
      </c>
      <c r="D4818" t="s">
        <v>599</v>
      </c>
      <c r="E4818">
        <v>39.869999999999997</v>
      </c>
      <c r="F4818">
        <v>20131217</v>
      </c>
      <c r="G4818" t="s">
        <v>498</v>
      </c>
      <c r="H4818" t="s">
        <v>2693</v>
      </c>
      <c r="I4818" t="s">
        <v>21</v>
      </c>
    </row>
    <row r="4819" spans="1:9" x14ac:dyDescent="0.25">
      <c r="A4819">
        <v>20131219</v>
      </c>
      <c r="B4819" t="str">
        <f>"113282"</f>
        <v>113282</v>
      </c>
      <c r="C4819" t="str">
        <f>"35337"</f>
        <v>35337</v>
      </c>
      <c r="D4819" t="s">
        <v>599</v>
      </c>
      <c r="E4819">
        <v>312.07</v>
      </c>
      <c r="F4819">
        <v>20131217</v>
      </c>
      <c r="G4819" t="s">
        <v>498</v>
      </c>
      <c r="H4819" t="s">
        <v>2694</v>
      </c>
      <c r="I4819" t="s">
        <v>21</v>
      </c>
    </row>
    <row r="4820" spans="1:9" x14ac:dyDescent="0.25">
      <c r="A4820">
        <v>20131219</v>
      </c>
      <c r="B4820" t="str">
        <f>"113282"</f>
        <v>113282</v>
      </c>
      <c r="C4820" t="str">
        <f>"35337"</f>
        <v>35337</v>
      </c>
      <c r="D4820" t="s">
        <v>599</v>
      </c>
      <c r="E4820">
        <v>48.26</v>
      </c>
      <c r="F4820">
        <v>20131217</v>
      </c>
      <c r="G4820" t="s">
        <v>498</v>
      </c>
      <c r="H4820" t="s">
        <v>2695</v>
      </c>
      <c r="I4820" t="s">
        <v>21</v>
      </c>
    </row>
    <row r="4821" spans="1:9" x14ac:dyDescent="0.25">
      <c r="A4821">
        <v>20131219</v>
      </c>
      <c r="B4821" t="str">
        <f>"113282"</f>
        <v>113282</v>
      </c>
      <c r="C4821" t="str">
        <f>"35337"</f>
        <v>35337</v>
      </c>
      <c r="D4821" t="s">
        <v>599</v>
      </c>
      <c r="E4821">
        <v>36.49</v>
      </c>
      <c r="F4821">
        <v>20131218</v>
      </c>
      <c r="G4821" t="s">
        <v>498</v>
      </c>
      <c r="H4821" t="s">
        <v>2696</v>
      </c>
      <c r="I4821" t="s">
        <v>21</v>
      </c>
    </row>
    <row r="4822" spans="1:9" x14ac:dyDescent="0.25">
      <c r="A4822">
        <v>20131219</v>
      </c>
      <c r="B4822" t="str">
        <f>"113282"</f>
        <v>113282</v>
      </c>
      <c r="C4822" t="str">
        <f>"35337"</f>
        <v>35337</v>
      </c>
      <c r="D4822" t="s">
        <v>599</v>
      </c>
      <c r="E4822">
        <v>46.8</v>
      </c>
      <c r="F4822">
        <v>20131217</v>
      </c>
      <c r="G4822" t="s">
        <v>496</v>
      </c>
      <c r="H4822" t="s">
        <v>993</v>
      </c>
      <c r="I4822" t="s">
        <v>21</v>
      </c>
    </row>
    <row r="4823" spans="1:9" x14ac:dyDescent="0.25">
      <c r="A4823">
        <v>20131219</v>
      </c>
      <c r="B4823" t="str">
        <f>"113283"</f>
        <v>113283</v>
      </c>
      <c r="C4823" t="str">
        <f>"85929"</f>
        <v>85929</v>
      </c>
      <c r="D4823" t="s">
        <v>1096</v>
      </c>
      <c r="E4823">
        <v>57.51</v>
      </c>
      <c r="F4823">
        <v>20131217</v>
      </c>
      <c r="G4823" t="s">
        <v>890</v>
      </c>
      <c r="H4823" t="s">
        <v>365</v>
      </c>
      <c r="I4823" t="s">
        <v>21</v>
      </c>
    </row>
    <row r="4824" spans="1:9" x14ac:dyDescent="0.25">
      <c r="A4824">
        <v>20131219</v>
      </c>
      <c r="B4824" t="str">
        <f>"113284"</f>
        <v>113284</v>
      </c>
      <c r="C4824" t="str">
        <f>"87656"</f>
        <v>87656</v>
      </c>
      <c r="D4824" t="s">
        <v>2697</v>
      </c>
      <c r="E4824">
        <v>120</v>
      </c>
      <c r="F4824">
        <v>20131217</v>
      </c>
      <c r="G4824" t="s">
        <v>1846</v>
      </c>
      <c r="H4824" t="s">
        <v>765</v>
      </c>
      <c r="I4824" t="s">
        <v>63</v>
      </c>
    </row>
    <row r="4825" spans="1:9" x14ac:dyDescent="0.25">
      <c r="A4825">
        <v>20131219</v>
      </c>
      <c r="B4825" t="str">
        <f>"113285"</f>
        <v>113285</v>
      </c>
      <c r="C4825" t="str">
        <f>"83093"</f>
        <v>83093</v>
      </c>
      <c r="D4825" t="s">
        <v>1439</v>
      </c>
      <c r="E4825" s="1">
        <v>1382.66</v>
      </c>
      <c r="F4825">
        <v>20131212</v>
      </c>
      <c r="G4825" t="s">
        <v>699</v>
      </c>
      <c r="H4825" t="s">
        <v>2698</v>
      </c>
      <c r="I4825" t="s">
        <v>61</v>
      </c>
    </row>
    <row r="4826" spans="1:9" x14ac:dyDescent="0.25">
      <c r="A4826">
        <v>20131219</v>
      </c>
      <c r="B4826" t="str">
        <f>"113286"</f>
        <v>113286</v>
      </c>
      <c r="C4826" t="str">
        <f>"00453"</f>
        <v>00453</v>
      </c>
      <c r="D4826" t="s">
        <v>2526</v>
      </c>
      <c r="E4826">
        <v>699.78</v>
      </c>
      <c r="F4826">
        <v>20131217</v>
      </c>
      <c r="G4826" t="s">
        <v>1721</v>
      </c>
      <c r="H4826" t="s">
        <v>921</v>
      </c>
      <c r="I4826" t="s">
        <v>21</v>
      </c>
    </row>
    <row r="4827" spans="1:9" x14ac:dyDescent="0.25">
      <c r="A4827">
        <v>20131219</v>
      </c>
      <c r="B4827" t="str">
        <f>"113287"</f>
        <v>113287</v>
      </c>
      <c r="C4827" t="str">
        <f>"35865"</f>
        <v>35865</v>
      </c>
      <c r="D4827" t="s">
        <v>2206</v>
      </c>
      <c r="E4827">
        <v>39.619999999999997</v>
      </c>
      <c r="F4827">
        <v>20131218</v>
      </c>
      <c r="G4827" t="s">
        <v>331</v>
      </c>
      <c r="H4827" t="s">
        <v>2699</v>
      </c>
      <c r="I4827" t="s">
        <v>12</v>
      </c>
    </row>
    <row r="4828" spans="1:9" x14ac:dyDescent="0.25">
      <c r="A4828">
        <v>20131219</v>
      </c>
      <c r="B4828" t="str">
        <f>"113288"</f>
        <v>113288</v>
      </c>
      <c r="C4828" t="str">
        <f>"36723"</f>
        <v>36723</v>
      </c>
      <c r="D4828" t="s">
        <v>1991</v>
      </c>
      <c r="E4828">
        <v>48.42</v>
      </c>
      <c r="F4828">
        <v>20131218</v>
      </c>
      <c r="G4828" t="s">
        <v>145</v>
      </c>
      <c r="H4828" t="s">
        <v>1990</v>
      </c>
      <c r="I4828" t="s">
        <v>38</v>
      </c>
    </row>
    <row r="4829" spans="1:9" x14ac:dyDescent="0.25">
      <c r="A4829">
        <v>20131219</v>
      </c>
      <c r="B4829" t="str">
        <f>"113289"</f>
        <v>113289</v>
      </c>
      <c r="C4829" t="str">
        <f>"83064"</f>
        <v>83064</v>
      </c>
      <c r="D4829" t="s">
        <v>1760</v>
      </c>
      <c r="E4829">
        <v>58.06</v>
      </c>
      <c r="F4829">
        <v>20131217</v>
      </c>
      <c r="G4829" t="s">
        <v>637</v>
      </c>
      <c r="H4829" t="s">
        <v>354</v>
      </c>
      <c r="I4829" t="s">
        <v>38</v>
      </c>
    </row>
    <row r="4830" spans="1:9" x14ac:dyDescent="0.25">
      <c r="A4830">
        <v>20131219</v>
      </c>
      <c r="B4830" t="str">
        <f>"113290"</f>
        <v>113290</v>
      </c>
      <c r="C4830" t="str">
        <f>"36960"</f>
        <v>36960</v>
      </c>
      <c r="D4830" t="s">
        <v>871</v>
      </c>
      <c r="E4830">
        <v>200</v>
      </c>
      <c r="F4830">
        <v>20131218</v>
      </c>
      <c r="G4830" t="s">
        <v>1408</v>
      </c>
      <c r="H4830" t="s">
        <v>525</v>
      </c>
      <c r="I4830" t="s">
        <v>12</v>
      </c>
    </row>
    <row r="4831" spans="1:9" x14ac:dyDescent="0.25">
      <c r="A4831">
        <v>20131219</v>
      </c>
      <c r="B4831" t="str">
        <f>"113291"</f>
        <v>113291</v>
      </c>
      <c r="C4831" t="str">
        <f>"36970"</f>
        <v>36970</v>
      </c>
      <c r="D4831" t="s">
        <v>1253</v>
      </c>
      <c r="E4831">
        <v>68.760000000000005</v>
      </c>
      <c r="F4831">
        <v>20131218</v>
      </c>
      <c r="G4831" t="s">
        <v>2211</v>
      </c>
      <c r="H4831" t="s">
        <v>563</v>
      </c>
      <c r="I4831" t="s">
        <v>2212</v>
      </c>
    </row>
    <row r="4832" spans="1:9" x14ac:dyDescent="0.25">
      <c r="A4832">
        <v>20131219</v>
      </c>
      <c r="B4832" t="str">
        <f>"113292"</f>
        <v>113292</v>
      </c>
      <c r="C4832" t="str">
        <f>"00308"</f>
        <v>00308</v>
      </c>
      <c r="D4832" t="s">
        <v>874</v>
      </c>
      <c r="E4832">
        <v>286</v>
      </c>
      <c r="F4832">
        <v>20131218</v>
      </c>
      <c r="G4832" t="s">
        <v>1533</v>
      </c>
      <c r="H4832" t="s">
        <v>921</v>
      </c>
      <c r="I4832" t="s">
        <v>21</v>
      </c>
    </row>
    <row r="4833" spans="1:9" x14ac:dyDescent="0.25">
      <c r="A4833">
        <v>20131219</v>
      </c>
      <c r="B4833" t="str">
        <f>"113293"</f>
        <v>113293</v>
      </c>
      <c r="C4833" t="str">
        <f>"37740"</f>
        <v>37740</v>
      </c>
      <c r="D4833" t="s">
        <v>1442</v>
      </c>
      <c r="E4833" s="1">
        <v>2624.12</v>
      </c>
      <c r="F4833">
        <v>20131217</v>
      </c>
      <c r="G4833" t="s">
        <v>496</v>
      </c>
      <c r="H4833" t="s">
        <v>414</v>
      </c>
      <c r="I4833" t="s">
        <v>21</v>
      </c>
    </row>
    <row r="4834" spans="1:9" x14ac:dyDescent="0.25">
      <c r="A4834">
        <v>20131219</v>
      </c>
      <c r="B4834" t="str">
        <f>"113294"</f>
        <v>113294</v>
      </c>
      <c r="C4834" t="str">
        <f>"83362"</f>
        <v>83362</v>
      </c>
      <c r="D4834" t="s">
        <v>1443</v>
      </c>
      <c r="E4834">
        <v>190</v>
      </c>
      <c r="F4834">
        <v>20131217</v>
      </c>
      <c r="G4834" t="s">
        <v>577</v>
      </c>
      <c r="H4834" t="s">
        <v>1445</v>
      </c>
      <c r="I4834" t="s">
        <v>21</v>
      </c>
    </row>
    <row r="4835" spans="1:9" x14ac:dyDescent="0.25">
      <c r="A4835">
        <v>20131219</v>
      </c>
      <c r="B4835" t="str">
        <f>"113295"</f>
        <v>113295</v>
      </c>
      <c r="C4835" t="str">
        <f>"86429"</f>
        <v>86429</v>
      </c>
      <c r="D4835" t="s">
        <v>2700</v>
      </c>
      <c r="E4835">
        <v>164.5</v>
      </c>
      <c r="F4835">
        <v>20131217</v>
      </c>
      <c r="G4835" t="s">
        <v>845</v>
      </c>
      <c r="H4835" t="s">
        <v>2701</v>
      </c>
      <c r="I4835" t="s">
        <v>73</v>
      </c>
    </row>
    <row r="4836" spans="1:9" x14ac:dyDescent="0.25">
      <c r="A4836">
        <v>20131219</v>
      </c>
      <c r="B4836" t="str">
        <f>"113296"</f>
        <v>113296</v>
      </c>
      <c r="C4836" t="str">
        <f>"39180"</f>
        <v>39180</v>
      </c>
      <c r="D4836" t="s">
        <v>2702</v>
      </c>
      <c r="E4836">
        <v>186</v>
      </c>
      <c r="F4836">
        <v>20131217</v>
      </c>
      <c r="G4836" t="s">
        <v>1045</v>
      </c>
      <c r="H4836" t="s">
        <v>2703</v>
      </c>
      <c r="I4836" t="s">
        <v>61</v>
      </c>
    </row>
    <row r="4837" spans="1:9" x14ac:dyDescent="0.25">
      <c r="A4837">
        <v>20131219</v>
      </c>
      <c r="B4837" t="str">
        <f>"113297"</f>
        <v>113297</v>
      </c>
      <c r="C4837" t="str">
        <f>"39315"</f>
        <v>39315</v>
      </c>
      <c r="D4837" t="s">
        <v>420</v>
      </c>
      <c r="E4837">
        <v>55.89</v>
      </c>
      <c r="F4837">
        <v>20131218</v>
      </c>
      <c r="G4837" t="s">
        <v>410</v>
      </c>
      <c r="H4837" t="s">
        <v>563</v>
      </c>
      <c r="I4837" t="s">
        <v>12</v>
      </c>
    </row>
    <row r="4838" spans="1:9" x14ac:dyDescent="0.25">
      <c r="A4838">
        <v>20131219</v>
      </c>
      <c r="B4838" t="str">
        <f>"113298"</f>
        <v>113298</v>
      </c>
      <c r="C4838" t="str">
        <f>"87655"</f>
        <v>87655</v>
      </c>
      <c r="D4838" t="s">
        <v>2704</v>
      </c>
      <c r="E4838">
        <v>392</v>
      </c>
      <c r="F4838">
        <v>20131217</v>
      </c>
      <c r="G4838" t="s">
        <v>23</v>
      </c>
      <c r="H4838" t="s">
        <v>553</v>
      </c>
      <c r="I4838" t="s">
        <v>25</v>
      </c>
    </row>
    <row r="4839" spans="1:9" x14ac:dyDescent="0.25">
      <c r="A4839">
        <v>20131219</v>
      </c>
      <c r="B4839" t="str">
        <f>"113299"</f>
        <v>113299</v>
      </c>
      <c r="C4839" t="str">
        <f>"40448"</f>
        <v>40448</v>
      </c>
      <c r="D4839" t="s">
        <v>613</v>
      </c>
      <c r="E4839">
        <v>250</v>
      </c>
      <c r="F4839">
        <v>20131217</v>
      </c>
      <c r="G4839" t="s">
        <v>340</v>
      </c>
      <c r="H4839" t="s">
        <v>1452</v>
      </c>
      <c r="I4839" t="s">
        <v>21</v>
      </c>
    </row>
    <row r="4840" spans="1:9" x14ac:dyDescent="0.25">
      <c r="A4840">
        <v>20131219</v>
      </c>
      <c r="B4840" t="str">
        <f>"113299"</f>
        <v>113299</v>
      </c>
      <c r="C4840" t="str">
        <f>"40448"</f>
        <v>40448</v>
      </c>
      <c r="D4840" t="s">
        <v>613</v>
      </c>
      <c r="E4840">
        <v>200</v>
      </c>
      <c r="F4840">
        <v>20131217</v>
      </c>
      <c r="G4840" t="s">
        <v>340</v>
      </c>
      <c r="H4840" t="s">
        <v>1452</v>
      </c>
      <c r="I4840" t="s">
        <v>21</v>
      </c>
    </row>
    <row r="4841" spans="1:9" x14ac:dyDescent="0.25">
      <c r="A4841">
        <v>20131219</v>
      </c>
      <c r="B4841" t="str">
        <f>"113299"</f>
        <v>113299</v>
      </c>
      <c r="C4841" t="str">
        <f>"40448"</f>
        <v>40448</v>
      </c>
      <c r="D4841" t="s">
        <v>613</v>
      </c>
      <c r="E4841">
        <v>89.95</v>
      </c>
      <c r="F4841">
        <v>20131217</v>
      </c>
      <c r="G4841" t="s">
        <v>340</v>
      </c>
      <c r="H4841" t="s">
        <v>2705</v>
      </c>
      <c r="I4841" t="s">
        <v>21</v>
      </c>
    </row>
    <row r="4842" spans="1:9" x14ac:dyDescent="0.25">
      <c r="A4842">
        <v>20131219</v>
      </c>
      <c r="B4842" t="str">
        <f>"113300"</f>
        <v>113300</v>
      </c>
      <c r="C4842" t="str">
        <f>"85122"</f>
        <v>85122</v>
      </c>
      <c r="D4842" t="s">
        <v>1103</v>
      </c>
      <c r="E4842">
        <v>57.57</v>
      </c>
      <c r="F4842">
        <v>20131217</v>
      </c>
      <c r="G4842" t="s">
        <v>364</v>
      </c>
      <c r="H4842" t="s">
        <v>365</v>
      </c>
      <c r="I4842" t="s">
        <v>21</v>
      </c>
    </row>
    <row r="4843" spans="1:9" x14ac:dyDescent="0.25">
      <c r="A4843">
        <v>20131219</v>
      </c>
      <c r="B4843" t="str">
        <f>"113300"</f>
        <v>113300</v>
      </c>
      <c r="C4843" t="str">
        <f>"85122"</f>
        <v>85122</v>
      </c>
      <c r="D4843" t="s">
        <v>1103</v>
      </c>
      <c r="E4843">
        <v>57.57</v>
      </c>
      <c r="F4843">
        <v>20131217</v>
      </c>
      <c r="G4843" t="s">
        <v>364</v>
      </c>
      <c r="H4843" t="s">
        <v>365</v>
      </c>
      <c r="I4843" t="s">
        <v>21</v>
      </c>
    </row>
    <row r="4844" spans="1:9" x14ac:dyDescent="0.25">
      <c r="A4844">
        <v>20131219</v>
      </c>
      <c r="B4844" t="str">
        <f>"113301"</f>
        <v>113301</v>
      </c>
      <c r="C4844" t="str">
        <f>"87470"</f>
        <v>87470</v>
      </c>
      <c r="D4844" t="s">
        <v>2706</v>
      </c>
      <c r="E4844" s="1">
        <v>1886.42</v>
      </c>
      <c r="F4844">
        <v>20131217</v>
      </c>
      <c r="G4844" t="s">
        <v>367</v>
      </c>
      <c r="H4844" t="s">
        <v>2707</v>
      </c>
      <c r="I4844" t="s">
        <v>21</v>
      </c>
    </row>
    <row r="4845" spans="1:9" x14ac:dyDescent="0.25">
      <c r="A4845">
        <v>20131219</v>
      </c>
      <c r="B4845" t="str">
        <f>"113302"</f>
        <v>113302</v>
      </c>
      <c r="C4845" t="str">
        <f>"41253"</f>
        <v>41253</v>
      </c>
      <c r="D4845" t="s">
        <v>421</v>
      </c>
      <c r="E4845" s="1">
        <v>97485.32</v>
      </c>
      <c r="F4845">
        <v>20131218</v>
      </c>
      <c r="G4845" t="s">
        <v>404</v>
      </c>
      <c r="H4845" t="s">
        <v>913</v>
      </c>
      <c r="I4845" t="s">
        <v>12</v>
      </c>
    </row>
    <row r="4846" spans="1:9" x14ac:dyDescent="0.25">
      <c r="A4846">
        <v>20131219</v>
      </c>
      <c r="B4846" t="str">
        <f>"113302"</f>
        <v>113302</v>
      </c>
      <c r="C4846" t="str">
        <f>"41253"</f>
        <v>41253</v>
      </c>
      <c r="D4846" t="s">
        <v>421</v>
      </c>
      <c r="E4846" s="1">
        <v>8695.56</v>
      </c>
      <c r="F4846">
        <v>20131218</v>
      </c>
      <c r="G4846" t="s">
        <v>1404</v>
      </c>
      <c r="H4846" t="s">
        <v>1456</v>
      </c>
      <c r="I4846" t="s">
        <v>12</v>
      </c>
    </row>
    <row r="4847" spans="1:9" x14ac:dyDescent="0.25">
      <c r="A4847">
        <v>20131219</v>
      </c>
      <c r="B4847" t="str">
        <f>"113303"</f>
        <v>113303</v>
      </c>
      <c r="C4847" t="str">
        <f>"87665"</f>
        <v>87665</v>
      </c>
      <c r="D4847" t="s">
        <v>2708</v>
      </c>
      <c r="E4847">
        <v>70</v>
      </c>
      <c r="F4847">
        <v>20131217</v>
      </c>
      <c r="G4847" t="s">
        <v>1846</v>
      </c>
      <c r="H4847" t="s">
        <v>365</v>
      </c>
      <c r="I4847" t="s">
        <v>63</v>
      </c>
    </row>
    <row r="4848" spans="1:9" x14ac:dyDescent="0.25">
      <c r="A4848">
        <v>20131219</v>
      </c>
      <c r="B4848" t="str">
        <f>"113304"</f>
        <v>113304</v>
      </c>
      <c r="C4848" t="str">
        <f>"84876"</f>
        <v>84876</v>
      </c>
      <c r="D4848" t="s">
        <v>1259</v>
      </c>
      <c r="E4848" s="1">
        <v>1058.57</v>
      </c>
      <c r="F4848">
        <v>20131212</v>
      </c>
      <c r="G4848" t="s">
        <v>1064</v>
      </c>
      <c r="H4848" t="s">
        <v>2709</v>
      </c>
      <c r="I4848" t="s">
        <v>21</v>
      </c>
    </row>
    <row r="4849" spans="1:9" x14ac:dyDescent="0.25">
      <c r="A4849">
        <v>20131219</v>
      </c>
      <c r="B4849" t="str">
        <f>"113305"</f>
        <v>113305</v>
      </c>
      <c r="C4849" t="str">
        <f>"42750"</f>
        <v>42750</v>
      </c>
      <c r="D4849" t="s">
        <v>888</v>
      </c>
      <c r="E4849">
        <v>12.59</v>
      </c>
      <c r="F4849">
        <v>20131217</v>
      </c>
      <c r="G4849" t="s">
        <v>579</v>
      </c>
      <c r="H4849" t="s">
        <v>354</v>
      </c>
      <c r="I4849" t="s">
        <v>21</v>
      </c>
    </row>
    <row r="4850" spans="1:9" x14ac:dyDescent="0.25">
      <c r="A4850">
        <v>20131219</v>
      </c>
      <c r="B4850" t="str">
        <f>"113305"</f>
        <v>113305</v>
      </c>
      <c r="C4850" t="str">
        <f>"42750"</f>
        <v>42750</v>
      </c>
      <c r="D4850" t="s">
        <v>888</v>
      </c>
      <c r="E4850">
        <v>23.72</v>
      </c>
      <c r="F4850">
        <v>20131217</v>
      </c>
      <c r="G4850" t="s">
        <v>181</v>
      </c>
      <c r="H4850" t="s">
        <v>354</v>
      </c>
      <c r="I4850" t="s">
        <v>38</v>
      </c>
    </row>
    <row r="4851" spans="1:9" x14ac:dyDescent="0.25">
      <c r="A4851">
        <v>20131219</v>
      </c>
      <c r="B4851" t="str">
        <f>"113306"</f>
        <v>113306</v>
      </c>
      <c r="C4851" t="str">
        <f>"83430"</f>
        <v>83430</v>
      </c>
      <c r="D4851" t="s">
        <v>423</v>
      </c>
      <c r="E4851">
        <v>8</v>
      </c>
      <c r="F4851">
        <v>20131218</v>
      </c>
      <c r="G4851" t="s">
        <v>202</v>
      </c>
      <c r="H4851" t="s">
        <v>2710</v>
      </c>
      <c r="I4851" t="s">
        <v>12</v>
      </c>
    </row>
    <row r="4852" spans="1:9" x14ac:dyDescent="0.25">
      <c r="A4852">
        <v>20131219</v>
      </c>
      <c r="B4852" t="str">
        <f>"113307"</f>
        <v>113307</v>
      </c>
      <c r="C4852" t="str">
        <f>"00204"</f>
        <v>00204</v>
      </c>
      <c r="D4852" t="s">
        <v>1890</v>
      </c>
      <c r="E4852">
        <v>95.9</v>
      </c>
      <c r="F4852">
        <v>20131212</v>
      </c>
      <c r="G4852" t="s">
        <v>1712</v>
      </c>
      <c r="H4852" t="s">
        <v>2711</v>
      </c>
      <c r="I4852" t="s">
        <v>21</v>
      </c>
    </row>
    <row r="4853" spans="1:9" x14ac:dyDescent="0.25">
      <c r="A4853">
        <v>20131219</v>
      </c>
      <c r="B4853" t="str">
        <f>"113308"</f>
        <v>113308</v>
      </c>
      <c r="C4853" t="str">
        <f>"43798"</f>
        <v>43798</v>
      </c>
      <c r="D4853" t="s">
        <v>620</v>
      </c>
      <c r="E4853" s="1">
        <v>1056</v>
      </c>
      <c r="F4853">
        <v>20131218</v>
      </c>
      <c r="G4853" t="s">
        <v>337</v>
      </c>
      <c r="H4853" t="s">
        <v>2712</v>
      </c>
      <c r="I4853" t="s">
        <v>21</v>
      </c>
    </row>
    <row r="4854" spans="1:9" x14ac:dyDescent="0.25">
      <c r="A4854">
        <v>20131219</v>
      </c>
      <c r="B4854" t="str">
        <f>"113308"</f>
        <v>113308</v>
      </c>
      <c r="C4854" t="str">
        <f>"43798"</f>
        <v>43798</v>
      </c>
      <c r="D4854" t="s">
        <v>620</v>
      </c>
      <c r="E4854">
        <v>526.32000000000005</v>
      </c>
      <c r="F4854">
        <v>20131217</v>
      </c>
      <c r="G4854" t="s">
        <v>621</v>
      </c>
      <c r="H4854" t="s">
        <v>2713</v>
      </c>
      <c r="I4854" t="s">
        <v>21</v>
      </c>
    </row>
    <row r="4855" spans="1:9" x14ac:dyDescent="0.25">
      <c r="A4855">
        <v>20131219</v>
      </c>
      <c r="B4855" t="str">
        <f>"113308"</f>
        <v>113308</v>
      </c>
      <c r="C4855" t="str">
        <f>"43798"</f>
        <v>43798</v>
      </c>
      <c r="D4855" t="s">
        <v>620</v>
      </c>
      <c r="E4855">
        <v>251.92</v>
      </c>
      <c r="F4855">
        <v>20131217</v>
      </c>
      <c r="G4855" t="s">
        <v>1270</v>
      </c>
      <c r="H4855" t="s">
        <v>2714</v>
      </c>
      <c r="I4855" t="s">
        <v>21</v>
      </c>
    </row>
    <row r="4856" spans="1:9" x14ac:dyDescent="0.25">
      <c r="A4856">
        <v>20131219</v>
      </c>
      <c r="B4856" t="str">
        <f>"113308"</f>
        <v>113308</v>
      </c>
      <c r="C4856" t="str">
        <f>"43798"</f>
        <v>43798</v>
      </c>
      <c r="D4856" t="s">
        <v>620</v>
      </c>
      <c r="E4856">
        <v>216</v>
      </c>
      <c r="F4856">
        <v>20131217</v>
      </c>
      <c r="G4856" t="s">
        <v>524</v>
      </c>
      <c r="H4856" t="s">
        <v>2715</v>
      </c>
      <c r="I4856" t="s">
        <v>21</v>
      </c>
    </row>
    <row r="4857" spans="1:9" x14ac:dyDescent="0.25">
      <c r="A4857">
        <v>20131219</v>
      </c>
      <c r="B4857" t="str">
        <f>"113309"</f>
        <v>113309</v>
      </c>
      <c r="C4857" t="str">
        <f>"87670"</f>
        <v>87670</v>
      </c>
      <c r="D4857" t="s">
        <v>2716</v>
      </c>
      <c r="E4857">
        <v>150</v>
      </c>
      <c r="F4857">
        <v>20131218</v>
      </c>
      <c r="G4857" t="s">
        <v>2717</v>
      </c>
      <c r="H4857" t="s">
        <v>2592</v>
      </c>
      <c r="I4857" t="s">
        <v>21</v>
      </c>
    </row>
    <row r="4858" spans="1:9" x14ac:dyDescent="0.25">
      <c r="A4858">
        <v>20131219</v>
      </c>
      <c r="B4858" t="str">
        <f>"113310"</f>
        <v>113310</v>
      </c>
      <c r="C4858" t="str">
        <f>"44875"</f>
        <v>44875</v>
      </c>
      <c r="D4858" t="s">
        <v>424</v>
      </c>
      <c r="E4858">
        <v>266.97000000000003</v>
      </c>
      <c r="F4858">
        <v>20131218</v>
      </c>
      <c r="G4858" t="s">
        <v>410</v>
      </c>
      <c r="H4858" t="s">
        <v>563</v>
      </c>
      <c r="I4858" t="s">
        <v>12</v>
      </c>
    </row>
    <row r="4859" spans="1:9" x14ac:dyDescent="0.25">
      <c r="A4859">
        <v>20131219</v>
      </c>
      <c r="B4859" t="str">
        <f>"113311"</f>
        <v>113311</v>
      </c>
      <c r="C4859" t="str">
        <f>"84445"</f>
        <v>84445</v>
      </c>
      <c r="D4859" t="s">
        <v>1472</v>
      </c>
      <c r="E4859">
        <v>48.42</v>
      </c>
      <c r="F4859">
        <v>20131217</v>
      </c>
      <c r="G4859" t="s">
        <v>562</v>
      </c>
      <c r="H4859" t="s">
        <v>563</v>
      </c>
      <c r="I4859" t="s">
        <v>21</v>
      </c>
    </row>
    <row r="4860" spans="1:9" x14ac:dyDescent="0.25">
      <c r="A4860">
        <v>20131219</v>
      </c>
      <c r="B4860" t="str">
        <f>"113312"</f>
        <v>113312</v>
      </c>
      <c r="C4860" t="str">
        <f>"87673"</f>
        <v>87673</v>
      </c>
      <c r="D4860" t="s">
        <v>2718</v>
      </c>
      <c r="E4860">
        <v>33.950000000000003</v>
      </c>
      <c r="F4860">
        <v>20131218</v>
      </c>
      <c r="G4860" t="s">
        <v>39</v>
      </c>
      <c r="H4860" t="s">
        <v>354</v>
      </c>
      <c r="I4860" t="s">
        <v>38</v>
      </c>
    </row>
    <row r="4861" spans="1:9" x14ac:dyDescent="0.25">
      <c r="A4861">
        <v>20131219</v>
      </c>
      <c r="B4861" t="str">
        <f t="shared" ref="B4861:B4867" si="321">"113313"</f>
        <v>113313</v>
      </c>
      <c r="C4861" t="str">
        <f t="shared" ref="C4861:C4867" si="322">"46500"</f>
        <v>46500</v>
      </c>
      <c r="D4861" t="s">
        <v>626</v>
      </c>
      <c r="E4861" s="1">
        <v>1512.48</v>
      </c>
      <c r="F4861">
        <v>20131212</v>
      </c>
      <c r="G4861" t="s">
        <v>902</v>
      </c>
      <c r="H4861" t="s">
        <v>2719</v>
      </c>
      <c r="I4861" t="s">
        <v>21</v>
      </c>
    </row>
    <row r="4862" spans="1:9" x14ac:dyDescent="0.25">
      <c r="A4862">
        <v>20131219</v>
      </c>
      <c r="B4862" t="str">
        <f t="shared" si="321"/>
        <v>113313</v>
      </c>
      <c r="C4862" t="str">
        <f t="shared" si="322"/>
        <v>46500</v>
      </c>
      <c r="D4862" t="s">
        <v>626</v>
      </c>
      <c r="E4862">
        <v>27.63</v>
      </c>
      <c r="F4862">
        <v>20131217</v>
      </c>
      <c r="G4862" t="s">
        <v>628</v>
      </c>
      <c r="H4862" t="s">
        <v>414</v>
      </c>
      <c r="I4862" t="s">
        <v>21</v>
      </c>
    </row>
    <row r="4863" spans="1:9" x14ac:dyDescent="0.25">
      <c r="A4863">
        <v>20131219</v>
      </c>
      <c r="B4863" t="str">
        <f t="shared" si="321"/>
        <v>113313</v>
      </c>
      <c r="C4863" t="str">
        <f t="shared" si="322"/>
        <v>46500</v>
      </c>
      <c r="D4863" t="s">
        <v>626</v>
      </c>
      <c r="E4863">
        <v>59.9</v>
      </c>
      <c r="F4863">
        <v>20131217</v>
      </c>
      <c r="G4863" t="s">
        <v>629</v>
      </c>
      <c r="H4863" t="s">
        <v>414</v>
      </c>
      <c r="I4863" t="s">
        <v>21</v>
      </c>
    </row>
    <row r="4864" spans="1:9" x14ac:dyDescent="0.25">
      <c r="A4864">
        <v>20131219</v>
      </c>
      <c r="B4864" t="str">
        <f t="shared" si="321"/>
        <v>113313</v>
      </c>
      <c r="C4864" t="str">
        <f t="shared" si="322"/>
        <v>46500</v>
      </c>
      <c r="D4864" t="s">
        <v>626</v>
      </c>
      <c r="E4864">
        <v>452.03</v>
      </c>
      <c r="F4864">
        <v>20131217</v>
      </c>
      <c r="G4864" t="s">
        <v>630</v>
      </c>
      <c r="H4864" t="s">
        <v>414</v>
      </c>
      <c r="I4864" t="s">
        <v>21</v>
      </c>
    </row>
    <row r="4865" spans="1:9" x14ac:dyDescent="0.25">
      <c r="A4865">
        <v>20131219</v>
      </c>
      <c r="B4865" t="str">
        <f t="shared" si="321"/>
        <v>113313</v>
      </c>
      <c r="C4865" t="str">
        <f t="shared" si="322"/>
        <v>46500</v>
      </c>
      <c r="D4865" t="s">
        <v>626</v>
      </c>
      <c r="E4865">
        <v>354.48</v>
      </c>
      <c r="F4865">
        <v>20131217</v>
      </c>
      <c r="G4865" t="s">
        <v>392</v>
      </c>
      <c r="H4865" t="s">
        <v>414</v>
      </c>
      <c r="I4865" t="s">
        <v>21</v>
      </c>
    </row>
    <row r="4866" spans="1:9" x14ac:dyDescent="0.25">
      <c r="A4866">
        <v>20131219</v>
      </c>
      <c r="B4866" t="str">
        <f t="shared" si="321"/>
        <v>113313</v>
      </c>
      <c r="C4866" t="str">
        <f t="shared" si="322"/>
        <v>46500</v>
      </c>
      <c r="D4866" t="s">
        <v>626</v>
      </c>
      <c r="E4866">
        <v>386.66</v>
      </c>
      <c r="F4866">
        <v>20131217</v>
      </c>
      <c r="G4866" t="s">
        <v>1224</v>
      </c>
      <c r="H4866" t="s">
        <v>414</v>
      </c>
      <c r="I4866" t="s">
        <v>21</v>
      </c>
    </row>
    <row r="4867" spans="1:9" x14ac:dyDescent="0.25">
      <c r="A4867">
        <v>20131219</v>
      </c>
      <c r="B4867" t="str">
        <f t="shared" si="321"/>
        <v>113313</v>
      </c>
      <c r="C4867" t="str">
        <f t="shared" si="322"/>
        <v>46500</v>
      </c>
      <c r="D4867" t="s">
        <v>626</v>
      </c>
      <c r="E4867">
        <v>23.99</v>
      </c>
      <c r="F4867">
        <v>20131217</v>
      </c>
      <c r="G4867" t="s">
        <v>1486</v>
      </c>
      <c r="H4867" t="s">
        <v>414</v>
      </c>
      <c r="I4867" t="s">
        <v>38</v>
      </c>
    </row>
    <row r="4868" spans="1:9" x14ac:dyDescent="0.25">
      <c r="A4868">
        <v>20131219</v>
      </c>
      <c r="B4868" t="str">
        <f>"113314"</f>
        <v>113314</v>
      </c>
      <c r="C4868" t="str">
        <f>"87473"</f>
        <v>87473</v>
      </c>
      <c r="D4868" t="s">
        <v>160</v>
      </c>
      <c r="E4868">
        <v>80.099999999999994</v>
      </c>
      <c r="F4868">
        <v>20131217</v>
      </c>
      <c r="G4868" t="s">
        <v>1533</v>
      </c>
      <c r="H4868" t="s">
        <v>354</v>
      </c>
      <c r="I4868" t="s">
        <v>21</v>
      </c>
    </row>
    <row r="4869" spans="1:9" x14ac:dyDescent="0.25">
      <c r="A4869">
        <v>20131219</v>
      </c>
      <c r="B4869" t="str">
        <f>"113315"</f>
        <v>113315</v>
      </c>
      <c r="C4869" t="str">
        <f>"84239"</f>
        <v>84239</v>
      </c>
      <c r="D4869" t="s">
        <v>632</v>
      </c>
      <c r="E4869">
        <v>94</v>
      </c>
      <c r="F4869">
        <v>20131217</v>
      </c>
      <c r="G4869" t="s">
        <v>633</v>
      </c>
      <c r="H4869" t="s">
        <v>634</v>
      </c>
      <c r="I4869" t="s">
        <v>21</v>
      </c>
    </row>
    <row r="4870" spans="1:9" x14ac:dyDescent="0.25">
      <c r="A4870">
        <v>20131219</v>
      </c>
      <c r="B4870" t="str">
        <f>"113316"</f>
        <v>113316</v>
      </c>
      <c r="C4870" t="str">
        <f>"82365"</f>
        <v>82365</v>
      </c>
      <c r="D4870" t="s">
        <v>1477</v>
      </c>
      <c r="E4870">
        <v>648.39</v>
      </c>
      <c r="F4870">
        <v>20131217</v>
      </c>
      <c r="G4870" t="s">
        <v>1478</v>
      </c>
      <c r="H4870" t="s">
        <v>2720</v>
      </c>
      <c r="I4870" t="s">
        <v>21</v>
      </c>
    </row>
    <row r="4871" spans="1:9" x14ac:dyDescent="0.25">
      <c r="A4871">
        <v>20131219</v>
      </c>
      <c r="B4871" t="str">
        <f>"113317"</f>
        <v>113317</v>
      </c>
      <c r="C4871" t="str">
        <f>"81788"</f>
        <v>81788</v>
      </c>
      <c r="D4871" t="s">
        <v>1104</v>
      </c>
      <c r="E4871">
        <v>283.39999999999998</v>
      </c>
      <c r="F4871">
        <v>20131217</v>
      </c>
      <c r="G4871" t="s">
        <v>834</v>
      </c>
      <c r="H4871" t="s">
        <v>2721</v>
      </c>
      <c r="I4871" t="s">
        <v>21</v>
      </c>
    </row>
    <row r="4872" spans="1:9" x14ac:dyDescent="0.25">
      <c r="A4872">
        <v>20131219</v>
      </c>
      <c r="B4872" t="str">
        <f>"113318"</f>
        <v>113318</v>
      </c>
      <c r="C4872" t="str">
        <f>"87657"</f>
        <v>87657</v>
      </c>
      <c r="D4872" t="s">
        <v>2722</v>
      </c>
      <c r="E4872">
        <v>430.75</v>
      </c>
      <c r="F4872">
        <v>20131217</v>
      </c>
      <c r="G4872" t="s">
        <v>1846</v>
      </c>
      <c r="H4872" t="s">
        <v>765</v>
      </c>
      <c r="I4872" t="s">
        <v>63</v>
      </c>
    </row>
    <row r="4873" spans="1:9" x14ac:dyDescent="0.25">
      <c r="A4873">
        <v>20131219</v>
      </c>
      <c r="B4873" t="str">
        <f>"113319"</f>
        <v>113319</v>
      </c>
      <c r="C4873" t="str">
        <f>"48820"</f>
        <v>48820</v>
      </c>
      <c r="D4873" t="s">
        <v>1106</v>
      </c>
      <c r="E4873">
        <v>46.18</v>
      </c>
      <c r="F4873">
        <v>20131217</v>
      </c>
      <c r="G4873" t="s">
        <v>209</v>
      </c>
      <c r="H4873" t="s">
        <v>354</v>
      </c>
      <c r="I4873" t="s">
        <v>25</v>
      </c>
    </row>
    <row r="4874" spans="1:9" x14ac:dyDescent="0.25">
      <c r="A4874">
        <v>20131219</v>
      </c>
      <c r="B4874" t="str">
        <f>"113319"</f>
        <v>113319</v>
      </c>
      <c r="C4874" t="str">
        <f>"48820"</f>
        <v>48820</v>
      </c>
      <c r="D4874" t="s">
        <v>1106</v>
      </c>
      <c r="E4874">
        <v>213.43</v>
      </c>
      <c r="F4874">
        <v>20131217</v>
      </c>
      <c r="G4874" t="s">
        <v>209</v>
      </c>
      <c r="H4874" t="s">
        <v>354</v>
      </c>
      <c r="I4874" t="s">
        <v>25</v>
      </c>
    </row>
    <row r="4875" spans="1:9" x14ac:dyDescent="0.25">
      <c r="A4875">
        <v>20131219</v>
      </c>
      <c r="B4875" t="str">
        <f>"113319"</f>
        <v>113319</v>
      </c>
      <c r="C4875" t="str">
        <f>"48820"</f>
        <v>48820</v>
      </c>
      <c r="D4875" t="s">
        <v>1106</v>
      </c>
      <c r="E4875">
        <v>269.70999999999998</v>
      </c>
      <c r="F4875">
        <v>20131217</v>
      </c>
      <c r="G4875" t="s">
        <v>209</v>
      </c>
      <c r="H4875" t="s">
        <v>354</v>
      </c>
      <c r="I4875" t="s">
        <v>25</v>
      </c>
    </row>
    <row r="4876" spans="1:9" x14ac:dyDescent="0.25">
      <c r="A4876">
        <v>20131219</v>
      </c>
      <c r="B4876" t="str">
        <f>"113320"</f>
        <v>113320</v>
      </c>
      <c r="C4876" t="str">
        <f>"84424"</f>
        <v>84424</v>
      </c>
      <c r="D4876" t="s">
        <v>1107</v>
      </c>
      <c r="E4876">
        <v>76.97</v>
      </c>
      <c r="F4876">
        <v>20131217</v>
      </c>
      <c r="G4876" t="s">
        <v>2254</v>
      </c>
      <c r="H4876" t="s">
        <v>354</v>
      </c>
      <c r="I4876" t="s">
        <v>21</v>
      </c>
    </row>
    <row r="4877" spans="1:9" x14ac:dyDescent="0.25">
      <c r="A4877">
        <v>20131219</v>
      </c>
      <c r="B4877" t="str">
        <f>"113320"</f>
        <v>113320</v>
      </c>
      <c r="C4877" t="str">
        <f>"84424"</f>
        <v>84424</v>
      </c>
      <c r="D4877" t="s">
        <v>1107</v>
      </c>
      <c r="E4877">
        <v>89.94</v>
      </c>
      <c r="F4877">
        <v>20131217</v>
      </c>
      <c r="G4877" t="s">
        <v>637</v>
      </c>
      <c r="H4877" t="s">
        <v>354</v>
      </c>
      <c r="I4877" t="s">
        <v>38</v>
      </c>
    </row>
    <row r="4878" spans="1:9" x14ac:dyDescent="0.25">
      <c r="A4878">
        <v>20131219</v>
      </c>
      <c r="B4878" t="str">
        <f>"113321"</f>
        <v>113321</v>
      </c>
      <c r="C4878" t="str">
        <f>"82726"</f>
        <v>82726</v>
      </c>
      <c r="D4878" t="s">
        <v>638</v>
      </c>
      <c r="E4878">
        <v>50</v>
      </c>
      <c r="F4878">
        <v>20131217</v>
      </c>
      <c r="G4878" t="s">
        <v>23</v>
      </c>
      <c r="H4878" t="s">
        <v>354</v>
      </c>
      <c r="I4878" t="s">
        <v>25</v>
      </c>
    </row>
    <row r="4879" spans="1:9" x14ac:dyDescent="0.25">
      <c r="A4879">
        <v>20131219</v>
      </c>
      <c r="B4879" t="str">
        <f>"113321"</f>
        <v>113321</v>
      </c>
      <c r="C4879" t="str">
        <f>"82726"</f>
        <v>82726</v>
      </c>
      <c r="D4879" t="s">
        <v>638</v>
      </c>
      <c r="E4879">
        <v>134.4</v>
      </c>
      <c r="F4879">
        <v>20131217</v>
      </c>
      <c r="G4879" t="s">
        <v>156</v>
      </c>
      <c r="H4879" t="s">
        <v>354</v>
      </c>
      <c r="I4879" t="s">
        <v>25</v>
      </c>
    </row>
    <row r="4880" spans="1:9" x14ac:dyDescent="0.25">
      <c r="A4880">
        <v>20131219</v>
      </c>
      <c r="B4880" t="str">
        <f>"113322"</f>
        <v>113322</v>
      </c>
      <c r="C4880" t="str">
        <f>"87335"</f>
        <v>87335</v>
      </c>
      <c r="D4880" t="s">
        <v>2723</v>
      </c>
      <c r="E4880">
        <v>163.5</v>
      </c>
      <c r="F4880">
        <v>20131212</v>
      </c>
      <c r="G4880" t="s">
        <v>845</v>
      </c>
      <c r="H4880" t="s">
        <v>2724</v>
      </c>
      <c r="I4880" t="s">
        <v>73</v>
      </c>
    </row>
    <row r="4881" spans="1:9" x14ac:dyDescent="0.25">
      <c r="A4881">
        <v>20131219</v>
      </c>
      <c r="B4881" t="str">
        <f>"113323"</f>
        <v>113323</v>
      </c>
      <c r="C4881" t="str">
        <f>"87404"</f>
        <v>87404</v>
      </c>
      <c r="D4881" t="s">
        <v>1108</v>
      </c>
      <c r="E4881">
        <v>22.99</v>
      </c>
      <c r="F4881">
        <v>20131217</v>
      </c>
      <c r="G4881" t="s">
        <v>426</v>
      </c>
      <c r="H4881" t="s">
        <v>968</v>
      </c>
      <c r="I4881" t="s">
        <v>21</v>
      </c>
    </row>
    <row r="4882" spans="1:9" x14ac:dyDescent="0.25">
      <c r="A4882">
        <v>20131219</v>
      </c>
      <c r="B4882" t="str">
        <f>"113324"</f>
        <v>113324</v>
      </c>
      <c r="C4882" t="str">
        <f>"87012"</f>
        <v>87012</v>
      </c>
      <c r="D4882" t="s">
        <v>909</v>
      </c>
      <c r="E4882">
        <v>20</v>
      </c>
      <c r="F4882">
        <v>20131218</v>
      </c>
      <c r="G4882" t="s">
        <v>910</v>
      </c>
      <c r="H4882" t="s">
        <v>2725</v>
      </c>
      <c r="I4882" t="s">
        <v>25</v>
      </c>
    </row>
    <row r="4883" spans="1:9" x14ac:dyDescent="0.25">
      <c r="A4883">
        <v>20131219</v>
      </c>
      <c r="B4883" t="str">
        <f>"113325"</f>
        <v>113325</v>
      </c>
      <c r="C4883" t="str">
        <f>"87489"</f>
        <v>87489</v>
      </c>
      <c r="D4883" t="s">
        <v>912</v>
      </c>
      <c r="E4883">
        <v>825.12</v>
      </c>
      <c r="F4883">
        <v>20131218</v>
      </c>
      <c r="G4883" t="s">
        <v>404</v>
      </c>
      <c r="H4883" t="s">
        <v>2726</v>
      </c>
      <c r="I4883" t="s">
        <v>12</v>
      </c>
    </row>
    <row r="4884" spans="1:9" x14ac:dyDescent="0.25">
      <c r="A4884">
        <v>20131219</v>
      </c>
      <c r="B4884" t="str">
        <f>"113326"</f>
        <v>113326</v>
      </c>
      <c r="C4884" t="str">
        <f>"87662"</f>
        <v>87662</v>
      </c>
      <c r="D4884" t="s">
        <v>2727</v>
      </c>
      <c r="E4884" s="1">
        <v>1196.55</v>
      </c>
      <c r="F4884">
        <v>20131217</v>
      </c>
      <c r="G4884" t="s">
        <v>2292</v>
      </c>
      <c r="H4884" t="s">
        <v>2627</v>
      </c>
      <c r="I4884" t="s">
        <v>63</v>
      </c>
    </row>
    <row r="4885" spans="1:9" x14ac:dyDescent="0.25">
      <c r="A4885">
        <v>20131219</v>
      </c>
      <c r="B4885" t="str">
        <f>"113327"</f>
        <v>113327</v>
      </c>
      <c r="C4885" t="str">
        <f>"49845"</f>
        <v>49845</v>
      </c>
      <c r="D4885" t="s">
        <v>644</v>
      </c>
      <c r="E4885">
        <v>409.8</v>
      </c>
      <c r="F4885">
        <v>20131217</v>
      </c>
      <c r="G4885" t="s">
        <v>483</v>
      </c>
      <c r="H4885" t="s">
        <v>414</v>
      </c>
      <c r="I4885" t="s">
        <v>21</v>
      </c>
    </row>
    <row r="4886" spans="1:9" x14ac:dyDescent="0.25">
      <c r="A4886">
        <v>20131219</v>
      </c>
      <c r="B4886" t="str">
        <f>"113327"</f>
        <v>113327</v>
      </c>
      <c r="C4886" t="str">
        <f>"49845"</f>
        <v>49845</v>
      </c>
      <c r="D4886" t="s">
        <v>644</v>
      </c>
      <c r="E4886">
        <v>40</v>
      </c>
      <c r="F4886">
        <v>20131217</v>
      </c>
      <c r="G4886" t="s">
        <v>392</v>
      </c>
      <c r="H4886" t="s">
        <v>2728</v>
      </c>
      <c r="I4886" t="s">
        <v>21</v>
      </c>
    </row>
    <row r="4887" spans="1:9" x14ac:dyDescent="0.25">
      <c r="A4887">
        <v>20131219</v>
      </c>
      <c r="B4887" t="str">
        <f>"113328"</f>
        <v>113328</v>
      </c>
      <c r="C4887" t="str">
        <f>"86598"</f>
        <v>86598</v>
      </c>
      <c r="D4887" t="s">
        <v>1633</v>
      </c>
      <c r="E4887">
        <v>379.25</v>
      </c>
      <c r="F4887">
        <v>20131217</v>
      </c>
      <c r="G4887" t="s">
        <v>982</v>
      </c>
      <c r="H4887" t="s">
        <v>365</v>
      </c>
      <c r="I4887" t="s">
        <v>21</v>
      </c>
    </row>
    <row r="4888" spans="1:9" x14ac:dyDescent="0.25">
      <c r="A4888">
        <v>20131219</v>
      </c>
      <c r="B4888" t="str">
        <f>"113329"</f>
        <v>113329</v>
      </c>
      <c r="C4888" t="str">
        <f>"84193"</f>
        <v>84193</v>
      </c>
      <c r="D4888" t="s">
        <v>1110</v>
      </c>
      <c r="E4888">
        <v>57.57</v>
      </c>
      <c r="F4888">
        <v>20131217</v>
      </c>
      <c r="G4888" t="s">
        <v>1145</v>
      </c>
      <c r="H4888" t="s">
        <v>365</v>
      </c>
      <c r="I4888" t="s">
        <v>73</v>
      </c>
    </row>
    <row r="4889" spans="1:9" x14ac:dyDescent="0.25">
      <c r="A4889">
        <v>20131219</v>
      </c>
      <c r="B4889" t="str">
        <f>"113330"</f>
        <v>113330</v>
      </c>
      <c r="C4889" t="str">
        <f>"67600"</f>
        <v>67600</v>
      </c>
      <c r="D4889" t="s">
        <v>2729</v>
      </c>
      <c r="E4889">
        <v>237.67</v>
      </c>
      <c r="F4889">
        <v>20131218</v>
      </c>
      <c r="G4889" t="s">
        <v>482</v>
      </c>
      <c r="H4889" t="s">
        <v>414</v>
      </c>
      <c r="I4889" t="s">
        <v>21</v>
      </c>
    </row>
    <row r="4890" spans="1:9" x14ac:dyDescent="0.25">
      <c r="A4890">
        <v>20131219</v>
      </c>
      <c r="B4890" t="str">
        <f>"113331"</f>
        <v>113331</v>
      </c>
      <c r="C4890" t="str">
        <f>"85781"</f>
        <v>85781</v>
      </c>
      <c r="D4890" t="s">
        <v>2730</v>
      </c>
      <c r="E4890">
        <v>935</v>
      </c>
      <c r="F4890">
        <v>20131217</v>
      </c>
      <c r="G4890" t="s">
        <v>356</v>
      </c>
      <c r="H4890" t="s">
        <v>357</v>
      </c>
      <c r="I4890" t="s">
        <v>61</v>
      </c>
    </row>
    <row r="4891" spans="1:9" x14ac:dyDescent="0.25">
      <c r="A4891">
        <v>20131219</v>
      </c>
      <c r="B4891" t="str">
        <f>"113332"</f>
        <v>113332</v>
      </c>
      <c r="C4891" t="str">
        <f>"85770"</f>
        <v>85770</v>
      </c>
      <c r="D4891" t="s">
        <v>363</v>
      </c>
      <c r="E4891">
        <v>76.459999999999994</v>
      </c>
      <c r="F4891">
        <v>20131218</v>
      </c>
      <c r="G4891" t="s">
        <v>200</v>
      </c>
      <c r="H4891" t="s">
        <v>354</v>
      </c>
      <c r="I4891" t="s">
        <v>38</v>
      </c>
    </row>
    <row r="4892" spans="1:9" x14ac:dyDescent="0.25">
      <c r="A4892">
        <v>20131219</v>
      </c>
      <c r="B4892" t="str">
        <f t="shared" ref="B4892:B4908" si="323">"113333"</f>
        <v>113333</v>
      </c>
      <c r="C4892" t="str">
        <f t="shared" ref="C4892:C4908" si="324">"29230"</f>
        <v>29230</v>
      </c>
      <c r="D4892" t="s">
        <v>1267</v>
      </c>
      <c r="E4892">
        <v>65.88</v>
      </c>
      <c r="F4892">
        <v>20131217</v>
      </c>
      <c r="G4892" t="s">
        <v>511</v>
      </c>
      <c r="H4892" t="s">
        <v>1269</v>
      </c>
      <c r="I4892" t="s">
        <v>21</v>
      </c>
    </row>
    <row r="4893" spans="1:9" x14ac:dyDescent="0.25">
      <c r="A4893">
        <v>20131219</v>
      </c>
      <c r="B4893" t="str">
        <f t="shared" si="323"/>
        <v>113333</v>
      </c>
      <c r="C4893" t="str">
        <f t="shared" si="324"/>
        <v>29230</v>
      </c>
      <c r="D4893" t="s">
        <v>1267</v>
      </c>
      <c r="E4893">
        <v>112.55</v>
      </c>
      <c r="F4893">
        <v>20131217</v>
      </c>
      <c r="G4893" t="s">
        <v>511</v>
      </c>
      <c r="H4893" t="s">
        <v>1269</v>
      </c>
      <c r="I4893" t="s">
        <v>21</v>
      </c>
    </row>
    <row r="4894" spans="1:9" x14ac:dyDescent="0.25">
      <c r="A4894">
        <v>20131219</v>
      </c>
      <c r="B4894" t="str">
        <f t="shared" si="323"/>
        <v>113333</v>
      </c>
      <c r="C4894" t="str">
        <f t="shared" si="324"/>
        <v>29230</v>
      </c>
      <c r="D4894" t="s">
        <v>1267</v>
      </c>
      <c r="E4894" s="1">
        <v>1807.56</v>
      </c>
      <c r="F4894">
        <v>20131217</v>
      </c>
      <c r="G4894" t="s">
        <v>511</v>
      </c>
      <c r="H4894" t="s">
        <v>1269</v>
      </c>
      <c r="I4894" t="s">
        <v>21</v>
      </c>
    </row>
    <row r="4895" spans="1:9" x14ac:dyDescent="0.25">
      <c r="A4895">
        <v>20131219</v>
      </c>
      <c r="B4895" t="str">
        <f t="shared" si="323"/>
        <v>113333</v>
      </c>
      <c r="C4895" t="str">
        <f t="shared" si="324"/>
        <v>29230</v>
      </c>
      <c r="D4895" t="s">
        <v>1267</v>
      </c>
      <c r="E4895" s="1">
        <v>2110.6</v>
      </c>
      <c r="F4895">
        <v>20131217</v>
      </c>
      <c r="G4895" t="s">
        <v>511</v>
      </c>
      <c r="H4895" t="s">
        <v>1269</v>
      </c>
      <c r="I4895" t="s">
        <v>21</v>
      </c>
    </row>
    <row r="4896" spans="1:9" x14ac:dyDescent="0.25">
      <c r="A4896">
        <v>20131219</v>
      </c>
      <c r="B4896" t="str">
        <f t="shared" si="323"/>
        <v>113333</v>
      </c>
      <c r="C4896" t="str">
        <f t="shared" si="324"/>
        <v>29230</v>
      </c>
      <c r="D4896" t="s">
        <v>1267</v>
      </c>
      <c r="E4896" s="1">
        <v>1284.6600000000001</v>
      </c>
      <c r="F4896">
        <v>20131217</v>
      </c>
      <c r="G4896" t="s">
        <v>621</v>
      </c>
      <c r="H4896" t="s">
        <v>1269</v>
      </c>
      <c r="I4896" t="s">
        <v>21</v>
      </c>
    </row>
    <row r="4897" spans="1:9" x14ac:dyDescent="0.25">
      <c r="A4897">
        <v>20131219</v>
      </c>
      <c r="B4897" t="str">
        <f t="shared" si="323"/>
        <v>113333</v>
      </c>
      <c r="C4897" t="str">
        <f t="shared" si="324"/>
        <v>29230</v>
      </c>
      <c r="D4897" t="s">
        <v>1267</v>
      </c>
      <c r="E4897">
        <v>878.4</v>
      </c>
      <c r="F4897">
        <v>20131217</v>
      </c>
      <c r="G4897" t="s">
        <v>1270</v>
      </c>
      <c r="H4897" t="s">
        <v>1269</v>
      </c>
      <c r="I4897" t="s">
        <v>21</v>
      </c>
    </row>
    <row r="4898" spans="1:9" x14ac:dyDescent="0.25">
      <c r="A4898">
        <v>20131219</v>
      </c>
      <c r="B4898" t="str">
        <f t="shared" si="323"/>
        <v>113333</v>
      </c>
      <c r="C4898" t="str">
        <f t="shared" si="324"/>
        <v>29230</v>
      </c>
      <c r="D4898" t="s">
        <v>1267</v>
      </c>
      <c r="E4898">
        <v>761.28</v>
      </c>
      <c r="F4898">
        <v>20131217</v>
      </c>
      <c r="G4898" t="s">
        <v>624</v>
      </c>
      <c r="H4898" t="s">
        <v>1269</v>
      </c>
      <c r="I4898" t="s">
        <v>21</v>
      </c>
    </row>
    <row r="4899" spans="1:9" x14ac:dyDescent="0.25">
      <c r="A4899">
        <v>20131219</v>
      </c>
      <c r="B4899" t="str">
        <f t="shared" si="323"/>
        <v>113333</v>
      </c>
      <c r="C4899" t="str">
        <f t="shared" si="324"/>
        <v>29230</v>
      </c>
      <c r="D4899" t="s">
        <v>1267</v>
      </c>
      <c r="E4899" s="1">
        <v>1416.88</v>
      </c>
      <c r="F4899">
        <v>20131217</v>
      </c>
      <c r="G4899" t="s">
        <v>950</v>
      </c>
      <c r="H4899" t="s">
        <v>1268</v>
      </c>
      <c r="I4899" t="s">
        <v>21</v>
      </c>
    </row>
    <row r="4900" spans="1:9" x14ac:dyDescent="0.25">
      <c r="A4900">
        <v>20131219</v>
      </c>
      <c r="B4900" t="str">
        <f t="shared" si="323"/>
        <v>113333</v>
      </c>
      <c r="C4900" t="str">
        <f t="shared" si="324"/>
        <v>29230</v>
      </c>
      <c r="D4900" t="s">
        <v>1267</v>
      </c>
      <c r="E4900">
        <v>839.97</v>
      </c>
      <c r="F4900">
        <v>20131217</v>
      </c>
      <c r="G4900" t="s">
        <v>524</v>
      </c>
      <c r="H4900" t="s">
        <v>1269</v>
      </c>
      <c r="I4900" t="s">
        <v>21</v>
      </c>
    </row>
    <row r="4901" spans="1:9" x14ac:dyDescent="0.25">
      <c r="A4901">
        <v>20131219</v>
      </c>
      <c r="B4901" t="str">
        <f t="shared" si="323"/>
        <v>113333</v>
      </c>
      <c r="C4901" t="str">
        <f t="shared" si="324"/>
        <v>29230</v>
      </c>
      <c r="D4901" t="s">
        <v>1267</v>
      </c>
      <c r="E4901">
        <v>253.76</v>
      </c>
      <c r="F4901">
        <v>20131217</v>
      </c>
      <c r="G4901" t="s">
        <v>526</v>
      </c>
      <c r="H4901" t="s">
        <v>1268</v>
      </c>
      <c r="I4901" t="s">
        <v>21</v>
      </c>
    </row>
    <row r="4902" spans="1:9" x14ac:dyDescent="0.25">
      <c r="A4902">
        <v>20131219</v>
      </c>
      <c r="B4902" t="str">
        <f t="shared" si="323"/>
        <v>113333</v>
      </c>
      <c r="C4902" t="str">
        <f t="shared" si="324"/>
        <v>29230</v>
      </c>
      <c r="D4902" t="s">
        <v>1267</v>
      </c>
      <c r="E4902">
        <v>805.2</v>
      </c>
      <c r="F4902">
        <v>20131217</v>
      </c>
      <c r="G4902" t="s">
        <v>450</v>
      </c>
      <c r="H4902" t="s">
        <v>1269</v>
      </c>
      <c r="I4902" t="s">
        <v>21</v>
      </c>
    </row>
    <row r="4903" spans="1:9" x14ac:dyDescent="0.25">
      <c r="A4903">
        <v>20131219</v>
      </c>
      <c r="B4903" t="str">
        <f t="shared" si="323"/>
        <v>113333</v>
      </c>
      <c r="C4903" t="str">
        <f t="shared" si="324"/>
        <v>29230</v>
      </c>
      <c r="D4903" t="s">
        <v>1267</v>
      </c>
      <c r="E4903">
        <v>34.159999999999997</v>
      </c>
      <c r="F4903">
        <v>20131217</v>
      </c>
      <c r="G4903" t="s">
        <v>1271</v>
      </c>
      <c r="H4903" t="s">
        <v>1269</v>
      </c>
      <c r="I4903" t="s">
        <v>21</v>
      </c>
    </row>
    <row r="4904" spans="1:9" x14ac:dyDescent="0.25">
      <c r="A4904">
        <v>20131219</v>
      </c>
      <c r="B4904" t="str">
        <f t="shared" si="323"/>
        <v>113333</v>
      </c>
      <c r="C4904" t="str">
        <f t="shared" si="324"/>
        <v>29230</v>
      </c>
      <c r="D4904" t="s">
        <v>1267</v>
      </c>
      <c r="E4904">
        <v>39.04</v>
      </c>
      <c r="F4904">
        <v>20131217</v>
      </c>
      <c r="G4904" t="s">
        <v>1271</v>
      </c>
      <c r="H4904" t="s">
        <v>1268</v>
      </c>
      <c r="I4904" t="s">
        <v>21</v>
      </c>
    </row>
    <row r="4905" spans="1:9" x14ac:dyDescent="0.25">
      <c r="A4905">
        <v>20131219</v>
      </c>
      <c r="B4905" t="str">
        <f t="shared" si="323"/>
        <v>113333</v>
      </c>
      <c r="C4905" t="str">
        <f t="shared" si="324"/>
        <v>29230</v>
      </c>
      <c r="D4905" t="s">
        <v>1267</v>
      </c>
      <c r="E4905">
        <v>80.52</v>
      </c>
      <c r="F4905">
        <v>20131217</v>
      </c>
      <c r="G4905" t="s">
        <v>1271</v>
      </c>
      <c r="H4905" t="s">
        <v>1268</v>
      </c>
      <c r="I4905" t="s">
        <v>21</v>
      </c>
    </row>
    <row r="4906" spans="1:9" x14ac:dyDescent="0.25">
      <c r="A4906">
        <v>20131219</v>
      </c>
      <c r="B4906" t="str">
        <f t="shared" si="323"/>
        <v>113333</v>
      </c>
      <c r="C4906" t="str">
        <f t="shared" si="324"/>
        <v>29230</v>
      </c>
      <c r="D4906" t="s">
        <v>1267</v>
      </c>
      <c r="E4906">
        <v>278.16000000000003</v>
      </c>
      <c r="F4906">
        <v>20131217</v>
      </c>
      <c r="G4906" t="s">
        <v>1272</v>
      </c>
      <c r="H4906" t="s">
        <v>1268</v>
      </c>
      <c r="I4906" t="s">
        <v>21</v>
      </c>
    </row>
    <row r="4907" spans="1:9" x14ac:dyDescent="0.25">
      <c r="A4907">
        <v>20131219</v>
      </c>
      <c r="B4907" t="str">
        <f t="shared" si="323"/>
        <v>113333</v>
      </c>
      <c r="C4907" t="str">
        <f t="shared" si="324"/>
        <v>29230</v>
      </c>
      <c r="D4907" t="s">
        <v>1267</v>
      </c>
      <c r="E4907">
        <v>333.52</v>
      </c>
      <c r="F4907">
        <v>20131217</v>
      </c>
      <c r="G4907" t="s">
        <v>1273</v>
      </c>
      <c r="H4907" t="s">
        <v>1269</v>
      </c>
      <c r="I4907" t="s">
        <v>21</v>
      </c>
    </row>
    <row r="4908" spans="1:9" x14ac:dyDescent="0.25">
      <c r="A4908">
        <v>20131219</v>
      </c>
      <c r="B4908" t="str">
        <f t="shared" si="323"/>
        <v>113333</v>
      </c>
      <c r="C4908" t="str">
        <f t="shared" si="324"/>
        <v>29230</v>
      </c>
      <c r="D4908" t="s">
        <v>1267</v>
      </c>
      <c r="E4908">
        <v>39.04</v>
      </c>
      <c r="F4908">
        <v>20131217</v>
      </c>
      <c r="G4908" t="s">
        <v>1464</v>
      </c>
      <c r="H4908" t="s">
        <v>1268</v>
      </c>
      <c r="I4908" t="s">
        <v>21</v>
      </c>
    </row>
    <row r="4909" spans="1:9" x14ac:dyDescent="0.25">
      <c r="A4909">
        <v>20131219</v>
      </c>
      <c r="B4909" t="str">
        <f>"113334"</f>
        <v>113334</v>
      </c>
      <c r="C4909" t="str">
        <f>"85984"</f>
        <v>85984</v>
      </c>
      <c r="D4909" t="s">
        <v>2013</v>
      </c>
      <c r="E4909">
        <v>19.920000000000002</v>
      </c>
      <c r="F4909">
        <v>20131218</v>
      </c>
      <c r="G4909" t="s">
        <v>426</v>
      </c>
      <c r="H4909" t="s">
        <v>968</v>
      </c>
      <c r="I4909" t="s">
        <v>21</v>
      </c>
    </row>
    <row r="4910" spans="1:9" x14ac:dyDescent="0.25">
      <c r="A4910">
        <v>20131219</v>
      </c>
      <c r="B4910" t="str">
        <f>"113335"</f>
        <v>113335</v>
      </c>
      <c r="C4910" t="str">
        <f>"87105"</f>
        <v>87105</v>
      </c>
      <c r="D4910" t="s">
        <v>2547</v>
      </c>
      <c r="E4910">
        <v>110</v>
      </c>
      <c r="F4910">
        <v>20131217</v>
      </c>
      <c r="G4910" t="s">
        <v>2324</v>
      </c>
      <c r="H4910" t="s">
        <v>765</v>
      </c>
      <c r="I4910" t="s">
        <v>61</v>
      </c>
    </row>
    <row r="4911" spans="1:9" x14ac:dyDescent="0.25">
      <c r="A4911">
        <v>20131219</v>
      </c>
      <c r="B4911" t="str">
        <f>"113336"</f>
        <v>113336</v>
      </c>
      <c r="C4911" t="str">
        <f>"84190"</f>
        <v>84190</v>
      </c>
      <c r="D4911" t="s">
        <v>2731</v>
      </c>
      <c r="E4911">
        <v>207.9</v>
      </c>
      <c r="F4911">
        <v>20131217</v>
      </c>
      <c r="G4911" t="s">
        <v>1026</v>
      </c>
      <c r="H4911" t="s">
        <v>563</v>
      </c>
      <c r="I4911" t="s">
        <v>21</v>
      </c>
    </row>
    <row r="4912" spans="1:9" x14ac:dyDescent="0.25">
      <c r="A4912">
        <v>20131219</v>
      </c>
      <c r="B4912" t="str">
        <f>"113337"</f>
        <v>113337</v>
      </c>
      <c r="C4912" t="str">
        <f>"52525"</f>
        <v>52525</v>
      </c>
      <c r="D4912" t="s">
        <v>1113</v>
      </c>
      <c r="E4912">
        <v>168.97</v>
      </c>
      <c r="F4912">
        <v>20131217</v>
      </c>
      <c r="G4912" t="s">
        <v>39</v>
      </c>
      <c r="H4912" t="s">
        <v>2732</v>
      </c>
      <c r="I4912" t="s">
        <v>38</v>
      </c>
    </row>
    <row r="4913" spans="1:9" x14ac:dyDescent="0.25">
      <c r="A4913">
        <v>20131219</v>
      </c>
      <c r="B4913" t="str">
        <f>"113337"</f>
        <v>113337</v>
      </c>
      <c r="C4913" t="str">
        <f>"52525"</f>
        <v>52525</v>
      </c>
      <c r="D4913" t="s">
        <v>1113</v>
      </c>
      <c r="E4913">
        <v>54.49</v>
      </c>
      <c r="F4913">
        <v>20131212</v>
      </c>
      <c r="G4913" t="s">
        <v>2733</v>
      </c>
      <c r="H4913" t="s">
        <v>2734</v>
      </c>
      <c r="I4913" t="s">
        <v>1726</v>
      </c>
    </row>
    <row r="4914" spans="1:9" x14ac:dyDescent="0.25">
      <c r="A4914">
        <v>20131219</v>
      </c>
      <c r="B4914" t="str">
        <f>"113338"</f>
        <v>113338</v>
      </c>
      <c r="C4914" t="str">
        <f>"82978"</f>
        <v>82978</v>
      </c>
      <c r="D4914" t="s">
        <v>2245</v>
      </c>
      <c r="E4914">
        <v>149.9</v>
      </c>
      <c r="F4914">
        <v>20131213</v>
      </c>
      <c r="G4914" t="s">
        <v>840</v>
      </c>
      <c r="H4914" t="s">
        <v>2735</v>
      </c>
      <c r="I4914" t="s">
        <v>21</v>
      </c>
    </row>
    <row r="4915" spans="1:9" x14ac:dyDescent="0.25">
      <c r="A4915">
        <v>20131219</v>
      </c>
      <c r="B4915" t="str">
        <f>"113339"</f>
        <v>113339</v>
      </c>
      <c r="C4915" t="str">
        <f>"55675"</f>
        <v>55675</v>
      </c>
      <c r="D4915" t="s">
        <v>1114</v>
      </c>
      <c r="E4915">
        <v>94.99</v>
      </c>
      <c r="F4915">
        <v>20131218</v>
      </c>
      <c r="G4915" t="s">
        <v>506</v>
      </c>
      <c r="H4915" t="s">
        <v>414</v>
      </c>
      <c r="I4915" t="s">
        <v>21</v>
      </c>
    </row>
    <row r="4916" spans="1:9" x14ac:dyDescent="0.25">
      <c r="A4916">
        <v>20131219</v>
      </c>
      <c r="B4916" t="str">
        <f>"113339"</f>
        <v>113339</v>
      </c>
      <c r="C4916" t="str">
        <f>"55675"</f>
        <v>55675</v>
      </c>
      <c r="D4916" t="s">
        <v>1114</v>
      </c>
      <c r="E4916">
        <v>382.99</v>
      </c>
      <c r="F4916">
        <v>20131218</v>
      </c>
      <c r="G4916" t="s">
        <v>506</v>
      </c>
      <c r="H4916" t="s">
        <v>414</v>
      </c>
      <c r="I4916" t="s">
        <v>21</v>
      </c>
    </row>
    <row r="4917" spans="1:9" x14ac:dyDescent="0.25">
      <c r="A4917">
        <v>20131219</v>
      </c>
      <c r="B4917" t="str">
        <f>"113339"</f>
        <v>113339</v>
      </c>
      <c r="C4917" t="str">
        <f>"55675"</f>
        <v>55675</v>
      </c>
      <c r="D4917" t="s">
        <v>1114</v>
      </c>
      <c r="E4917">
        <v>75.599999999999994</v>
      </c>
      <c r="F4917">
        <v>20131217</v>
      </c>
      <c r="G4917" t="s">
        <v>1910</v>
      </c>
      <c r="H4917" t="s">
        <v>414</v>
      </c>
      <c r="I4917" t="s">
        <v>21</v>
      </c>
    </row>
    <row r="4918" spans="1:9" x14ac:dyDescent="0.25">
      <c r="A4918">
        <v>20131219</v>
      </c>
      <c r="B4918" t="str">
        <f>"113339"</f>
        <v>113339</v>
      </c>
      <c r="C4918" t="str">
        <f>"55675"</f>
        <v>55675</v>
      </c>
      <c r="D4918" t="s">
        <v>1114</v>
      </c>
      <c r="E4918">
        <v>221.59</v>
      </c>
      <c r="F4918">
        <v>20131217</v>
      </c>
      <c r="G4918" t="s">
        <v>1910</v>
      </c>
      <c r="H4918" t="s">
        <v>414</v>
      </c>
      <c r="I4918" t="s">
        <v>21</v>
      </c>
    </row>
    <row r="4919" spans="1:9" x14ac:dyDescent="0.25">
      <c r="A4919">
        <v>20131219</v>
      </c>
      <c r="B4919" t="str">
        <f>"113340"</f>
        <v>113340</v>
      </c>
      <c r="C4919" t="str">
        <f>"00151"</f>
        <v>00151</v>
      </c>
      <c r="D4919" t="s">
        <v>1641</v>
      </c>
      <c r="E4919">
        <v>130</v>
      </c>
      <c r="F4919">
        <v>20131217</v>
      </c>
      <c r="G4919" t="s">
        <v>2736</v>
      </c>
      <c r="H4919" t="s">
        <v>1642</v>
      </c>
      <c r="I4919" t="s">
        <v>21</v>
      </c>
    </row>
    <row r="4920" spans="1:9" x14ac:dyDescent="0.25">
      <c r="A4920">
        <v>20131219</v>
      </c>
      <c r="B4920" t="str">
        <f>"113341"</f>
        <v>113341</v>
      </c>
      <c r="C4920" t="str">
        <f>"86946"</f>
        <v>86946</v>
      </c>
      <c r="D4920" t="s">
        <v>933</v>
      </c>
      <c r="E4920">
        <v>32.78</v>
      </c>
      <c r="F4920">
        <v>20131217</v>
      </c>
      <c r="G4920" t="s">
        <v>2737</v>
      </c>
      <c r="H4920" t="s">
        <v>354</v>
      </c>
      <c r="I4920" t="s">
        <v>21</v>
      </c>
    </row>
    <row r="4921" spans="1:9" x14ac:dyDescent="0.25">
      <c r="A4921">
        <v>20131219</v>
      </c>
      <c r="B4921" t="str">
        <f>"113341"</f>
        <v>113341</v>
      </c>
      <c r="C4921" t="str">
        <f>"86946"</f>
        <v>86946</v>
      </c>
      <c r="D4921" t="s">
        <v>933</v>
      </c>
      <c r="E4921">
        <v>613.67999999999995</v>
      </c>
      <c r="F4921">
        <v>20131218</v>
      </c>
      <c r="G4921" t="s">
        <v>1409</v>
      </c>
      <c r="H4921" t="s">
        <v>365</v>
      </c>
      <c r="I4921" t="s">
        <v>21</v>
      </c>
    </row>
    <row r="4922" spans="1:9" x14ac:dyDescent="0.25">
      <c r="A4922">
        <v>20131219</v>
      </c>
      <c r="B4922" t="str">
        <f>"113342"</f>
        <v>113342</v>
      </c>
      <c r="C4922" t="str">
        <f>"58570"</f>
        <v>58570</v>
      </c>
      <c r="D4922" t="s">
        <v>655</v>
      </c>
      <c r="E4922">
        <v>233</v>
      </c>
      <c r="F4922">
        <v>20131217</v>
      </c>
      <c r="G4922" t="s">
        <v>340</v>
      </c>
      <c r="H4922" t="s">
        <v>656</v>
      </c>
      <c r="I4922" t="s">
        <v>21</v>
      </c>
    </row>
    <row r="4923" spans="1:9" x14ac:dyDescent="0.25">
      <c r="A4923">
        <v>20131219</v>
      </c>
      <c r="B4923" t="str">
        <f>"113342"</f>
        <v>113342</v>
      </c>
      <c r="C4923" t="str">
        <f>"58570"</f>
        <v>58570</v>
      </c>
      <c r="D4923" t="s">
        <v>655</v>
      </c>
      <c r="E4923">
        <v>333.03</v>
      </c>
      <c r="F4923">
        <v>20131218</v>
      </c>
      <c r="G4923" t="s">
        <v>340</v>
      </c>
      <c r="H4923" t="s">
        <v>656</v>
      </c>
      <c r="I4923" t="s">
        <v>21</v>
      </c>
    </row>
    <row r="4924" spans="1:9" x14ac:dyDescent="0.25">
      <c r="A4924">
        <v>20131219</v>
      </c>
      <c r="B4924" t="str">
        <f>"113343"</f>
        <v>113343</v>
      </c>
      <c r="C4924" t="str">
        <f>"58585"</f>
        <v>58585</v>
      </c>
      <c r="D4924" t="s">
        <v>1913</v>
      </c>
      <c r="E4924" s="1">
        <v>6624.2</v>
      </c>
      <c r="F4924">
        <v>20131213</v>
      </c>
      <c r="G4924" t="s">
        <v>1067</v>
      </c>
      <c r="H4924" t="s">
        <v>2738</v>
      </c>
      <c r="I4924" t="s">
        <v>21</v>
      </c>
    </row>
    <row r="4925" spans="1:9" x14ac:dyDescent="0.25">
      <c r="A4925">
        <v>20131219</v>
      </c>
      <c r="B4925" t="str">
        <f>"113344"</f>
        <v>113344</v>
      </c>
      <c r="C4925" t="str">
        <f>"86964"</f>
        <v>86964</v>
      </c>
      <c r="D4925" t="s">
        <v>1280</v>
      </c>
      <c r="E4925" s="1">
        <v>23054.7</v>
      </c>
      <c r="F4925">
        <v>20131212</v>
      </c>
      <c r="G4925" t="s">
        <v>2147</v>
      </c>
      <c r="H4925" t="s">
        <v>2739</v>
      </c>
      <c r="I4925" t="s">
        <v>21</v>
      </c>
    </row>
    <row r="4926" spans="1:9" x14ac:dyDescent="0.25">
      <c r="A4926">
        <v>20131219</v>
      </c>
      <c r="B4926" t="str">
        <f>"113344"</f>
        <v>113344</v>
      </c>
      <c r="C4926" t="str">
        <f>"86964"</f>
        <v>86964</v>
      </c>
      <c r="D4926" t="s">
        <v>1280</v>
      </c>
      <c r="E4926" s="1">
        <v>26479.75</v>
      </c>
      <c r="F4926">
        <v>20131212</v>
      </c>
      <c r="G4926" t="s">
        <v>2147</v>
      </c>
      <c r="H4926" t="s">
        <v>2740</v>
      </c>
      <c r="I4926" t="s">
        <v>21</v>
      </c>
    </row>
    <row r="4927" spans="1:9" x14ac:dyDescent="0.25">
      <c r="A4927">
        <v>20131219</v>
      </c>
      <c r="B4927" t="str">
        <f>"113345"</f>
        <v>113345</v>
      </c>
      <c r="C4927" t="str">
        <f>"82182"</f>
        <v>82182</v>
      </c>
      <c r="D4927" t="s">
        <v>2741</v>
      </c>
      <c r="E4927">
        <v>325</v>
      </c>
      <c r="F4927">
        <v>20131217</v>
      </c>
      <c r="G4927" t="s">
        <v>1408</v>
      </c>
      <c r="H4927" t="s">
        <v>2610</v>
      </c>
      <c r="I4927" t="s">
        <v>12</v>
      </c>
    </row>
    <row r="4928" spans="1:9" x14ac:dyDescent="0.25">
      <c r="A4928">
        <v>20131219</v>
      </c>
      <c r="B4928" t="str">
        <f>"113346"</f>
        <v>113346</v>
      </c>
      <c r="C4928" t="str">
        <f>"59500"</f>
        <v>59500</v>
      </c>
      <c r="D4928" t="s">
        <v>670</v>
      </c>
      <c r="E4928">
        <v>17.84</v>
      </c>
      <c r="F4928">
        <v>20131218</v>
      </c>
      <c r="G4928" t="s">
        <v>137</v>
      </c>
      <c r="H4928" t="s">
        <v>414</v>
      </c>
      <c r="I4928" t="s">
        <v>21</v>
      </c>
    </row>
    <row r="4929" spans="1:9" x14ac:dyDescent="0.25">
      <c r="A4929">
        <v>20131219</v>
      </c>
      <c r="B4929" t="str">
        <f>"113346"</f>
        <v>113346</v>
      </c>
      <c r="C4929" t="str">
        <f>"59500"</f>
        <v>59500</v>
      </c>
      <c r="D4929" t="s">
        <v>670</v>
      </c>
      <c r="E4929">
        <v>168.63</v>
      </c>
      <c r="F4929">
        <v>20131218</v>
      </c>
      <c r="G4929" t="s">
        <v>137</v>
      </c>
      <c r="H4929" t="s">
        <v>414</v>
      </c>
      <c r="I4929" t="s">
        <v>21</v>
      </c>
    </row>
    <row r="4930" spans="1:9" x14ac:dyDescent="0.25">
      <c r="A4930">
        <v>20131219</v>
      </c>
      <c r="B4930" t="str">
        <f>"113347"</f>
        <v>113347</v>
      </c>
      <c r="C4930" t="str">
        <f>"87330"</f>
        <v>87330</v>
      </c>
      <c r="D4930" t="s">
        <v>671</v>
      </c>
      <c r="E4930" s="1">
        <v>1050</v>
      </c>
      <c r="F4930">
        <v>20131218</v>
      </c>
      <c r="G4930" t="s">
        <v>672</v>
      </c>
      <c r="H4930" t="s">
        <v>2264</v>
      </c>
      <c r="I4930" t="s">
        <v>21</v>
      </c>
    </row>
    <row r="4931" spans="1:9" x14ac:dyDescent="0.25">
      <c r="A4931">
        <v>20131219</v>
      </c>
      <c r="B4931" t="str">
        <f>"113348"</f>
        <v>113348</v>
      </c>
      <c r="C4931" t="str">
        <f>"59725"</f>
        <v>59725</v>
      </c>
      <c r="D4931" t="s">
        <v>674</v>
      </c>
      <c r="E4931">
        <v>26.96</v>
      </c>
      <c r="F4931">
        <v>20131218</v>
      </c>
      <c r="G4931" t="s">
        <v>392</v>
      </c>
      <c r="H4931" t="s">
        <v>414</v>
      </c>
      <c r="I4931" t="s">
        <v>21</v>
      </c>
    </row>
    <row r="4932" spans="1:9" x14ac:dyDescent="0.25">
      <c r="A4932">
        <v>20131219</v>
      </c>
      <c r="B4932" t="str">
        <f>"113348"</f>
        <v>113348</v>
      </c>
      <c r="C4932" t="str">
        <f>"59725"</f>
        <v>59725</v>
      </c>
      <c r="D4932" t="s">
        <v>674</v>
      </c>
      <c r="E4932">
        <v>39.99</v>
      </c>
      <c r="F4932">
        <v>20131218</v>
      </c>
      <c r="G4932" t="s">
        <v>392</v>
      </c>
      <c r="H4932" t="s">
        <v>414</v>
      </c>
      <c r="I4932" t="s">
        <v>21</v>
      </c>
    </row>
    <row r="4933" spans="1:9" x14ac:dyDescent="0.25">
      <c r="A4933">
        <v>20131219</v>
      </c>
      <c r="B4933" t="str">
        <f>"113349"</f>
        <v>113349</v>
      </c>
      <c r="C4933" t="str">
        <f>"87672"</f>
        <v>87672</v>
      </c>
      <c r="D4933" t="s">
        <v>2742</v>
      </c>
      <c r="E4933">
        <v>861</v>
      </c>
      <c r="F4933">
        <v>20131218</v>
      </c>
      <c r="G4933" t="s">
        <v>621</v>
      </c>
      <c r="H4933" t="s">
        <v>2743</v>
      </c>
      <c r="I4933" t="s">
        <v>21</v>
      </c>
    </row>
    <row r="4934" spans="1:9" x14ac:dyDescent="0.25">
      <c r="A4934">
        <v>20131219</v>
      </c>
      <c r="B4934" t="str">
        <f>"113350"</f>
        <v>113350</v>
      </c>
      <c r="C4934" t="str">
        <f>"87632"</f>
        <v>87632</v>
      </c>
      <c r="D4934" t="s">
        <v>2744</v>
      </c>
      <c r="E4934">
        <v>464.6</v>
      </c>
      <c r="F4934">
        <v>20131212</v>
      </c>
      <c r="G4934" t="s">
        <v>2745</v>
      </c>
      <c r="H4934" t="s">
        <v>2746</v>
      </c>
      <c r="I4934" t="s">
        <v>75</v>
      </c>
    </row>
    <row r="4935" spans="1:9" x14ac:dyDescent="0.25">
      <c r="A4935">
        <v>20131219</v>
      </c>
      <c r="B4935" t="str">
        <f>"113351"</f>
        <v>113351</v>
      </c>
      <c r="C4935" t="str">
        <f>"84891"</f>
        <v>84891</v>
      </c>
      <c r="D4935" t="s">
        <v>2747</v>
      </c>
      <c r="E4935">
        <v>33.299999999999997</v>
      </c>
      <c r="F4935">
        <v>20131218</v>
      </c>
      <c r="G4935" t="s">
        <v>410</v>
      </c>
      <c r="H4935" t="s">
        <v>411</v>
      </c>
      <c r="I4935" t="s">
        <v>12</v>
      </c>
    </row>
    <row r="4936" spans="1:9" x14ac:dyDescent="0.25">
      <c r="A4936">
        <v>20131219</v>
      </c>
      <c r="B4936" t="str">
        <f>"113352"</f>
        <v>113352</v>
      </c>
      <c r="C4936" t="str">
        <f>"87483"</f>
        <v>87483</v>
      </c>
      <c r="D4936" t="s">
        <v>1286</v>
      </c>
      <c r="E4936" s="1">
        <v>1757.5</v>
      </c>
      <c r="F4936">
        <v>20131212</v>
      </c>
      <c r="G4936" t="s">
        <v>840</v>
      </c>
      <c r="H4936" t="s">
        <v>2748</v>
      </c>
      <c r="I4936" t="s">
        <v>21</v>
      </c>
    </row>
    <row r="4937" spans="1:9" x14ac:dyDescent="0.25">
      <c r="A4937">
        <v>20131219</v>
      </c>
      <c r="B4937" t="str">
        <f>"113353"</f>
        <v>113353</v>
      </c>
      <c r="C4937" t="str">
        <f>"87617"</f>
        <v>87617</v>
      </c>
      <c r="D4937" t="s">
        <v>2749</v>
      </c>
      <c r="E4937" s="1">
        <v>6031.26</v>
      </c>
      <c r="F4937">
        <v>20131212</v>
      </c>
      <c r="G4937" t="s">
        <v>606</v>
      </c>
      <c r="H4937" t="s">
        <v>2750</v>
      </c>
      <c r="I4937" t="s">
        <v>608</v>
      </c>
    </row>
    <row r="4938" spans="1:9" x14ac:dyDescent="0.25">
      <c r="A4938">
        <v>20131219</v>
      </c>
      <c r="B4938" t="str">
        <f>"113354"</f>
        <v>113354</v>
      </c>
      <c r="C4938" t="str">
        <f>"87664"</f>
        <v>87664</v>
      </c>
      <c r="D4938" t="s">
        <v>2751</v>
      </c>
      <c r="E4938">
        <v>70</v>
      </c>
      <c r="F4938">
        <v>20131218</v>
      </c>
      <c r="G4938" t="s">
        <v>1846</v>
      </c>
      <c r="H4938" t="s">
        <v>765</v>
      </c>
      <c r="I4938" t="s">
        <v>63</v>
      </c>
    </row>
    <row r="4939" spans="1:9" x14ac:dyDescent="0.25">
      <c r="A4939">
        <v>20131219</v>
      </c>
      <c r="B4939" t="str">
        <f>"113355"</f>
        <v>113355</v>
      </c>
      <c r="C4939" t="str">
        <f>"83617"</f>
        <v>83617</v>
      </c>
      <c r="D4939" t="s">
        <v>1289</v>
      </c>
      <c r="E4939">
        <v>274.42</v>
      </c>
      <c r="F4939">
        <v>20131218</v>
      </c>
      <c r="G4939" t="s">
        <v>892</v>
      </c>
      <c r="H4939" t="s">
        <v>563</v>
      </c>
      <c r="I4939" t="s">
        <v>79</v>
      </c>
    </row>
    <row r="4940" spans="1:9" x14ac:dyDescent="0.25">
      <c r="A4940">
        <v>20131219</v>
      </c>
      <c r="B4940" t="str">
        <f>"113356"</f>
        <v>113356</v>
      </c>
      <c r="C4940" t="str">
        <f>"82735"</f>
        <v>82735</v>
      </c>
      <c r="D4940" t="s">
        <v>2752</v>
      </c>
      <c r="E4940">
        <v>450.7</v>
      </c>
      <c r="F4940">
        <v>20131213</v>
      </c>
      <c r="G4940" t="s">
        <v>1729</v>
      </c>
      <c r="H4940" t="s">
        <v>2753</v>
      </c>
      <c r="I4940" t="s">
        <v>61</v>
      </c>
    </row>
    <row r="4941" spans="1:9" x14ac:dyDescent="0.25">
      <c r="A4941">
        <v>20131219</v>
      </c>
      <c r="B4941" t="str">
        <f>"113357"</f>
        <v>113357</v>
      </c>
      <c r="C4941" t="str">
        <f>"87659"</f>
        <v>87659</v>
      </c>
      <c r="D4941" t="s">
        <v>2754</v>
      </c>
      <c r="E4941">
        <v>120</v>
      </c>
      <c r="F4941">
        <v>20131218</v>
      </c>
      <c r="G4941" t="s">
        <v>1846</v>
      </c>
      <c r="H4941" t="s">
        <v>765</v>
      </c>
      <c r="I4941" t="s">
        <v>63</v>
      </c>
    </row>
    <row r="4942" spans="1:9" x14ac:dyDescent="0.25">
      <c r="A4942">
        <v>20131219</v>
      </c>
      <c r="B4942" t="str">
        <f>"113358"</f>
        <v>113358</v>
      </c>
      <c r="C4942" t="str">
        <f>"81933"</f>
        <v>81933</v>
      </c>
      <c r="D4942" t="s">
        <v>432</v>
      </c>
      <c r="E4942">
        <v>57.6</v>
      </c>
      <c r="F4942">
        <v>20131218</v>
      </c>
      <c r="G4942" t="s">
        <v>410</v>
      </c>
      <c r="H4942" t="s">
        <v>411</v>
      </c>
      <c r="I4942" t="s">
        <v>12</v>
      </c>
    </row>
    <row r="4943" spans="1:9" x14ac:dyDescent="0.25">
      <c r="A4943">
        <v>20131219</v>
      </c>
      <c r="B4943" t="str">
        <f>"113359"</f>
        <v>113359</v>
      </c>
      <c r="C4943" t="str">
        <f>"81309"</f>
        <v>81309</v>
      </c>
      <c r="D4943" t="s">
        <v>1921</v>
      </c>
      <c r="E4943" s="1">
        <v>3391.5</v>
      </c>
      <c r="F4943">
        <v>20131212</v>
      </c>
      <c r="G4943" t="s">
        <v>496</v>
      </c>
      <c r="H4943" t="s">
        <v>2755</v>
      </c>
      <c r="I4943" t="s">
        <v>21</v>
      </c>
    </row>
    <row r="4944" spans="1:9" x14ac:dyDescent="0.25">
      <c r="A4944">
        <v>20131219</v>
      </c>
      <c r="B4944" t="str">
        <f>"113360"</f>
        <v>113360</v>
      </c>
      <c r="C4944" t="str">
        <f>"86120"</f>
        <v>86120</v>
      </c>
      <c r="D4944" t="s">
        <v>2756</v>
      </c>
      <c r="E4944">
        <v>350</v>
      </c>
      <c r="F4944">
        <v>20131218</v>
      </c>
      <c r="G4944" t="s">
        <v>1064</v>
      </c>
      <c r="H4944" t="s">
        <v>2757</v>
      </c>
      <c r="I4944" t="s">
        <v>21</v>
      </c>
    </row>
    <row r="4945" spans="1:9" x14ac:dyDescent="0.25">
      <c r="A4945">
        <v>20131219</v>
      </c>
      <c r="B4945" t="str">
        <f>"113361"</f>
        <v>113361</v>
      </c>
      <c r="C4945" t="str">
        <f>"62900"</f>
        <v>62900</v>
      </c>
      <c r="D4945" t="s">
        <v>1293</v>
      </c>
      <c r="E4945">
        <v>189.5</v>
      </c>
      <c r="F4945">
        <v>20131212</v>
      </c>
      <c r="G4945" t="s">
        <v>583</v>
      </c>
      <c r="H4945" t="s">
        <v>2758</v>
      </c>
      <c r="I4945" t="s">
        <v>21</v>
      </c>
    </row>
    <row r="4946" spans="1:9" x14ac:dyDescent="0.25">
      <c r="A4946">
        <v>20131219</v>
      </c>
      <c r="B4946" t="str">
        <f>"113362"</f>
        <v>113362</v>
      </c>
      <c r="C4946" t="str">
        <f>"64500"</f>
        <v>64500</v>
      </c>
      <c r="D4946" t="s">
        <v>949</v>
      </c>
      <c r="E4946" s="1">
        <v>1690</v>
      </c>
      <c r="F4946">
        <v>20131218</v>
      </c>
      <c r="G4946" t="s">
        <v>413</v>
      </c>
      <c r="H4946" t="s">
        <v>414</v>
      </c>
      <c r="I4946" t="s">
        <v>21</v>
      </c>
    </row>
    <row r="4947" spans="1:9" x14ac:dyDescent="0.25">
      <c r="A4947">
        <v>20131219</v>
      </c>
      <c r="B4947" t="str">
        <f>"113362"</f>
        <v>113362</v>
      </c>
      <c r="C4947" t="str">
        <f>"64500"</f>
        <v>64500</v>
      </c>
      <c r="D4947" t="s">
        <v>949</v>
      </c>
      <c r="E4947">
        <v>331.9</v>
      </c>
      <c r="F4947">
        <v>20131218</v>
      </c>
      <c r="G4947" t="s">
        <v>1224</v>
      </c>
      <c r="H4947" t="s">
        <v>414</v>
      </c>
      <c r="I4947" t="s">
        <v>21</v>
      </c>
    </row>
    <row r="4948" spans="1:9" x14ac:dyDescent="0.25">
      <c r="A4948">
        <v>20131219</v>
      </c>
      <c r="B4948" t="str">
        <f>"113363"</f>
        <v>113363</v>
      </c>
      <c r="C4948" t="str">
        <f>"87288"</f>
        <v>87288</v>
      </c>
      <c r="D4948" t="s">
        <v>1137</v>
      </c>
      <c r="E4948">
        <v>195</v>
      </c>
      <c r="F4948">
        <v>20131218</v>
      </c>
      <c r="G4948" t="s">
        <v>496</v>
      </c>
      <c r="H4948" t="s">
        <v>993</v>
      </c>
      <c r="I4948" t="s">
        <v>21</v>
      </c>
    </row>
    <row r="4949" spans="1:9" x14ac:dyDescent="0.25">
      <c r="A4949">
        <v>20131219</v>
      </c>
      <c r="B4949" t="str">
        <f>"113364"</f>
        <v>113364</v>
      </c>
      <c r="C4949" t="str">
        <f>"81411"</f>
        <v>81411</v>
      </c>
      <c r="D4949" t="s">
        <v>687</v>
      </c>
      <c r="E4949" s="1">
        <v>2264.2600000000002</v>
      </c>
      <c r="F4949">
        <v>20131218</v>
      </c>
      <c r="G4949" t="s">
        <v>498</v>
      </c>
      <c r="H4949" t="s">
        <v>688</v>
      </c>
      <c r="I4949" t="s">
        <v>21</v>
      </c>
    </row>
    <row r="4950" spans="1:9" x14ac:dyDescent="0.25">
      <c r="A4950">
        <v>20131219</v>
      </c>
      <c r="B4950" t="str">
        <f>"113365"</f>
        <v>113365</v>
      </c>
      <c r="C4950" t="str">
        <f>"68960"</f>
        <v>68960</v>
      </c>
      <c r="D4950" t="s">
        <v>689</v>
      </c>
      <c r="E4950">
        <v>200</v>
      </c>
      <c r="F4950">
        <v>20131218</v>
      </c>
      <c r="G4950" t="s">
        <v>356</v>
      </c>
      <c r="H4950" t="s">
        <v>357</v>
      </c>
      <c r="I4950" t="s">
        <v>61</v>
      </c>
    </row>
    <row r="4951" spans="1:9" x14ac:dyDescent="0.25">
      <c r="A4951">
        <v>20131219</v>
      </c>
      <c r="B4951" t="str">
        <f>"113365"</f>
        <v>113365</v>
      </c>
      <c r="C4951" t="str">
        <f>"68960"</f>
        <v>68960</v>
      </c>
      <c r="D4951" t="s">
        <v>689</v>
      </c>
      <c r="E4951">
        <v>200</v>
      </c>
      <c r="F4951">
        <v>20131218</v>
      </c>
      <c r="G4951" t="s">
        <v>356</v>
      </c>
      <c r="H4951" t="s">
        <v>357</v>
      </c>
      <c r="I4951" t="s">
        <v>61</v>
      </c>
    </row>
    <row r="4952" spans="1:9" x14ac:dyDescent="0.25">
      <c r="A4952">
        <v>20131219</v>
      </c>
      <c r="B4952" t="str">
        <f>"113365"</f>
        <v>113365</v>
      </c>
      <c r="C4952" t="str">
        <f>"68960"</f>
        <v>68960</v>
      </c>
      <c r="D4952" t="s">
        <v>689</v>
      </c>
      <c r="E4952">
        <v>96.25</v>
      </c>
      <c r="F4952">
        <v>20131218</v>
      </c>
      <c r="G4952" t="s">
        <v>356</v>
      </c>
      <c r="H4952" t="s">
        <v>357</v>
      </c>
      <c r="I4952" t="s">
        <v>61</v>
      </c>
    </row>
    <row r="4953" spans="1:9" x14ac:dyDescent="0.25">
      <c r="A4953">
        <v>20131219</v>
      </c>
      <c r="B4953" t="str">
        <f>"113365"</f>
        <v>113365</v>
      </c>
      <c r="C4953" t="str">
        <f>"68960"</f>
        <v>68960</v>
      </c>
      <c r="D4953" t="s">
        <v>689</v>
      </c>
      <c r="E4953">
        <v>100</v>
      </c>
      <c r="F4953">
        <v>20131218</v>
      </c>
      <c r="G4953" t="s">
        <v>356</v>
      </c>
      <c r="H4953" t="s">
        <v>357</v>
      </c>
      <c r="I4953" t="s">
        <v>61</v>
      </c>
    </row>
    <row r="4954" spans="1:9" x14ac:dyDescent="0.25">
      <c r="A4954">
        <v>20131219</v>
      </c>
      <c r="B4954" t="str">
        <f>"113365"</f>
        <v>113365</v>
      </c>
      <c r="C4954" t="str">
        <f>"68960"</f>
        <v>68960</v>
      </c>
      <c r="D4954" t="s">
        <v>689</v>
      </c>
      <c r="E4954">
        <v>200</v>
      </c>
      <c r="F4954">
        <v>20131218</v>
      </c>
      <c r="G4954" t="s">
        <v>356</v>
      </c>
      <c r="H4954" t="s">
        <v>357</v>
      </c>
      <c r="I4954" t="s">
        <v>61</v>
      </c>
    </row>
    <row r="4955" spans="1:9" x14ac:dyDescent="0.25">
      <c r="A4955">
        <v>20131219</v>
      </c>
      <c r="B4955" t="str">
        <f>"113366"</f>
        <v>113366</v>
      </c>
      <c r="C4955" t="str">
        <f>"86376"</f>
        <v>86376</v>
      </c>
      <c r="D4955" t="s">
        <v>1661</v>
      </c>
      <c r="E4955" s="1">
        <v>3378</v>
      </c>
      <c r="F4955">
        <v>20131212</v>
      </c>
      <c r="G4955" t="s">
        <v>1900</v>
      </c>
      <c r="H4955" t="s">
        <v>2759</v>
      </c>
      <c r="I4955" t="s">
        <v>608</v>
      </c>
    </row>
    <row r="4956" spans="1:9" x14ac:dyDescent="0.25">
      <c r="A4956">
        <v>20131219</v>
      </c>
      <c r="B4956" t="str">
        <f>"113367"</f>
        <v>113367</v>
      </c>
      <c r="C4956" t="str">
        <f>"69331"</f>
        <v>69331</v>
      </c>
      <c r="D4956" t="s">
        <v>383</v>
      </c>
      <c r="E4956">
        <v>752.48</v>
      </c>
      <c r="F4956">
        <v>20131218</v>
      </c>
      <c r="G4956" t="s">
        <v>704</v>
      </c>
      <c r="H4956" t="s">
        <v>2760</v>
      </c>
      <c r="I4956" t="s">
        <v>21</v>
      </c>
    </row>
    <row r="4957" spans="1:9" x14ac:dyDescent="0.25">
      <c r="A4957">
        <v>20131219</v>
      </c>
      <c r="B4957" t="str">
        <f>"113368"</f>
        <v>113368</v>
      </c>
      <c r="C4957" t="str">
        <f>"87660"</f>
        <v>87660</v>
      </c>
      <c r="D4957" t="s">
        <v>2761</v>
      </c>
      <c r="E4957">
        <v>120</v>
      </c>
      <c r="F4957">
        <v>20131218</v>
      </c>
      <c r="G4957" t="s">
        <v>1846</v>
      </c>
      <c r="H4957" t="s">
        <v>765</v>
      </c>
      <c r="I4957" t="s">
        <v>63</v>
      </c>
    </row>
    <row r="4958" spans="1:9" x14ac:dyDescent="0.25">
      <c r="A4958">
        <v>20131219</v>
      </c>
      <c r="B4958" t="str">
        <f>"113369"</f>
        <v>113369</v>
      </c>
      <c r="C4958" t="str">
        <f>"70245"</f>
        <v>70245</v>
      </c>
      <c r="D4958" t="s">
        <v>2762</v>
      </c>
      <c r="E4958">
        <v>362.95</v>
      </c>
      <c r="F4958">
        <v>20131218</v>
      </c>
      <c r="G4958" t="s">
        <v>810</v>
      </c>
      <c r="H4958" t="s">
        <v>365</v>
      </c>
      <c r="I4958" t="s">
        <v>66</v>
      </c>
    </row>
    <row r="4959" spans="1:9" x14ac:dyDescent="0.25">
      <c r="A4959">
        <v>20131219</v>
      </c>
      <c r="B4959" t="str">
        <f>"113370"</f>
        <v>113370</v>
      </c>
      <c r="C4959" t="str">
        <f>"70350"</f>
        <v>70350</v>
      </c>
      <c r="D4959" t="s">
        <v>2763</v>
      </c>
      <c r="E4959" s="1">
        <v>1419</v>
      </c>
      <c r="F4959">
        <v>20131212</v>
      </c>
      <c r="G4959" t="s">
        <v>2764</v>
      </c>
      <c r="H4959" t="s">
        <v>2765</v>
      </c>
      <c r="I4959" t="s">
        <v>61</v>
      </c>
    </row>
    <row r="4960" spans="1:9" x14ac:dyDescent="0.25">
      <c r="A4960">
        <v>20131219</v>
      </c>
      <c r="B4960" t="str">
        <f>"113371"</f>
        <v>113371</v>
      </c>
      <c r="C4960" t="str">
        <f>"81410"</f>
        <v>81410</v>
      </c>
      <c r="D4960" t="s">
        <v>2766</v>
      </c>
      <c r="E4960">
        <v>225</v>
      </c>
      <c r="F4960">
        <v>20131218</v>
      </c>
      <c r="G4960" t="s">
        <v>1533</v>
      </c>
      <c r="H4960" t="s">
        <v>954</v>
      </c>
      <c r="I4960" t="s">
        <v>21</v>
      </c>
    </row>
    <row r="4961" spans="1:9" x14ac:dyDescent="0.25">
      <c r="A4961">
        <v>20131219</v>
      </c>
      <c r="B4961" t="str">
        <f>"113372"</f>
        <v>113372</v>
      </c>
      <c r="C4961" t="str">
        <f>"86639"</f>
        <v>86639</v>
      </c>
      <c r="D4961" t="s">
        <v>2767</v>
      </c>
      <c r="E4961" s="1">
        <v>6291.2</v>
      </c>
      <c r="F4961">
        <v>20131218</v>
      </c>
      <c r="G4961" t="s">
        <v>329</v>
      </c>
      <c r="H4961" t="s">
        <v>553</v>
      </c>
      <c r="I4961" t="s">
        <v>25</v>
      </c>
    </row>
    <row r="4962" spans="1:9" x14ac:dyDescent="0.25">
      <c r="A4962">
        <v>20131219</v>
      </c>
      <c r="B4962" t="str">
        <f>"113373"</f>
        <v>113373</v>
      </c>
      <c r="C4962" t="str">
        <f>"71500"</f>
        <v>71500</v>
      </c>
      <c r="D4962" t="s">
        <v>966</v>
      </c>
      <c r="E4962">
        <v>100</v>
      </c>
      <c r="F4962">
        <v>20131218</v>
      </c>
      <c r="G4962" t="s">
        <v>438</v>
      </c>
      <c r="H4962" t="s">
        <v>954</v>
      </c>
      <c r="I4962" t="s">
        <v>66</v>
      </c>
    </row>
    <row r="4963" spans="1:9" x14ac:dyDescent="0.25">
      <c r="A4963">
        <v>20131219</v>
      </c>
      <c r="B4963" t="str">
        <f>"113374"</f>
        <v>113374</v>
      </c>
      <c r="C4963" t="str">
        <f>"87671"</f>
        <v>87671</v>
      </c>
      <c r="D4963" t="s">
        <v>2768</v>
      </c>
      <c r="E4963">
        <v>40</v>
      </c>
      <c r="F4963">
        <v>20131218</v>
      </c>
      <c r="G4963" t="s">
        <v>1533</v>
      </c>
      <c r="H4963" t="s">
        <v>954</v>
      </c>
      <c r="I4963" t="s">
        <v>21</v>
      </c>
    </row>
    <row r="4964" spans="1:9" x14ac:dyDescent="0.25">
      <c r="A4964">
        <v>20131219</v>
      </c>
      <c r="B4964" t="str">
        <f>"113374"</f>
        <v>113374</v>
      </c>
      <c r="C4964" t="str">
        <f>"87671"</f>
        <v>87671</v>
      </c>
      <c r="D4964" t="s">
        <v>2768</v>
      </c>
      <c r="E4964">
        <v>-40</v>
      </c>
      <c r="F4964">
        <v>20140424</v>
      </c>
      <c r="G4964" t="s">
        <v>1533</v>
      </c>
      <c r="H4964" t="s">
        <v>1965</v>
      </c>
      <c r="I4964" t="s">
        <v>21</v>
      </c>
    </row>
    <row r="4965" spans="1:9" x14ac:dyDescent="0.25">
      <c r="A4965">
        <v>20131219</v>
      </c>
      <c r="B4965" t="str">
        <f>"113375"</f>
        <v>113375</v>
      </c>
      <c r="C4965" t="str">
        <f>"87625"</f>
        <v>87625</v>
      </c>
      <c r="D4965" t="s">
        <v>2769</v>
      </c>
      <c r="E4965" s="1">
        <v>1195.96</v>
      </c>
      <c r="F4965">
        <v>20131212</v>
      </c>
      <c r="G4965" t="s">
        <v>1776</v>
      </c>
      <c r="H4965" t="s">
        <v>2770</v>
      </c>
      <c r="I4965" t="s">
        <v>21</v>
      </c>
    </row>
    <row r="4966" spans="1:9" x14ac:dyDescent="0.25">
      <c r="A4966">
        <v>20131219</v>
      </c>
      <c r="B4966" t="str">
        <f>"113376"</f>
        <v>113376</v>
      </c>
      <c r="C4966" t="str">
        <f>"86085"</f>
        <v>86085</v>
      </c>
      <c r="D4966" t="s">
        <v>703</v>
      </c>
      <c r="E4966">
        <v>76</v>
      </c>
      <c r="F4966">
        <v>20131218</v>
      </c>
      <c r="G4966" t="s">
        <v>704</v>
      </c>
      <c r="H4966" t="s">
        <v>705</v>
      </c>
      <c r="I4966" t="s">
        <v>21</v>
      </c>
    </row>
    <row r="4967" spans="1:9" x14ac:dyDescent="0.25">
      <c r="A4967">
        <v>20131219</v>
      </c>
      <c r="B4967" t="str">
        <f>"113377"</f>
        <v>113377</v>
      </c>
      <c r="C4967" t="str">
        <f>"87667"</f>
        <v>87667</v>
      </c>
      <c r="D4967" t="s">
        <v>2771</v>
      </c>
      <c r="E4967">
        <v>70</v>
      </c>
      <c r="F4967">
        <v>20131218</v>
      </c>
      <c r="G4967" t="s">
        <v>1846</v>
      </c>
      <c r="H4967" t="s">
        <v>765</v>
      </c>
      <c r="I4967" t="s">
        <v>63</v>
      </c>
    </row>
    <row r="4968" spans="1:9" x14ac:dyDescent="0.25">
      <c r="A4968">
        <v>20131219</v>
      </c>
      <c r="B4968" t="str">
        <f t="shared" ref="B4968:B4977" si="325">"113378"</f>
        <v>113378</v>
      </c>
      <c r="C4968" t="str">
        <f t="shared" ref="C4968:C4977" si="326">"82502"</f>
        <v>82502</v>
      </c>
      <c r="D4968" t="s">
        <v>706</v>
      </c>
      <c r="E4968">
        <v>20</v>
      </c>
      <c r="F4968">
        <v>20131218</v>
      </c>
      <c r="G4968" t="s">
        <v>340</v>
      </c>
      <c r="H4968" t="s">
        <v>1537</v>
      </c>
      <c r="I4968" t="s">
        <v>21</v>
      </c>
    </row>
    <row r="4969" spans="1:9" x14ac:dyDescent="0.25">
      <c r="A4969">
        <v>20131219</v>
      </c>
      <c r="B4969" t="str">
        <f t="shared" si="325"/>
        <v>113378</v>
      </c>
      <c r="C4969" t="str">
        <f t="shared" si="326"/>
        <v>82502</v>
      </c>
      <c r="D4969" t="s">
        <v>706</v>
      </c>
      <c r="E4969">
        <v>148</v>
      </c>
      <c r="F4969">
        <v>20131218</v>
      </c>
      <c r="G4969" t="s">
        <v>340</v>
      </c>
      <c r="H4969" t="s">
        <v>1537</v>
      </c>
      <c r="I4969" t="s">
        <v>21</v>
      </c>
    </row>
    <row r="4970" spans="1:9" x14ac:dyDescent="0.25">
      <c r="A4970">
        <v>20131219</v>
      </c>
      <c r="B4970" t="str">
        <f t="shared" si="325"/>
        <v>113378</v>
      </c>
      <c r="C4970" t="str">
        <f t="shared" si="326"/>
        <v>82502</v>
      </c>
      <c r="D4970" t="s">
        <v>706</v>
      </c>
      <c r="E4970">
        <v>40</v>
      </c>
      <c r="F4970">
        <v>20131218</v>
      </c>
      <c r="G4970" t="s">
        <v>340</v>
      </c>
      <c r="H4970" t="s">
        <v>1537</v>
      </c>
      <c r="I4970" t="s">
        <v>21</v>
      </c>
    </row>
    <row r="4971" spans="1:9" x14ac:dyDescent="0.25">
      <c r="A4971">
        <v>20131219</v>
      </c>
      <c r="B4971" t="str">
        <f t="shared" si="325"/>
        <v>113378</v>
      </c>
      <c r="C4971" t="str">
        <f t="shared" si="326"/>
        <v>82502</v>
      </c>
      <c r="D4971" t="s">
        <v>706</v>
      </c>
      <c r="E4971">
        <v>37</v>
      </c>
      <c r="F4971">
        <v>20131218</v>
      </c>
      <c r="G4971" t="s">
        <v>340</v>
      </c>
      <c r="H4971" t="s">
        <v>707</v>
      </c>
      <c r="I4971" t="s">
        <v>21</v>
      </c>
    </row>
    <row r="4972" spans="1:9" x14ac:dyDescent="0.25">
      <c r="A4972">
        <v>20131219</v>
      </c>
      <c r="B4972" t="str">
        <f t="shared" si="325"/>
        <v>113378</v>
      </c>
      <c r="C4972" t="str">
        <f t="shared" si="326"/>
        <v>82502</v>
      </c>
      <c r="D4972" t="s">
        <v>706</v>
      </c>
      <c r="E4972">
        <v>62</v>
      </c>
      <c r="F4972">
        <v>20131218</v>
      </c>
      <c r="G4972" t="s">
        <v>340</v>
      </c>
      <c r="H4972" t="s">
        <v>2296</v>
      </c>
      <c r="I4972" t="s">
        <v>21</v>
      </c>
    </row>
    <row r="4973" spans="1:9" x14ac:dyDescent="0.25">
      <c r="A4973">
        <v>20131219</v>
      </c>
      <c r="B4973" t="str">
        <f t="shared" si="325"/>
        <v>113378</v>
      </c>
      <c r="C4973" t="str">
        <f t="shared" si="326"/>
        <v>82502</v>
      </c>
      <c r="D4973" t="s">
        <v>706</v>
      </c>
      <c r="E4973">
        <v>26</v>
      </c>
      <c r="F4973">
        <v>20131218</v>
      </c>
      <c r="G4973" t="s">
        <v>340</v>
      </c>
      <c r="H4973" t="s">
        <v>1537</v>
      </c>
      <c r="I4973" t="s">
        <v>21</v>
      </c>
    </row>
    <row r="4974" spans="1:9" x14ac:dyDescent="0.25">
      <c r="A4974">
        <v>20131219</v>
      </c>
      <c r="B4974" t="str">
        <f t="shared" si="325"/>
        <v>113378</v>
      </c>
      <c r="C4974" t="str">
        <f t="shared" si="326"/>
        <v>82502</v>
      </c>
      <c r="D4974" t="s">
        <v>706</v>
      </c>
      <c r="E4974">
        <v>40</v>
      </c>
      <c r="F4974">
        <v>20131218</v>
      </c>
      <c r="G4974" t="s">
        <v>340</v>
      </c>
      <c r="H4974" t="s">
        <v>1537</v>
      </c>
      <c r="I4974" t="s">
        <v>21</v>
      </c>
    </row>
    <row r="4975" spans="1:9" x14ac:dyDescent="0.25">
      <c r="A4975">
        <v>20131219</v>
      </c>
      <c r="B4975" t="str">
        <f t="shared" si="325"/>
        <v>113378</v>
      </c>
      <c r="C4975" t="str">
        <f t="shared" si="326"/>
        <v>82502</v>
      </c>
      <c r="D4975" t="s">
        <v>706</v>
      </c>
      <c r="E4975">
        <v>15</v>
      </c>
      <c r="F4975">
        <v>20131218</v>
      </c>
      <c r="G4975" t="s">
        <v>413</v>
      </c>
      <c r="H4975" t="s">
        <v>1537</v>
      </c>
      <c r="I4975" t="s">
        <v>21</v>
      </c>
    </row>
    <row r="4976" spans="1:9" x14ac:dyDescent="0.25">
      <c r="A4976">
        <v>20131219</v>
      </c>
      <c r="B4976" t="str">
        <f t="shared" si="325"/>
        <v>113378</v>
      </c>
      <c r="C4976" t="str">
        <f t="shared" si="326"/>
        <v>82502</v>
      </c>
      <c r="D4976" t="s">
        <v>706</v>
      </c>
      <c r="E4976">
        <v>113</v>
      </c>
      <c r="F4976">
        <v>20131218</v>
      </c>
      <c r="G4976" t="s">
        <v>413</v>
      </c>
      <c r="H4976" t="s">
        <v>2772</v>
      </c>
      <c r="I4976" t="s">
        <v>21</v>
      </c>
    </row>
    <row r="4977" spans="1:9" x14ac:dyDescent="0.25">
      <c r="A4977">
        <v>20131219</v>
      </c>
      <c r="B4977" t="str">
        <f t="shared" si="325"/>
        <v>113378</v>
      </c>
      <c r="C4977" t="str">
        <f t="shared" si="326"/>
        <v>82502</v>
      </c>
      <c r="D4977" t="s">
        <v>706</v>
      </c>
      <c r="E4977">
        <v>95</v>
      </c>
      <c r="F4977">
        <v>20131218</v>
      </c>
      <c r="G4977" t="s">
        <v>413</v>
      </c>
      <c r="H4977" t="s">
        <v>2772</v>
      </c>
      <c r="I4977" t="s">
        <v>21</v>
      </c>
    </row>
    <row r="4978" spans="1:9" x14ac:dyDescent="0.25">
      <c r="A4978">
        <v>20131219</v>
      </c>
      <c r="B4978" t="str">
        <f>"113379"</f>
        <v>113379</v>
      </c>
      <c r="C4978" t="str">
        <f>"00378"</f>
        <v>00378</v>
      </c>
      <c r="D4978" t="s">
        <v>970</v>
      </c>
      <c r="E4978">
        <v>120</v>
      </c>
      <c r="F4978">
        <v>20131218</v>
      </c>
      <c r="G4978" t="s">
        <v>1910</v>
      </c>
      <c r="H4978" t="s">
        <v>1944</v>
      </c>
      <c r="I4978" t="s">
        <v>21</v>
      </c>
    </row>
    <row r="4979" spans="1:9" x14ac:dyDescent="0.25">
      <c r="A4979">
        <v>20131219</v>
      </c>
      <c r="B4979" t="str">
        <f t="shared" ref="B4979:B4984" si="327">"113380"</f>
        <v>113380</v>
      </c>
      <c r="C4979" t="str">
        <f t="shared" ref="C4979:C4984" si="328">"74338"</f>
        <v>74338</v>
      </c>
      <c r="D4979" t="s">
        <v>2773</v>
      </c>
      <c r="E4979">
        <v>15.41</v>
      </c>
      <c r="F4979">
        <v>20131218</v>
      </c>
      <c r="G4979" t="s">
        <v>39</v>
      </c>
      <c r="H4979" t="s">
        <v>354</v>
      </c>
      <c r="I4979" t="s">
        <v>38</v>
      </c>
    </row>
    <row r="4980" spans="1:9" x14ac:dyDescent="0.25">
      <c r="A4980">
        <v>20131219</v>
      </c>
      <c r="B4980" t="str">
        <f t="shared" si="327"/>
        <v>113380</v>
      </c>
      <c r="C4980" t="str">
        <f t="shared" si="328"/>
        <v>74338</v>
      </c>
      <c r="D4980" t="s">
        <v>2773</v>
      </c>
      <c r="E4980">
        <v>21.44</v>
      </c>
      <c r="F4980">
        <v>20131218</v>
      </c>
      <c r="G4980" t="s">
        <v>39</v>
      </c>
      <c r="H4980" t="s">
        <v>354</v>
      </c>
      <c r="I4980" t="s">
        <v>38</v>
      </c>
    </row>
    <row r="4981" spans="1:9" x14ac:dyDescent="0.25">
      <c r="A4981">
        <v>20131219</v>
      </c>
      <c r="B4981" t="str">
        <f t="shared" si="327"/>
        <v>113380</v>
      </c>
      <c r="C4981" t="str">
        <f t="shared" si="328"/>
        <v>74338</v>
      </c>
      <c r="D4981" t="s">
        <v>2773</v>
      </c>
      <c r="E4981">
        <v>17.940000000000001</v>
      </c>
      <c r="F4981">
        <v>20131218</v>
      </c>
      <c r="G4981" t="s">
        <v>39</v>
      </c>
      <c r="H4981" t="s">
        <v>354</v>
      </c>
      <c r="I4981" t="s">
        <v>38</v>
      </c>
    </row>
    <row r="4982" spans="1:9" x14ac:dyDescent="0.25">
      <c r="A4982">
        <v>20131219</v>
      </c>
      <c r="B4982" t="str">
        <f t="shared" si="327"/>
        <v>113380</v>
      </c>
      <c r="C4982" t="str">
        <f t="shared" si="328"/>
        <v>74338</v>
      </c>
      <c r="D4982" t="s">
        <v>2773</v>
      </c>
      <c r="E4982">
        <v>-15.41</v>
      </c>
      <c r="F4982">
        <v>20140403</v>
      </c>
      <c r="G4982" t="s">
        <v>39</v>
      </c>
      <c r="H4982" t="s">
        <v>2774</v>
      </c>
      <c r="I4982" t="s">
        <v>38</v>
      </c>
    </row>
    <row r="4983" spans="1:9" x14ac:dyDescent="0.25">
      <c r="A4983">
        <v>20131219</v>
      </c>
      <c r="B4983" t="str">
        <f t="shared" si="327"/>
        <v>113380</v>
      </c>
      <c r="C4983" t="str">
        <f t="shared" si="328"/>
        <v>74338</v>
      </c>
      <c r="D4983" t="s">
        <v>2773</v>
      </c>
      <c r="E4983">
        <v>-21.44</v>
      </c>
      <c r="F4983">
        <v>20140403</v>
      </c>
      <c r="G4983" t="s">
        <v>39</v>
      </c>
      <c r="H4983" t="s">
        <v>2774</v>
      </c>
      <c r="I4983" t="s">
        <v>38</v>
      </c>
    </row>
    <row r="4984" spans="1:9" x14ac:dyDescent="0.25">
      <c r="A4984">
        <v>20131219</v>
      </c>
      <c r="B4984" t="str">
        <f t="shared" si="327"/>
        <v>113380</v>
      </c>
      <c r="C4984" t="str">
        <f t="shared" si="328"/>
        <v>74338</v>
      </c>
      <c r="D4984" t="s">
        <v>2773</v>
      </c>
      <c r="E4984">
        <v>-17.940000000000001</v>
      </c>
      <c r="F4984">
        <v>20140403</v>
      </c>
      <c r="G4984" t="s">
        <v>39</v>
      </c>
      <c r="H4984" t="s">
        <v>2774</v>
      </c>
      <c r="I4984" t="s">
        <v>38</v>
      </c>
    </row>
    <row r="4985" spans="1:9" x14ac:dyDescent="0.25">
      <c r="A4985">
        <v>20131219</v>
      </c>
      <c r="B4985" t="str">
        <f>"113381"</f>
        <v>113381</v>
      </c>
      <c r="C4985" t="str">
        <f>"86697"</f>
        <v>86697</v>
      </c>
      <c r="D4985" t="s">
        <v>2775</v>
      </c>
      <c r="E4985" s="1">
        <v>3335</v>
      </c>
      <c r="F4985">
        <v>20131217</v>
      </c>
      <c r="G4985" t="s">
        <v>413</v>
      </c>
      <c r="H4985" t="s">
        <v>2776</v>
      </c>
      <c r="I4985" t="s">
        <v>21</v>
      </c>
    </row>
    <row r="4986" spans="1:9" x14ac:dyDescent="0.25">
      <c r="A4986">
        <v>20131219</v>
      </c>
      <c r="B4986" t="str">
        <f>"113382"</f>
        <v>113382</v>
      </c>
      <c r="C4986" t="str">
        <f>"85763"</f>
        <v>85763</v>
      </c>
      <c r="D4986" t="s">
        <v>710</v>
      </c>
      <c r="E4986">
        <v>400</v>
      </c>
      <c r="F4986">
        <v>20131218</v>
      </c>
      <c r="G4986" t="s">
        <v>746</v>
      </c>
      <c r="H4986" t="s">
        <v>555</v>
      </c>
      <c r="I4986" t="s">
        <v>21</v>
      </c>
    </row>
    <row r="4987" spans="1:9" x14ac:dyDescent="0.25">
      <c r="A4987">
        <v>20131219</v>
      </c>
      <c r="B4987" t="str">
        <f>"113382"</f>
        <v>113382</v>
      </c>
      <c r="C4987" t="str">
        <f>"85763"</f>
        <v>85763</v>
      </c>
      <c r="D4987" t="s">
        <v>710</v>
      </c>
      <c r="E4987">
        <v>840</v>
      </c>
      <c r="F4987">
        <v>20131218</v>
      </c>
      <c r="G4987" t="s">
        <v>746</v>
      </c>
      <c r="H4987" t="s">
        <v>555</v>
      </c>
      <c r="I4987" t="s">
        <v>21</v>
      </c>
    </row>
    <row r="4988" spans="1:9" x14ac:dyDescent="0.25">
      <c r="A4988">
        <v>20131219</v>
      </c>
      <c r="B4988" t="str">
        <f>"113382"</f>
        <v>113382</v>
      </c>
      <c r="C4988" t="str">
        <f>"85763"</f>
        <v>85763</v>
      </c>
      <c r="D4988" t="s">
        <v>710</v>
      </c>
      <c r="E4988">
        <v>880</v>
      </c>
      <c r="F4988">
        <v>20131218</v>
      </c>
      <c r="G4988" t="s">
        <v>746</v>
      </c>
      <c r="H4988" t="s">
        <v>555</v>
      </c>
      <c r="I4988" t="s">
        <v>21</v>
      </c>
    </row>
    <row r="4989" spans="1:9" x14ac:dyDescent="0.25">
      <c r="A4989">
        <v>20131219</v>
      </c>
      <c r="B4989" t="str">
        <f>"113382"</f>
        <v>113382</v>
      </c>
      <c r="C4989" t="str">
        <f>"85763"</f>
        <v>85763</v>
      </c>
      <c r="D4989" t="s">
        <v>710</v>
      </c>
      <c r="E4989">
        <v>730</v>
      </c>
      <c r="F4989">
        <v>20131218</v>
      </c>
      <c r="G4989" t="s">
        <v>746</v>
      </c>
      <c r="H4989" t="s">
        <v>555</v>
      </c>
      <c r="I4989" t="s">
        <v>21</v>
      </c>
    </row>
    <row r="4990" spans="1:9" x14ac:dyDescent="0.25">
      <c r="A4990">
        <v>20131219</v>
      </c>
      <c r="B4990" t="str">
        <f>"113383"</f>
        <v>113383</v>
      </c>
      <c r="C4990" t="str">
        <f>"87616"</f>
        <v>87616</v>
      </c>
      <c r="D4990" t="s">
        <v>711</v>
      </c>
      <c r="E4990">
        <v>85</v>
      </c>
      <c r="F4990">
        <v>20131218</v>
      </c>
      <c r="G4990" t="s">
        <v>1030</v>
      </c>
      <c r="H4990" t="s">
        <v>713</v>
      </c>
      <c r="I4990" t="s">
        <v>63</v>
      </c>
    </row>
    <row r="4991" spans="1:9" x14ac:dyDescent="0.25">
      <c r="A4991">
        <v>20131219</v>
      </c>
      <c r="B4991" t="str">
        <f>"113383"</f>
        <v>113383</v>
      </c>
      <c r="C4991" t="str">
        <f>"87616"</f>
        <v>87616</v>
      </c>
      <c r="D4991" t="s">
        <v>711</v>
      </c>
      <c r="E4991">
        <v>7</v>
      </c>
      <c r="F4991">
        <v>20131218</v>
      </c>
      <c r="G4991" t="s">
        <v>1071</v>
      </c>
      <c r="H4991" t="s">
        <v>2777</v>
      </c>
      <c r="I4991" t="s">
        <v>21</v>
      </c>
    </row>
    <row r="4992" spans="1:9" x14ac:dyDescent="0.25">
      <c r="A4992">
        <v>20131219</v>
      </c>
      <c r="B4992" t="str">
        <f>"113383"</f>
        <v>113383</v>
      </c>
      <c r="C4992" t="str">
        <f>"87616"</f>
        <v>87616</v>
      </c>
      <c r="D4992" t="s">
        <v>711</v>
      </c>
      <c r="E4992">
        <v>738.75</v>
      </c>
      <c r="F4992">
        <v>20131212</v>
      </c>
      <c r="G4992" t="s">
        <v>965</v>
      </c>
      <c r="H4992" t="s">
        <v>2778</v>
      </c>
      <c r="I4992" t="s">
        <v>21</v>
      </c>
    </row>
    <row r="4993" spans="1:9" x14ac:dyDescent="0.25">
      <c r="A4993">
        <v>20131219</v>
      </c>
      <c r="B4993" t="str">
        <f>"113384"</f>
        <v>113384</v>
      </c>
      <c r="C4993" t="str">
        <f>"00389"</f>
        <v>00389</v>
      </c>
      <c r="D4993" t="s">
        <v>972</v>
      </c>
      <c r="E4993">
        <v>135</v>
      </c>
      <c r="F4993">
        <v>20131217</v>
      </c>
      <c r="G4993" t="s">
        <v>1219</v>
      </c>
      <c r="H4993" t="s">
        <v>2779</v>
      </c>
      <c r="I4993" t="s">
        <v>21</v>
      </c>
    </row>
    <row r="4994" spans="1:9" x14ac:dyDescent="0.25">
      <c r="A4994">
        <v>20131219</v>
      </c>
      <c r="B4994" t="str">
        <f>"113384"</f>
        <v>113384</v>
      </c>
      <c r="C4994" t="str">
        <f>"00389"</f>
        <v>00389</v>
      </c>
      <c r="D4994" t="s">
        <v>972</v>
      </c>
      <c r="E4994">
        <v>345</v>
      </c>
      <c r="F4994">
        <v>20131217</v>
      </c>
      <c r="G4994" t="s">
        <v>1219</v>
      </c>
      <c r="H4994" t="s">
        <v>2780</v>
      </c>
      <c r="I4994" t="s">
        <v>21</v>
      </c>
    </row>
    <row r="4995" spans="1:9" x14ac:dyDescent="0.25">
      <c r="A4995">
        <v>20131219</v>
      </c>
      <c r="B4995" t="str">
        <f>"113385"</f>
        <v>113385</v>
      </c>
      <c r="C4995" t="str">
        <f>"69310"</f>
        <v>69310</v>
      </c>
      <c r="D4995" t="s">
        <v>716</v>
      </c>
      <c r="E4995" s="1">
        <v>1666.12</v>
      </c>
      <c r="F4995">
        <v>20131218</v>
      </c>
      <c r="G4995" t="s">
        <v>718</v>
      </c>
      <c r="H4995" t="s">
        <v>488</v>
      </c>
      <c r="I4995" t="s">
        <v>21</v>
      </c>
    </row>
    <row r="4996" spans="1:9" x14ac:dyDescent="0.25">
      <c r="A4996">
        <v>20131219</v>
      </c>
      <c r="B4996" t="str">
        <f>"113385"</f>
        <v>113385</v>
      </c>
      <c r="C4996" t="str">
        <f>"69310"</f>
        <v>69310</v>
      </c>
      <c r="D4996" t="s">
        <v>716</v>
      </c>
      <c r="E4996">
        <v>83.4</v>
      </c>
      <c r="F4996">
        <v>20131218</v>
      </c>
      <c r="G4996" t="s">
        <v>720</v>
      </c>
      <c r="H4996" t="s">
        <v>488</v>
      </c>
      <c r="I4996" t="s">
        <v>21</v>
      </c>
    </row>
    <row r="4997" spans="1:9" x14ac:dyDescent="0.25">
      <c r="A4997">
        <v>20131219</v>
      </c>
      <c r="B4997" t="str">
        <f>"113386"</f>
        <v>113386</v>
      </c>
      <c r="C4997" t="str">
        <f>"86951"</f>
        <v>86951</v>
      </c>
      <c r="D4997" t="s">
        <v>394</v>
      </c>
      <c r="E4997">
        <v>244.02</v>
      </c>
      <c r="F4997">
        <v>20131218</v>
      </c>
      <c r="G4997" t="s">
        <v>337</v>
      </c>
      <c r="H4997" t="s">
        <v>1407</v>
      </c>
      <c r="I4997" t="s">
        <v>21</v>
      </c>
    </row>
    <row r="4998" spans="1:9" x14ac:dyDescent="0.25">
      <c r="A4998">
        <v>20131219</v>
      </c>
      <c r="B4998" t="str">
        <f>"113387"</f>
        <v>113387</v>
      </c>
      <c r="C4998" t="str">
        <f>"87663"</f>
        <v>87663</v>
      </c>
      <c r="D4998" t="s">
        <v>2781</v>
      </c>
      <c r="E4998">
        <v>320</v>
      </c>
      <c r="F4998">
        <v>20131218</v>
      </c>
      <c r="G4998" t="s">
        <v>1486</v>
      </c>
      <c r="H4998" t="s">
        <v>414</v>
      </c>
      <c r="I4998" t="s">
        <v>38</v>
      </c>
    </row>
    <row r="4999" spans="1:9" x14ac:dyDescent="0.25">
      <c r="A4999">
        <v>20131219</v>
      </c>
      <c r="B4999" t="str">
        <f>"113388"</f>
        <v>113388</v>
      </c>
      <c r="C4999" t="str">
        <f>"87189"</f>
        <v>87189</v>
      </c>
      <c r="D4999" t="s">
        <v>730</v>
      </c>
      <c r="E4999">
        <v>341.81</v>
      </c>
      <c r="F4999">
        <v>20131218</v>
      </c>
      <c r="G4999" t="s">
        <v>482</v>
      </c>
      <c r="H4999" t="s">
        <v>414</v>
      </c>
      <c r="I4999" t="s">
        <v>21</v>
      </c>
    </row>
    <row r="5000" spans="1:9" x14ac:dyDescent="0.25">
      <c r="A5000">
        <v>20131219</v>
      </c>
      <c r="B5000" t="str">
        <f>"113388"</f>
        <v>113388</v>
      </c>
      <c r="C5000" t="str">
        <f>"87189"</f>
        <v>87189</v>
      </c>
      <c r="D5000" t="s">
        <v>730</v>
      </c>
      <c r="E5000">
        <v>383.81</v>
      </c>
      <c r="F5000">
        <v>20131218</v>
      </c>
      <c r="G5000" t="s">
        <v>482</v>
      </c>
      <c r="H5000" t="s">
        <v>414</v>
      </c>
      <c r="I5000" t="s">
        <v>21</v>
      </c>
    </row>
    <row r="5001" spans="1:9" x14ac:dyDescent="0.25">
      <c r="A5001">
        <v>20131219</v>
      </c>
      <c r="B5001" t="str">
        <f>"113388"</f>
        <v>113388</v>
      </c>
      <c r="C5001" t="str">
        <f>"87189"</f>
        <v>87189</v>
      </c>
      <c r="D5001" t="s">
        <v>730</v>
      </c>
      <c r="E5001">
        <v>341.81</v>
      </c>
      <c r="F5001">
        <v>20131218</v>
      </c>
      <c r="G5001" t="s">
        <v>482</v>
      </c>
      <c r="H5001" t="s">
        <v>414</v>
      </c>
      <c r="I5001" t="s">
        <v>21</v>
      </c>
    </row>
    <row r="5002" spans="1:9" x14ac:dyDescent="0.25">
      <c r="A5002">
        <v>20131219</v>
      </c>
      <c r="B5002" t="str">
        <f>"113388"</f>
        <v>113388</v>
      </c>
      <c r="C5002" t="str">
        <f>"87189"</f>
        <v>87189</v>
      </c>
      <c r="D5002" t="s">
        <v>730</v>
      </c>
      <c r="E5002">
        <v>204.89</v>
      </c>
      <c r="F5002">
        <v>20131218</v>
      </c>
      <c r="G5002" t="s">
        <v>483</v>
      </c>
      <c r="H5002" t="s">
        <v>414</v>
      </c>
      <c r="I5002" t="s">
        <v>21</v>
      </c>
    </row>
    <row r="5003" spans="1:9" x14ac:dyDescent="0.25">
      <c r="A5003">
        <v>20131219</v>
      </c>
      <c r="B5003" t="str">
        <f>"113389"</f>
        <v>113389</v>
      </c>
      <c r="C5003" t="str">
        <f>"87602"</f>
        <v>87602</v>
      </c>
      <c r="D5003" t="s">
        <v>1691</v>
      </c>
      <c r="E5003" s="1">
        <v>1500</v>
      </c>
      <c r="F5003">
        <v>20131212</v>
      </c>
      <c r="G5003" t="s">
        <v>840</v>
      </c>
      <c r="H5003" t="s">
        <v>2782</v>
      </c>
      <c r="I5003" t="s">
        <v>21</v>
      </c>
    </row>
    <row r="5004" spans="1:9" x14ac:dyDescent="0.25">
      <c r="A5004">
        <v>20131219</v>
      </c>
      <c r="B5004" t="str">
        <f>"113390"</f>
        <v>113390</v>
      </c>
      <c r="C5004" t="str">
        <f>"87560"</f>
        <v>87560</v>
      </c>
      <c r="D5004" t="s">
        <v>2304</v>
      </c>
      <c r="E5004" s="1">
        <v>3000</v>
      </c>
      <c r="F5004">
        <v>20131218</v>
      </c>
      <c r="G5004" t="s">
        <v>1504</v>
      </c>
      <c r="H5004" t="s">
        <v>1692</v>
      </c>
      <c r="I5004" t="s">
        <v>21</v>
      </c>
    </row>
    <row r="5005" spans="1:9" x14ac:dyDescent="0.25">
      <c r="A5005">
        <v>20131219</v>
      </c>
      <c r="B5005" t="str">
        <f>"113391"</f>
        <v>113391</v>
      </c>
      <c r="C5005" t="str">
        <f>"81358"</f>
        <v>81358</v>
      </c>
      <c r="D5005" t="s">
        <v>736</v>
      </c>
      <c r="E5005" s="1">
        <v>2402.9499999999998</v>
      </c>
      <c r="F5005">
        <v>20131218</v>
      </c>
      <c r="G5005" t="s">
        <v>1543</v>
      </c>
      <c r="H5005" t="s">
        <v>738</v>
      </c>
      <c r="I5005" t="s">
        <v>21</v>
      </c>
    </row>
    <row r="5006" spans="1:9" x14ac:dyDescent="0.25">
      <c r="A5006">
        <v>20131219</v>
      </c>
      <c r="B5006" t="str">
        <f>"113391"</f>
        <v>113391</v>
      </c>
      <c r="C5006" t="str">
        <f>"81358"</f>
        <v>81358</v>
      </c>
      <c r="D5006" t="s">
        <v>736</v>
      </c>
      <c r="E5006" s="1">
        <v>5256.5</v>
      </c>
      <c r="F5006">
        <v>20131218</v>
      </c>
      <c r="G5006" t="s">
        <v>737</v>
      </c>
      <c r="H5006" t="s">
        <v>738</v>
      </c>
      <c r="I5006" t="s">
        <v>21</v>
      </c>
    </row>
    <row r="5007" spans="1:9" x14ac:dyDescent="0.25">
      <c r="A5007">
        <v>20131219</v>
      </c>
      <c r="B5007" t="str">
        <f>"113392"</f>
        <v>113392</v>
      </c>
      <c r="C5007" t="str">
        <f>"81358"</f>
        <v>81358</v>
      </c>
      <c r="D5007" t="s">
        <v>736</v>
      </c>
      <c r="E5007">
        <v>396.97</v>
      </c>
      <c r="F5007">
        <v>20131218</v>
      </c>
      <c r="G5007" t="s">
        <v>737</v>
      </c>
      <c r="H5007" t="s">
        <v>738</v>
      </c>
      <c r="I5007" t="s">
        <v>21</v>
      </c>
    </row>
    <row r="5008" spans="1:9" x14ac:dyDescent="0.25">
      <c r="A5008">
        <v>20131219</v>
      </c>
      <c r="B5008" t="str">
        <f>"113393"</f>
        <v>113393</v>
      </c>
      <c r="C5008" t="str">
        <f>"81358"</f>
        <v>81358</v>
      </c>
      <c r="D5008" t="s">
        <v>736</v>
      </c>
      <c r="E5008">
        <v>103.85</v>
      </c>
      <c r="F5008">
        <v>20131218</v>
      </c>
      <c r="G5008" t="s">
        <v>737</v>
      </c>
      <c r="H5008" t="s">
        <v>738</v>
      </c>
      <c r="I5008" t="s">
        <v>21</v>
      </c>
    </row>
    <row r="5009" spans="1:9" x14ac:dyDescent="0.25">
      <c r="A5009">
        <v>20131219</v>
      </c>
      <c r="B5009" t="str">
        <f>"113394"</f>
        <v>113394</v>
      </c>
      <c r="C5009" t="str">
        <f>"76825"</f>
        <v>76825</v>
      </c>
      <c r="D5009" t="s">
        <v>2420</v>
      </c>
      <c r="E5009">
        <v>65.75</v>
      </c>
      <c r="F5009">
        <v>20131217</v>
      </c>
      <c r="G5009" t="s">
        <v>580</v>
      </c>
      <c r="H5009" t="s">
        <v>2783</v>
      </c>
      <c r="I5009" t="s">
        <v>21</v>
      </c>
    </row>
    <row r="5010" spans="1:9" x14ac:dyDescent="0.25">
      <c r="A5010">
        <v>20131219</v>
      </c>
      <c r="B5010" t="str">
        <f>"113395"</f>
        <v>113395</v>
      </c>
      <c r="C5010" t="str">
        <f>"76775"</f>
        <v>76775</v>
      </c>
      <c r="D5010" t="s">
        <v>2308</v>
      </c>
      <c r="E5010">
        <v>659.53</v>
      </c>
      <c r="F5010">
        <v>20131218</v>
      </c>
      <c r="G5010" t="s">
        <v>450</v>
      </c>
      <c r="H5010" t="s">
        <v>525</v>
      </c>
      <c r="I5010" t="s">
        <v>21</v>
      </c>
    </row>
    <row r="5011" spans="1:9" x14ac:dyDescent="0.25">
      <c r="A5011">
        <v>20131219</v>
      </c>
      <c r="B5011" t="str">
        <f>"113395"</f>
        <v>113395</v>
      </c>
      <c r="C5011" t="str">
        <f>"76775"</f>
        <v>76775</v>
      </c>
      <c r="D5011" t="s">
        <v>2308</v>
      </c>
      <c r="E5011">
        <v>580</v>
      </c>
      <c r="F5011">
        <v>20131218</v>
      </c>
      <c r="G5011" t="s">
        <v>1271</v>
      </c>
      <c r="H5011" t="s">
        <v>525</v>
      </c>
      <c r="I5011" t="s">
        <v>21</v>
      </c>
    </row>
    <row r="5012" spans="1:9" x14ac:dyDescent="0.25">
      <c r="A5012">
        <v>20131219</v>
      </c>
      <c r="B5012" t="str">
        <f>"113396"</f>
        <v>113396</v>
      </c>
      <c r="C5012" t="str">
        <f>"87536"</f>
        <v>87536</v>
      </c>
      <c r="D5012" t="s">
        <v>1321</v>
      </c>
      <c r="E5012">
        <v>362.12</v>
      </c>
      <c r="F5012">
        <v>20131217</v>
      </c>
      <c r="G5012" t="s">
        <v>1064</v>
      </c>
      <c r="H5012" t="s">
        <v>2784</v>
      </c>
      <c r="I5012" t="s">
        <v>21</v>
      </c>
    </row>
    <row r="5013" spans="1:9" x14ac:dyDescent="0.25">
      <c r="A5013">
        <v>20131219</v>
      </c>
      <c r="B5013" t="str">
        <f>"113397"</f>
        <v>113397</v>
      </c>
      <c r="C5013" t="str">
        <f>"76914"</f>
        <v>76914</v>
      </c>
      <c r="D5013" t="s">
        <v>2580</v>
      </c>
      <c r="E5013">
        <v>49.93</v>
      </c>
      <c r="F5013">
        <v>20131218</v>
      </c>
      <c r="G5013" t="s">
        <v>2495</v>
      </c>
      <c r="H5013" t="s">
        <v>365</v>
      </c>
      <c r="I5013" t="s">
        <v>21</v>
      </c>
    </row>
    <row r="5014" spans="1:9" x14ac:dyDescent="0.25">
      <c r="A5014">
        <v>20131219</v>
      </c>
      <c r="B5014" t="str">
        <f>"113398"</f>
        <v>113398</v>
      </c>
      <c r="C5014" t="str">
        <f>"85605"</f>
        <v>85605</v>
      </c>
      <c r="D5014" t="s">
        <v>1949</v>
      </c>
      <c r="E5014">
        <v>89.23</v>
      </c>
      <c r="F5014">
        <v>20131218</v>
      </c>
      <c r="G5014" t="s">
        <v>585</v>
      </c>
      <c r="H5014" t="s">
        <v>414</v>
      </c>
      <c r="I5014" t="s">
        <v>21</v>
      </c>
    </row>
    <row r="5015" spans="1:9" x14ac:dyDescent="0.25">
      <c r="A5015">
        <v>20131219</v>
      </c>
      <c r="B5015" t="str">
        <f>"113399"</f>
        <v>113399</v>
      </c>
      <c r="C5015" t="str">
        <f>"77173"</f>
        <v>77173</v>
      </c>
      <c r="D5015" t="s">
        <v>741</v>
      </c>
      <c r="E5015">
        <v>175</v>
      </c>
      <c r="F5015">
        <v>20131217</v>
      </c>
      <c r="G5015" t="s">
        <v>584</v>
      </c>
      <c r="H5015" t="s">
        <v>2785</v>
      </c>
      <c r="I5015" t="s">
        <v>21</v>
      </c>
    </row>
    <row r="5016" spans="1:9" x14ac:dyDescent="0.25">
      <c r="A5016">
        <v>20131219</v>
      </c>
      <c r="B5016" t="str">
        <f>"113400"</f>
        <v>113400</v>
      </c>
      <c r="C5016" t="str">
        <f>"83946"</f>
        <v>83946</v>
      </c>
      <c r="D5016" t="s">
        <v>2786</v>
      </c>
      <c r="E5016">
        <v>300</v>
      </c>
      <c r="F5016">
        <v>20131218</v>
      </c>
      <c r="G5016" t="s">
        <v>910</v>
      </c>
      <c r="H5016" t="s">
        <v>2787</v>
      </c>
      <c r="I5016" t="s">
        <v>25</v>
      </c>
    </row>
    <row r="5017" spans="1:9" x14ac:dyDescent="0.25">
      <c r="A5017">
        <v>20131219</v>
      </c>
      <c r="B5017" t="str">
        <f>"113401"</f>
        <v>113401</v>
      </c>
      <c r="C5017" t="str">
        <f>"77705"</f>
        <v>77705</v>
      </c>
      <c r="D5017" t="s">
        <v>2312</v>
      </c>
      <c r="E5017">
        <v>721.01</v>
      </c>
      <c r="F5017">
        <v>20131218</v>
      </c>
      <c r="G5017" t="s">
        <v>1464</v>
      </c>
      <c r="H5017" t="s">
        <v>525</v>
      </c>
      <c r="I5017" t="s">
        <v>21</v>
      </c>
    </row>
    <row r="5018" spans="1:9" x14ac:dyDescent="0.25">
      <c r="A5018">
        <v>20131219</v>
      </c>
      <c r="B5018" t="str">
        <f>"113402"</f>
        <v>113402</v>
      </c>
      <c r="C5018" t="str">
        <f>"78400"</f>
        <v>78400</v>
      </c>
      <c r="D5018" t="s">
        <v>2788</v>
      </c>
      <c r="E5018">
        <v>57.75</v>
      </c>
      <c r="F5018">
        <v>20131217</v>
      </c>
      <c r="G5018" t="s">
        <v>2789</v>
      </c>
      <c r="H5018" t="s">
        <v>2790</v>
      </c>
      <c r="I5018" t="s">
        <v>21</v>
      </c>
    </row>
    <row r="5019" spans="1:9" x14ac:dyDescent="0.25">
      <c r="A5019">
        <v>20131219</v>
      </c>
      <c r="B5019" t="str">
        <f>"113403"</f>
        <v>113403</v>
      </c>
      <c r="C5019" t="str">
        <f>"00072"</f>
        <v>00072</v>
      </c>
      <c r="D5019" t="s">
        <v>1327</v>
      </c>
      <c r="E5019">
        <v>40</v>
      </c>
      <c r="F5019">
        <v>20131218</v>
      </c>
      <c r="G5019" t="s">
        <v>356</v>
      </c>
      <c r="H5019" t="s">
        <v>357</v>
      </c>
      <c r="I5019" t="s">
        <v>61</v>
      </c>
    </row>
    <row r="5020" spans="1:9" x14ac:dyDescent="0.25">
      <c r="A5020">
        <v>20131219</v>
      </c>
      <c r="B5020" t="str">
        <f>"113403"</f>
        <v>113403</v>
      </c>
      <c r="C5020" t="str">
        <f>"00072"</f>
        <v>00072</v>
      </c>
      <c r="D5020" t="s">
        <v>1327</v>
      </c>
      <c r="E5020">
        <v>-40</v>
      </c>
      <c r="F5020">
        <v>20140116</v>
      </c>
      <c r="G5020" t="s">
        <v>356</v>
      </c>
      <c r="H5020" t="s">
        <v>2791</v>
      </c>
      <c r="I5020" t="s">
        <v>61</v>
      </c>
    </row>
    <row r="5021" spans="1:9" x14ac:dyDescent="0.25">
      <c r="A5021">
        <v>20131219</v>
      </c>
      <c r="B5021" t="str">
        <f>"113404"</f>
        <v>113404</v>
      </c>
      <c r="C5021" t="str">
        <f>"87661"</f>
        <v>87661</v>
      </c>
      <c r="D5021" t="s">
        <v>2792</v>
      </c>
      <c r="E5021">
        <v>120</v>
      </c>
      <c r="F5021">
        <v>20131218</v>
      </c>
      <c r="G5021" t="s">
        <v>1846</v>
      </c>
      <c r="H5021" t="s">
        <v>765</v>
      </c>
      <c r="I5021" t="s">
        <v>63</v>
      </c>
    </row>
    <row r="5022" spans="1:9" x14ac:dyDescent="0.25">
      <c r="A5022">
        <v>20131219</v>
      </c>
      <c r="B5022" t="str">
        <f>"113405"</f>
        <v>113405</v>
      </c>
      <c r="C5022" t="str">
        <f>"79625"</f>
        <v>79625</v>
      </c>
      <c r="D5022" t="s">
        <v>1331</v>
      </c>
      <c r="E5022">
        <v>87.91</v>
      </c>
      <c r="F5022">
        <v>20131218</v>
      </c>
      <c r="G5022" t="s">
        <v>39</v>
      </c>
      <c r="H5022" t="s">
        <v>354</v>
      </c>
      <c r="I5022" t="s">
        <v>38</v>
      </c>
    </row>
    <row r="5023" spans="1:9" x14ac:dyDescent="0.25">
      <c r="A5023">
        <v>20131219</v>
      </c>
      <c r="B5023" t="str">
        <f>"113406"</f>
        <v>113406</v>
      </c>
      <c r="C5023" t="str">
        <f>"84626"</f>
        <v>84626</v>
      </c>
      <c r="D5023" t="s">
        <v>2793</v>
      </c>
      <c r="E5023">
        <v>75</v>
      </c>
      <c r="F5023">
        <v>20131218</v>
      </c>
      <c r="G5023" t="s">
        <v>122</v>
      </c>
      <c r="H5023" t="s">
        <v>2794</v>
      </c>
      <c r="I5023" t="s">
        <v>25</v>
      </c>
    </row>
    <row r="5024" spans="1:9" x14ac:dyDescent="0.25">
      <c r="A5024">
        <v>20131219</v>
      </c>
      <c r="B5024" t="str">
        <f>"113407"</f>
        <v>113407</v>
      </c>
      <c r="C5024" t="str">
        <f>"80382"</f>
        <v>80382</v>
      </c>
      <c r="D5024" t="s">
        <v>2795</v>
      </c>
      <c r="E5024">
        <v>270</v>
      </c>
      <c r="F5024">
        <v>20131218</v>
      </c>
      <c r="G5024" t="s">
        <v>943</v>
      </c>
      <c r="H5024" t="s">
        <v>361</v>
      </c>
      <c r="I5024" t="s">
        <v>21</v>
      </c>
    </row>
    <row r="5025" spans="1:9" x14ac:dyDescent="0.25">
      <c r="A5025">
        <v>20131219</v>
      </c>
      <c r="B5025" t="str">
        <f>"113408"</f>
        <v>113408</v>
      </c>
      <c r="C5025" t="str">
        <f>"84132"</f>
        <v>84132</v>
      </c>
      <c r="D5025" t="s">
        <v>1695</v>
      </c>
      <c r="E5025">
        <v>85</v>
      </c>
      <c r="F5025">
        <v>20131218</v>
      </c>
      <c r="G5025" t="s">
        <v>986</v>
      </c>
      <c r="H5025" t="s">
        <v>365</v>
      </c>
      <c r="I5025" t="s">
        <v>21</v>
      </c>
    </row>
    <row r="5026" spans="1:9" x14ac:dyDescent="0.25">
      <c r="A5026">
        <v>20131220</v>
      </c>
      <c r="B5026" t="str">
        <f>"113409"</f>
        <v>113409</v>
      </c>
      <c r="C5026" t="str">
        <f>"00155"</f>
        <v>00155</v>
      </c>
      <c r="D5026" t="s">
        <v>443</v>
      </c>
      <c r="E5026">
        <v>475</v>
      </c>
      <c r="F5026">
        <v>20131220</v>
      </c>
      <c r="G5026" t="s">
        <v>511</v>
      </c>
      <c r="H5026" t="s">
        <v>444</v>
      </c>
      <c r="I5026" t="s">
        <v>21</v>
      </c>
    </row>
    <row r="5027" spans="1:9" x14ac:dyDescent="0.25">
      <c r="A5027">
        <v>20131220</v>
      </c>
      <c r="B5027" t="str">
        <f>"113409"</f>
        <v>113409</v>
      </c>
      <c r="C5027" t="str">
        <f>"00155"</f>
        <v>00155</v>
      </c>
      <c r="D5027" t="s">
        <v>443</v>
      </c>
      <c r="E5027" s="1">
        <v>14275</v>
      </c>
      <c r="F5027">
        <v>20131220</v>
      </c>
      <c r="G5027" t="s">
        <v>1272</v>
      </c>
      <c r="H5027" t="s">
        <v>444</v>
      </c>
      <c r="I5027" t="s">
        <v>21</v>
      </c>
    </row>
    <row r="5028" spans="1:9" x14ac:dyDescent="0.25">
      <c r="A5028">
        <v>20131220</v>
      </c>
      <c r="B5028" t="str">
        <f>"113410"</f>
        <v>113410</v>
      </c>
      <c r="C5028" t="str">
        <f>"00500"</f>
        <v>00500</v>
      </c>
      <c r="D5028" t="s">
        <v>486</v>
      </c>
      <c r="E5028" s="1">
        <v>7016.46</v>
      </c>
      <c r="F5028">
        <v>20131219</v>
      </c>
      <c r="G5028" t="s">
        <v>487</v>
      </c>
      <c r="H5028" t="s">
        <v>488</v>
      </c>
      <c r="I5028" t="s">
        <v>21</v>
      </c>
    </row>
    <row r="5029" spans="1:9" x14ac:dyDescent="0.25">
      <c r="A5029">
        <v>20131220</v>
      </c>
      <c r="B5029" t="str">
        <f>"113411"</f>
        <v>113411</v>
      </c>
      <c r="C5029" t="str">
        <f>"00500"</f>
        <v>00500</v>
      </c>
      <c r="D5029" t="s">
        <v>486</v>
      </c>
      <c r="E5029" s="1">
        <v>1270.76</v>
      </c>
      <c r="F5029">
        <v>20131219</v>
      </c>
      <c r="G5029" t="s">
        <v>487</v>
      </c>
      <c r="H5029" t="s">
        <v>488</v>
      </c>
      <c r="I5029" t="s">
        <v>21</v>
      </c>
    </row>
    <row r="5030" spans="1:9" x14ac:dyDescent="0.25">
      <c r="A5030">
        <v>20131220</v>
      </c>
      <c r="B5030" t="str">
        <f>"113412"</f>
        <v>113412</v>
      </c>
      <c r="C5030" t="str">
        <f>"00500"</f>
        <v>00500</v>
      </c>
      <c r="D5030" t="s">
        <v>486</v>
      </c>
      <c r="E5030">
        <v>511.68</v>
      </c>
      <c r="F5030">
        <v>20131219</v>
      </c>
      <c r="G5030" t="s">
        <v>1705</v>
      </c>
      <c r="H5030" t="s">
        <v>488</v>
      </c>
      <c r="I5030" t="s">
        <v>21</v>
      </c>
    </row>
    <row r="5031" spans="1:9" x14ac:dyDescent="0.25">
      <c r="A5031">
        <v>20131220</v>
      </c>
      <c r="B5031" t="str">
        <f>"113413"</f>
        <v>113413</v>
      </c>
      <c r="C5031" t="str">
        <f>"00500"</f>
        <v>00500</v>
      </c>
      <c r="D5031" t="s">
        <v>486</v>
      </c>
      <c r="E5031">
        <v>92.52</v>
      </c>
      <c r="F5031">
        <v>20131219</v>
      </c>
      <c r="G5031" t="s">
        <v>1705</v>
      </c>
      <c r="H5031" t="s">
        <v>488</v>
      </c>
      <c r="I5031" t="s">
        <v>21</v>
      </c>
    </row>
    <row r="5032" spans="1:9" x14ac:dyDescent="0.25">
      <c r="A5032">
        <v>20131220</v>
      </c>
      <c r="B5032" t="str">
        <f>"113414"</f>
        <v>113414</v>
      </c>
      <c r="C5032" t="str">
        <f>"66825"</f>
        <v>66825</v>
      </c>
      <c r="D5032" t="s">
        <v>2325</v>
      </c>
      <c r="E5032" s="1">
        <v>5147.68</v>
      </c>
      <c r="F5032">
        <v>20131219</v>
      </c>
      <c r="G5032" t="s">
        <v>2326</v>
      </c>
      <c r="H5032" t="s">
        <v>488</v>
      </c>
      <c r="I5032" t="s">
        <v>21</v>
      </c>
    </row>
    <row r="5033" spans="1:9" x14ac:dyDescent="0.25">
      <c r="A5033">
        <v>20131220</v>
      </c>
      <c r="B5033" t="str">
        <f>"113414"</f>
        <v>113414</v>
      </c>
      <c r="C5033" t="str">
        <f>"66825"</f>
        <v>66825</v>
      </c>
      <c r="D5033" t="s">
        <v>2325</v>
      </c>
      <c r="E5033">
        <v>865.98</v>
      </c>
      <c r="F5033">
        <v>20131219</v>
      </c>
      <c r="G5033" t="s">
        <v>840</v>
      </c>
      <c r="H5033" t="s">
        <v>2796</v>
      </c>
      <c r="I5033" t="s">
        <v>21</v>
      </c>
    </row>
    <row r="5034" spans="1:9" x14ac:dyDescent="0.25">
      <c r="A5034">
        <v>20131220</v>
      </c>
      <c r="B5034" t="str">
        <f t="shared" ref="B5034:B5075" si="329">"113415"</f>
        <v>113415</v>
      </c>
      <c r="C5034" t="str">
        <f t="shared" ref="C5034:C5075" si="330">"83878"</f>
        <v>83878</v>
      </c>
      <c r="D5034" t="s">
        <v>1016</v>
      </c>
      <c r="E5034">
        <v>46.49</v>
      </c>
      <c r="F5034">
        <v>20131220</v>
      </c>
      <c r="G5034" t="s">
        <v>1067</v>
      </c>
      <c r="H5034" t="s">
        <v>2797</v>
      </c>
      <c r="I5034" t="s">
        <v>21</v>
      </c>
    </row>
    <row r="5035" spans="1:9" x14ac:dyDescent="0.25">
      <c r="A5035">
        <v>20131220</v>
      </c>
      <c r="B5035" t="str">
        <f t="shared" si="329"/>
        <v>113415</v>
      </c>
      <c r="C5035" t="str">
        <f t="shared" si="330"/>
        <v>83878</v>
      </c>
      <c r="D5035" t="s">
        <v>1016</v>
      </c>
      <c r="E5035">
        <v>187.63</v>
      </c>
      <c r="F5035">
        <v>20131220</v>
      </c>
      <c r="G5035" t="s">
        <v>1067</v>
      </c>
      <c r="H5035" t="s">
        <v>2798</v>
      </c>
      <c r="I5035" t="s">
        <v>21</v>
      </c>
    </row>
    <row r="5036" spans="1:9" x14ac:dyDescent="0.25">
      <c r="A5036">
        <v>20131220</v>
      </c>
      <c r="B5036" t="str">
        <f t="shared" si="329"/>
        <v>113415</v>
      </c>
      <c r="C5036" t="str">
        <f t="shared" si="330"/>
        <v>83878</v>
      </c>
      <c r="D5036" t="s">
        <v>1016</v>
      </c>
      <c r="E5036">
        <v>174.4</v>
      </c>
      <c r="F5036">
        <v>20131219</v>
      </c>
      <c r="G5036" t="s">
        <v>579</v>
      </c>
      <c r="H5036" t="s">
        <v>1018</v>
      </c>
      <c r="I5036" t="s">
        <v>21</v>
      </c>
    </row>
    <row r="5037" spans="1:9" x14ac:dyDescent="0.25">
      <c r="A5037">
        <v>20131220</v>
      </c>
      <c r="B5037" t="str">
        <f t="shared" si="329"/>
        <v>113415</v>
      </c>
      <c r="C5037" t="str">
        <f t="shared" si="330"/>
        <v>83878</v>
      </c>
      <c r="D5037" t="s">
        <v>1016</v>
      </c>
      <c r="E5037">
        <v>33.950000000000003</v>
      </c>
      <c r="F5037">
        <v>20131219</v>
      </c>
      <c r="G5037" t="s">
        <v>935</v>
      </c>
      <c r="H5037" t="s">
        <v>1018</v>
      </c>
      <c r="I5037" t="s">
        <v>21</v>
      </c>
    </row>
    <row r="5038" spans="1:9" x14ac:dyDescent="0.25">
      <c r="A5038">
        <v>20131220</v>
      </c>
      <c r="B5038" t="str">
        <f t="shared" si="329"/>
        <v>113415</v>
      </c>
      <c r="C5038" t="str">
        <f t="shared" si="330"/>
        <v>83878</v>
      </c>
      <c r="D5038" t="s">
        <v>1016</v>
      </c>
      <c r="E5038">
        <v>79.88</v>
      </c>
      <c r="F5038">
        <v>20131219</v>
      </c>
      <c r="G5038" t="s">
        <v>1743</v>
      </c>
      <c r="H5038" t="s">
        <v>1018</v>
      </c>
      <c r="I5038" t="s">
        <v>21</v>
      </c>
    </row>
    <row r="5039" spans="1:9" x14ac:dyDescent="0.25">
      <c r="A5039">
        <v>20131220</v>
      </c>
      <c r="B5039" t="str">
        <f t="shared" si="329"/>
        <v>113415</v>
      </c>
      <c r="C5039" t="str">
        <f t="shared" si="330"/>
        <v>83878</v>
      </c>
      <c r="D5039" t="s">
        <v>1016</v>
      </c>
      <c r="E5039">
        <v>201.43</v>
      </c>
      <c r="F5039">
        <v>20131220</v>
      </c>
      <c r="G5039" t="s">
        <v>1020</v>
      </c>
      <c r="H5039" t="s">
        <v>2799</v>
      </c>
      <c r="I5039" t="s">
        <v>21</v>
      </c>
    </row>
    <row r="5040" spans="1:9" x14ac:dyDescent="0.25">
      <c r="A5040">
        <v>20131220</v>
      </c>
      <c r="B5040" t="str">
        <f t="shared" si="329"/>
        <v>113415</v>
      </c>
      <c r="C5040" t="str">
        <f t="shared" si="330"/>
        <v>83878</v>
      </c>
      <c r="D5040" t="s">
        <v>1016</v>
      </c>
      <c r="E5040">
        <v>329.76</v>
      </c>
      <c r="F5040">
        <v>20131220</v>
      </c>
      <c r="G5040" t="s">
        <v>1020</v>
      </c>
      <c r="H5040" t="s">
        <v>2800</v>
      </c>
      <c r="I5040" t="s">
        <v>21</v>
      </c>
    </row>
    <row r="5041" spans="1:9" x14ac:dyDescent="0.25">
      <c r="A5041">
        <v>20131220</v>
      </c>
      <c r="B5041" t="str">
        <f t="shared" si="329"/>
        <v>113415</v>
      </c>
      <c r="C5041" t="str">
        <f t="shared" si="330"/>
        <v>83878</v>
      </c>
      <c r="D5041" t="s">
        <v>1016</v>
      </c>
      <c r="E5041">
        <v>401.88</v>
      </c>
      <c r="F5041">
        <v>20131219</v>
      </c>
      <c r="G5041" t="s">
        <v>2495</v>
      </c>
      <c r="H5041" t="s">
        <v>1018</v>
      </c>
      <c r="I5041" t="s">
        <v>21</v>
      </c>
    </row>
    <row r="5042" spans="1:9" x14ac:dyDescent="0.25">
      <c r="A5042">
        <v>20131220</v>
      </c>
      <c r="B5042" t="str">
        <f t="shared" si="329"/>
        <v>113415</v>
      </c>
      <c r="C5042" t="str">
        <f t="shared" si="330"/>
        <v>83878</v>
      </c>
      <c r="D5042" t="s">
        <v>1016</v>
      </c>
      <c r="E5042">
        <v>226.79</v>
      </c>
      <c r="F5042">
        <v>20131219</v>
      </c>
      <c r="G5042" t="s">
        <v>636</v>
      </c>
      <c r="H5042" t="s">
        <v>1018</v>
      </c>
      <c r="I5042" t="s">
        <v>21</v>
      </c>
    </row>
    <row r="5043" spans="1:9" x14ac:dyDescent="0.25">
      <c r="A5043">
        <v>20131220</v>
      </c>
      <c r="B5043" t="str">
        <f t="shared" si="329"/>
        <v>113415</v>
      </c>
      <c r="C5043" t="str">
        <f t="shared" si="330"/>
        <v>83878</v>
      </c>
      <c r="D5043" t="s">
        <v>1016</v>
      </c>
      <c r="E5043">
        <v>16.239999999999998</v>
      </c>
      <c r="F5043">
        <v>20131219</v>
      </c>
      <c r="G5043" t="s">
        <v>834</v>
      </c>
      <c r="H5043" t="s">
        <v>1018</v>
      </c>
      <c r="I5043" t="s">
        <v>21</v>
      </c>
    </row>
    <row r="5044" spans="1:9" x14ac:dyDescent="0.25">
      <c r="A5044">
        <v>20131220</v>
      </c>
      <c r="B5044" t="str">
        <f t="shared" si="329"/>
        <v>113415</v>
      </c>
      <c r="C5044" t="str">
        <f t="shared" si="330"/>
        <v>83878</v>
      </c>
      <c r="D5044" t="s">
        <v>1016</v>
      </c>
      <c r="E5044">
        <v>48.95</v>
      </c>
      <c r="F5044">
        <v>20131219</v>
      </c>
      <c r="G5044" t="s">
        <v>834</v>
      </c>
      <c r="H5044" t="s">
        <v>1018</v>
      </c>
      <c r="I5044" t="s">
        <v>21</v>
      </c>
    </row>
    <row r="5045" spans="1:9" x14ac:dyDescent="0.25">
      <c r="A5045">
        <v>20131220</v>
      </c>
      <c r="B5045" t="str">
        <f t="shared" si="329"/>
        <v>113415</v>
      </c>
      <c r="C5045" t="str">
        <f t="shared" si="330"/>
        <v>83878</v>
      </c>
      <c r="D5045" t="s">
        <v>1016</v>
      </c>
      <c r="E5045">
        <v>436.08</v>
      </c>
      <c r="F5045">
        <v>20131219</v>
      </c>
      <c r="G5045" t="s">
        <v>1033</v>
      </c>
      <c r="H5045" t="s">
        <v>1018</v>
      </c>
      <c r="I5045" t="s">
        <v>21</v>
      </c>
    </row>
    <row r="5046" spans="1:9" x14ac:dyDescent="0.25">
      <c r="A5046">
        <v>20131220</v>
      </c>
      <c r="B5046" t="str">
        <f t="shared" si="329"/>
        <v>113415</v>
      </c>
      <c r="C5046" t="str">
        <f t="shared" si="330"/>
        <v>83878</v>
      </c>
      <c r="D5046" t="s">
        <v>1016</v>
      </c>
      <c r="E5046">
        <v>32.74</v>
      </c>
      <c r="F5046">
        <v>20131219</v>
      </c>
      <c r="G5046" t="s">
        <v>1079</v>
      </c>
      <c r="H5046" t="s">
        <v>1018</v>
      </c>
      <c r="I5046" t="s">
        <v>21</v>
      </c>
    </row>
    <row r="5047" spans="1:9" x14ac:dyDescent="0.25">
      <c r="A5047">
        <v>20131220</v>
      </c>
      <c r="B5047" t="str">
        <f t="shared" si="329"/>
        <v>113415</v>
      </c>
      <c r="C5047" t="str">
        <f t="shared" si="330"/>
        <v>83878</v>
      </c>
      <c r="D5047" t="s">
        <v>1016</v>
      </c>
      <c r="E5047">
        <v>233.45</v>
      </c>
      <c r="F5047">
        <v>20131219</v>
      </c>
      <c r="G5047" t="s">
        <v>758</v>
      </c>
      <c r="H5047" t="s">
        <v>1018</v>
      </c>
      <c r="I5047" t="s">
        <v>21</v>
      </c>
    </row>
    <row r="5048" spans="1:9" x14ac:dyDescent="0.25">
      <c r="A5048">
        <v>20131220</v>
      </c>
      <c r="B5048" t="str">
        <f t="shared" si="329"/>
        <v>113415</v>
      </c>
      <c r="C5048" t="str">
        <f t="shared" si="330"/>
        <v>83878</v>
      </c>
      <c r="D5048" t="s">
        <v>1016</v>
      </c>
      <c r="E5048">
        <v>171.47</v>
      </c>
      <c r="F5048">
        <v>20131219</v>
      </c>
      <c r="G5048" t="s">
        <v>1329</v>
      </c>
      <c r="H5048" t="s">
        <v>1018</v>
      </c>
      <c r="I5048" t="s">
        <v>21</v>
      </c>
    </row>
    <row r="5049" spans="1:9" x14ac:dyDescent="0.25">
      <c r="A5049">
        <v>20131220</v>
      </c>
      <c r="B5049" t="str">
        <f t="shared" si="329"/>
        <v>113415</v>
      </c>
      <c r="C5049" t="str">
        <f t="shared" si="330"/>
        <v>83878</v>
      </c>
      <c r="D5049" t="s">
        <v>1016</v>
      </c>
      <c r="E5049">
        <v>289.2</v>
      </c>
      <c r="F5049">
        <v>20131219</v>
      </c>
      <c r="G5049" t="s">
        <v>496</v>
      </c>
      <c r="H5049" t="s">
        <v>1018</v>
      </c>
      <c r="I5049" t="s">
        <v>21</v>
      </c>
    </row>
    <row r="5050" spans="1:9" x14ac:dyDescent="0.25">
      <c r="A5050">
        <v>20131220</v>
      </c>
      <c r="B5050" t="str">
        <f t="shared" si="329"/>
        <v>113415</v>
      </c>
      <c r="C5050" t="str">
        <f t="shared" si="330"/>
        <v>83878</v>
      </c>
      <c r="D5050" t="s">
        <v>1016</v>
      </c>
      <c r="E5050">
        <v>128.63999999999999</v>
      </c>
      <c r="F5050">
        <v>20131219</v>
      </c>
      <c r="G5050" t="s">
        <v>1672</v>
      </c>
      <c r="H5050" t="s">
        <v>1018</v>
      </c>
      <c r="I5050" t="s">
        <v>21</v>
      </c>
    </row>
    <row r="5051" spans="1:9" x14ac:dyDescent="0.25">
      <c r="A5051">
        <v>20131220</v>
      </c>
      <c r="B5051" t="str">
        <f t="shared" si="329"/>
        <v>113415</v>
      </c>
      <c r="C5051" t="str">
        <f t="shared" si="330"/>
        <v>83878</v>
      </c>
      <c r="D5051" t="s">
        <v>1016</v>
      </c>
      <c r="E5051">
        <v>370.66</v>
      </c>
      <c r="F5051">
        <v>20131219</v>
      </c>
      <c r="G5051" t="s">
        <v>2801</v>
      </c>
      <c r="H5051" t="s">
        <v>1018</v>
      </c>
      <c r="I5051" t="s">
        <v>21</v>
      </c>
    </row>
    <row r="5052" spans="1:9" x14ac:dyDescent="0.25">
      <c r="A5052">
        <v>20131220</v>
      </c>
      <c r="B5052" t="str">
        <f t="shared" si="329"/>
        <v>113415</v>
      </c>
      <c r="C5052" t="str">
        <f t="shared" si="330"/>
        <v>83878</v>
      </c>
      <c r="D5052" t="s">
        <v>1016</v>
      </c>
      <c r="E5052">
        <v>83.71</v>
      </c>
      <c r="F5052">
        <v>20131219</v>
      </c>
      <c r="G5052" t="s">
        <v>585</v>
      </c>
      <c r="H5052" t="s">
        <v>1018</v>
      </c>
      <c r="I5052" t="s">
        <v>21</v>
      </c>
    </row>
    <row r="5053" spans="1:9" x14ac:dyDescent="0.25">
      <c r="A5053">
        <v>20131220</v>
      </c>
      <c r="B5053" t="str">
        <f t="shared" si="329"/>
        <v>113415</v>
      </c>
      <c r="C5053" t="str">
        <f t="shared" si="330"/>
        <v>83878</v>
      </c>
      <c r="D5053" t="s">
        <v>1016</v>
      </c>
      <c r="E5053">
        <v>788.24</v>
      </c>
      <c r="F5053">
        <v>20131219</v>
      </c>
      <c r="G5053" t="s">
        <v>585</v>
      </c>
      <c r="H5053" t="s">
        <v>1018</v>
      </c>
      <c r="I5053" t="s">
        <v>21</v>
      </c>
    </row>
    <row r="5054" spans="1:9" x14ac:dyDescent="0.25">
      <c r="A5054">
        <v>20131220</v>
      </c>
      <c r="B5054" t="str">
        <f t="shared" si="329"/>
        <v>113415</v>
      </c>
      <c r="C5054" t="str">
        <f t="shared" si="330"/>
        <v>83878</v>
      </c>
      <c r="D5054" t="s">
        <v>1016</v>
      </c>
      <c r="E5054">
        <v>557.13</v>
      </c>
      <c r="F5054">
        <v>20131219</v>
      </c>
      <c r="G5054" t="s">
        <v>837</v>
      </c>
      <c r="H5054" t="s">
        <v>1018</v>
      </c>
      <c r="I5054" t="s">
        <v>21</v>
      </c>
    </row>
    <row r="5055" spans="1:9" x14ac:dyDescent="0.25">
      <c r="A5055">
        <v>20131220</v>
      </c>
      <c r="B5055" t="str">
        <f t="shared" si="329"/>
        <v>113415</v>
      </c>
      <c r="C5055" t="str">
        <f t="shared" si="330"/>
        <v>83878</v>
      </c>
      <c r="D5055" t="s">
        <v>1016</v>
      </c>
      <c r="E5055">
        <v>193.6</v>
      </c>
      <c r="F5055">
        <v>20131219</v>
      </c>
      <c r="G5055" t="s">
        <v>926</v>
      </c>
      <c r="H5055" t="s">
        <v>1018</v>
      </c>
      <c r="I5055" t="s">
        <v>21</v>
      </c>
    </row>
    <row r="5056" spans="1:9" x14ac:dyDescent="0.25">
      <c r="A5056">
        <v>20131220</v>
      </c>
      <c r="B5056" t="str">
        <f t="shared" si="329"/>
        <v>113415</v>
      </c>
      <c r="C5056" t="str">
        <f t="shared" si="330"/>
        <v>83878</v>
      </c>
      <c r="D5056" t="s">
        <v>1016</v>
      </c>
      <c r="E5056">
        <v>85.09</v>
      </c>
      <c r="F5056">
        <v>20131219</v>
      </c>
      <c r="G5056" t="s">
        <v>367</v>
      </c>
      <c r="H5056" t="s">
        <v>1018</v>
      </c>
      <c r="I5056" t="s">
        <v>21</v>
      </c>
    </row>
    <row r="5057" spans="1:9" x14ac:dyDescent="0.25">
      <c r="A5057">
        <v>20131220</v>
      </c>
      <c r="B5057" t="str">
        <f t="shared" si="329"/>
        <v>113415</v>
      </c>
      <c r="C5057" t="str">
        <f t="shared" si="330"/>
        <v>83878</v>
      </c>
      <c r="D5057" t="s">
        <v>1016</v>
      </c>
      <c r="E5057">
        <v>9.8000000000000007</v>
      </c>
      <c r="F5057">
        <v>20131219</v>
      </c>
      <c r="G5057" t="s">
        <v>483</v>
      </c>
      <c r="H5057" t="s">
        <v>1018</v>
      </c>
      <c r="I5057" t="s">
        <v>21</v>
      </c>
    </row>
    <row r="5058" spans="1:9" x14ac:dyDescent="0.25">
      <c r="A5058">
        <v>20131220</v>
      </c>
      <c r="B5058" t="str">
        <f t="shared" si="329"/>
        <v>113415</v>
      </c>
      <c r="C5058" t="str">
        <f t="shared" si="330"/>
        <v>83878</v>
      </c>
      <c r="D5058" t="s">
        <v>1016</v>
      </c>
      <c r="E5058">
        <v>215.19</v>
      </c>
      <c r="F5058">
        <v>20131219</v>
      </c>
      <c r="G5058" t="s">
        <v>734</v>
      </c>
      <c r="H5058" t="s">
        <v>1018</v>
      </c>
      <c r="I5058" t="s">
        <v>21</v>
      </c>
    </row>
    <row r="5059" spans="1:9" x14ac:dyDescent="0.25">
      <c r="A5059">
        <v>20131220</v>
      </c>
      <c r="B5059" t="str">
        <f t="shared" si="329"/>
        <v>113415</v>
      </c>
      <c r="C5059" t="str">
        <f t="shared" si="330"/>
        <v>83878</v>
      </c>
      <c r="D5059" t="s">
        <v>1016</v>
      </c>
      <c r="E5059">
        <v>85.19</v>
      </c>
      <c r="F5059">
        <v>20131219</v>
      </c>
      <c r="G5059" t="s">
        <v>2802</v>
      </c>
      <c r="H5059" t="s">
        <v>1018</v>
      </c>
      <c r="I5059" t="s">
        <v>21</v>
      </c>
    </row>
    <row r="5060" spans="1:9" x14ac:dyDescent="0.25">
      <c r="A5060">
        <v>20131220</v>
      </c>
      <c r="B5060" t="str">
        <f t="shared" si="329"/>
        <v>113415</v>
      </c>
      <c r="C5060" t="str">
        <f t="shared" si="330"/>
        <v>83878</v>
      </c>
      <c r="D5060" t="s">
        <v>1016</v>
      </c>
      <c r="E5060">
        <v>149.97999999999999</v>
      </c>
      <c r="F5060">
        <v>20131219</v>
      </c>
      <c r="G5060" t="s">
        <v>840</v>
      </c>
      <c r="H5060" t="s">
        <v>1018</v>
      </c>
      <c r="I5060" t="s">
        <v>21</v>
      </c>
    </row>
    <row r="5061" spans="1:9" x14ac:dyDescent="0.25">
      <c r="A5061">
        <v>20131220</v>
      </c>
      <c r="B5061" t="str">
        <f t="shared" si="329"/>
        <v>113415</v>
      </c>
      <c r="C5061" t="str">
        <f t="shared" si="330"/>
        <v>83878</v>
      </c>
      <c r="D5061" t="s">
        <v>1016</v>
      </c>
      <c r="E5061">
        <v>537.11</v>
      </c>
      <c r="F5061">
        <v>20131219</v>
      </c>
      <c r="G5061" t="s">
        <v>840</v>
      </c>
      <c r="H5061" t="s">
        <v>1018</v>
      </c>
      <c r="I5061" t="s">
        <v>21</v>
      </c>
    </row>
    <row r="5062" spans="1:9" x14ac:dyDescent="0.25">
      <c r="A5062">
        <v>20131220</v>
      </c>
      <c r="B5062" t="str">
        <f t="shared" si="329"/>
        <v>113415</v>
      </c>
      <c r="C5062" t="str">
        <f t="shared" si="330"/>
        <v>83878</v>
      </c>
      <c r="D5062" t="s">
        <v>1016</v>
      </c>
      <c r="E5062">
        <v>76.86</v>
      </c>
      <c r="F5062">
        <v>20131219</v>
      </c>
      <c r="G5062" t="s">
        <v>2803</v>
      </c>
      <c r="H5062" t="s">
        <v>1018</v>
      </c>
      <c r="I5062" t="s">
        <v>66</v>
      </c>
    </row>
    <row r="5063" spans="1:9" x14ac:dyDescent="0.25">
      <c r="A5063">
        <v>20131220</v>
      </c>
      <c r="B5063" t="str">
        <f t="shared" si="329"/>
        <v>113415</v>
      </c>
      <c r="C5063" t="str">
        <f t="shared" si="330"/>
        <v>83878</v>
      </c>
      <c r="D5063" t="s">
        <v>1016</v>
      </c>
      <c r="E5063">
        <v>578.19000000000005</v>
      </c>
      <c r="F5063">
        <v>20131219</v>
      </c>
      <c r="G5063" t="s">
        <v>331</v>
      </c>
      <c r="H5063" t="s">
        <v>1018</v>
      </c>
      <c r="I5063" t="s">
        <v>12</v>
      </c>
    </row>
    <row r="5064" spans="1:9" x14ac:dyDescent="0.25">
      <c r="A5064">
        <v>20131220</v>
      </c>
      <c r="B5064" t="str">
        <f t="shared" si="329"/>
        <v>113415</v>
      </c>
      <c r="C5064" t="str">
        <f t="shared" si="330"/>
        <v>83878</v>
      </c>
      <c r="D5064" t="s">
        <v>1016</v>
      </c>
      <c r="E5064">
        <v>83.62</v>
      </c>
      <c r="F5064">
        <v>20131219</v>
      </c>
      <c r="G5064" t="s">
        <v>410</v>
      </c>
      <c r="H5064" t="s">
        <v>1018</v>
      </c>
      <c r="I5064" t="s">
        <v>12</v>
      </c>
    </row>
    <row r="5065" spans="1:9" x14ac:dyDescent="0.25">
      <c r="A5065">
        <v>20131220</v>
      </c>
      <c r="B5065" t="str">
        <f t="shared" si="329"/>
        <v>113415</v>
      </c>
      <c r="C5065" t="str">
        <f t="shared" si="330"/>
        <v>83878</v>
      </c>
      <c r="D5065" t="s">
        <v>1016</v>
      </c>
      <c r="E5065">
        <v>330.78</v>
      </c>
      <c r="F5065">
        <v>20131219</v>
      </c>
      <c r="G5065" t="s">
        <v>202</v>
      </c>
      <c r="H5065" t="s">
        <v>1018</v>
      </c>
      <c r="I5065" t="s">
        <v>12</v>
      </c>
    </row>
    <row r="5066" spans="1:9" x14ac:dyDescent="0.25">
      <c r="A5066">
        <v>20131220</v>
      </c>
      <c r="B5066" t="str">
        <f t="shared" si="329"/>
        <v>113415</v>
      </c>
      <c r="C5066" t="str">
        <f t="shared" si="330"/>
        <v>83878</v>
      </c>
      <c r="D5066" t="s">
        <v>1016</v>
      </c>
      <c r="E5066">
        <v>620.21</v>
      </c>
      <c r="F5066">
        <v>20131219</v>
      </c>
      <c r="G5066" t="s">
        <v>181</v>
      </c>
      <c r="H5066" t="s">
        <v>1018</v>
      </c>
      <c r="I5066" t="s">
        <v>38</v>
      </c>
    </row>
    <row r="5067" spans="1:9" x14ac:dyDescent="0.25">
      <c r="A5067">
        <v>20131220</v>
      </c>
      <c r="B5067" t="str">
        <f t="shared" si="329"/>
        <v>113415</v>
      </c>
      <c r="C5067" t="str">
        <f t="shared" si="330"/>
        <v>83878</v>
      </c>
      <c r="D5067" t="s">
        <v>1016</v>
      </c>
      <c r="E5067">
        <v>120.49</v>
      </c>
      <c r="F5067">
        <v>20131220</v>
      </c>
      <c r="G5067" t="s">
        <v>289</v>
      </c>
      <c r="H5067" t="s">
        <v>2804</v>
      </c>
      <c r="I5067" t="s">
        <v>38</v>
      </c>
    </row>
    <row r="5068" spans="1:9" x14ac:dyDescent="0.25">
      <c r="A5068">
        <v>20131220</v>
      </c>
      <c r="B5068" t="str">
        <f t="shared" si="329"/>
        <v>113415</v>
      </c>
      <c r="C5068" t="str">
        <f t="shared" si="330"/>
        <v>83878</v>
      </c>
      <c r="D5068" t="s">
        <v>1016</v>
      </c>
      <c r="E5068">
        <v>165.73</v>
      </c>
      <c r="F5068">
        <v>20131220</v>
      </c>
      <c r="G5068" t="s">
        <v>289</v>
      </c>
      <c r="H5068" t="s">
        <v>2805</v>
      </c>
      <c r="I5068" t="s">
        <v>38</v>
      </c>
    </row>
    <row r="5069" spans="1:9" x14ac:dyDescent="0.25">
      <c r="A5069">
        <v>20131220</v>
      </c>
      <c r="B5069" t="str">
        <f t="shared" si="329"/>
        <v>113415</v>
      </c>
      <c r="C5069" t="str">
        <f t="shared" si="330"/>
        <v>83878</v>
      </c>
      <c r="D5069" t="s">
        <v>1016</v>
      </c>
      <c r="E5069" s="1">
        <v>1160.29</v>
      </c>
      <c r="F5069">
        <v>20131219</v>
      </c>
      <c r="G5069" t="s">
        <v>214</v>
      </c>
      <c r="H5069" t="s">
        <v>1018</v>
      </c>
      <c r="I5069" t="s">
        <v>38</v>
      </c>
    </row>
    <row r="5070" spans="1:9" x14ac:dyDescent="0.25">
      <c r="A5070">
        <v>20131220</v>
      </c>
      <c r="B5070" t="str">
        <f t="shared" si="329"/>
        <v>113415</v>
      </c>
      <c r="C5070" t="str">
        <f t="shared" si="330"/>
        <v>83878</v>
      </c>
      <c r="D5070" t="s">
        <v>1016</v>
      </c>
      <c r="E5070">
        <v>232.69</v>
      </c>
      <c r="F5070">
        <v>20131219</v>
      </c>
      <c r="G5070" t="s">
        <v>36</v>
      </c>
      <c r="H5070" t="s">
        <v>1018</v>
      </c>
      <c r="I5070" t="s">
        <v>38</v>
      </c>
    </row>
    <row r="5071" spans="1:9" x14ac:dyDescent="0.25">
      <c r="A5071">
        <v>20131220</v>
      </c>
      <c r="B5071" t="str">
        <f t="shared" si="329"/>
        <v>113415</v>
      </c>
      <c r="C5071" t="str">
        <f t="shared" si="330"/>
        <v>83878</v>
      </c>
      <c r="D5071" t="s">
        <v>1016</v>
      </c>
      <c r="E5071">
        <v>325.36</v>
      </c>
      <c r="F5071">
        <v>20131219</v>
      </c>
      <c r="G5071" t="s">
        <v>119</v>
      </c>
      <c r="H5071" t="s">
        <v>1018</v>
      </c>
      <c r="I5071" t="s">
        <v>38</v>
      </c>
    </row>
    <row r="5072" spans="1:9" x14ac:dyDescent="0.25">
      <c r="A5072">
        <v>20131220</v>
      </c>
      <c r="B5072" t="str">
        <f t="shared" si="329"/>
        <v>113415</v>
      </c>
      <c r="C5072" t="str">
        <f t="shared" si="330"/>
        <v>83878</v>
      </c>
      <c r="D5072" t="s">
        <v>1016</v>
      </c>
      <c r="E5072">
        <v>703.97</v>
      </c>
      <c r="F5072">
        <v>20131219</v>
      </c>
      <c r="G5072" t="s">
        <v>209</v>
      </c>
      <c r="H5072" t="s">
        <v>1018</v>
      </c>
      <c r="I5072" t="s">
        <v>25</v>
      </c>
    </row>
    <row r="5073" spans="1:9" x14ac:dyDescent="0.25">
      <c r="A5073">
        <v>20131220</v>
      </c>
      <c r="B5073" t="str">
        <f t="shared" si="329"/>
        <v>113415</v>
      </c>
      <c r="C5073" t="str">
        <f t="shared" si="330"/>
        <v>83878</v>
      </c>
      <c r="D5073" t="s">
        <v>1016</v>
      </c>
      <c r="E5073">
        <v>231.43</v>
      </c>
      <c r="F5073">
        <v>20131219</v>
      </c>
      <c r="G5073" t="s">
        <v>209</v>
      </c>
      <c r="H5073" t="s">
        <v>1018</v>
      </c>
      <c r="I5073" t="s">
        <v>25</v>
      </c>
    </row>
    <row r="5074" spans="1:9" x14ac:dyDescent="0.25">
      <c r="A5074">
        <v>20131220</v>
      </c>
      <c r="B5074" t="str">
        <f t="shared" si="329"/>
        <v>113415</v>
      </c>
      <c r="C5074" t="str">
        <f t="shared" si="330"/>
        <v>83878</v>
      </c>
      <c r="D5074" t="s">
        <v>1016</v>
      </c>
      <c r="E5074">
        <v>248</v>
      </c>
      <c r="F5074">
        <v>20131219</v>
      </c>
      <c r="G5074" t="s">
        <v>2806</v>
      </c>
      <c r="H5074" t="s">
        <v>1018</v>
      </c>
      <c r="I5074" t="s">
        <v>25</v>
      </c>
    </row>
    <row r="5075" spans="1:9" x14ac:dyDescent="0.25">
      <c r="A5075">
        <v>20131220</v>
      </c>
      <c r="B5075" t="str">
        <f t="shared" si="329"/>
        <v>113415</v>
      </c>
      <c r="C5075" t="str">
        <f t="shared" si="330"/>
        <v>83878</v>
      </c>
      <c r="D5075" t="s">
        <v>1016</v>
      </c>
      <c r="E5075">
        <v>19.72</v>
      </c>
      <c r="F5075">
        <v>20131219</v>
      </c>
      <c r="G5075" t="s">
        <v>291</v>
      </c>
      <c r="H5075" t="s">
        <v>1018</v>
      </c>
      <c r="I5075" t="s">
        <v>25</v>
      </c>
    </row>
    <row r="5076" spans="1:9" x14ac:dyDescent="0.25">
      <c r="A5076">
        <v>20131220</v>
      </c>
      <c r="B5076" t="str">
        <f>"113416"</f>
        <v>113416</v>
      </c>
      <c r="C5076" t="str">
        <f>"83648"</f>
        <v>83648</v>
      </c>
      <c r="D5076" t="s">
        <v>2807</v>
      </c>
      <c r="E5076">
        <v>89.82</v>
      </c>
      <c r="F5076">
        <v>20131219</v>
      </c>
      <c r="G5076" t="s">
        <v>119</v>
      </c>
      <c r="H5076" t="s">
        <v>2336</v>
      </c>
      <c r="I5076" t="s">
        <v>38</v>
      </c>
    </row>
    <row r="5077" spans="1:9" x14ac:dyDescent="0.25">
      <c r="A5077">
        <v>20131220</v>
      </c>
      <c r="B5077" t="str">
        <f>"113417"</f>
        <v>113417</v>
      </c>
      <c r="C5077" t="str">
        <f>"21030"</f>
        <v>21030</v>
      </c>
      <c r="D5077" t="s">
        <v>2808</v>
      </c>
      <c r="E5077">
        <v>78</v>
      </c>
      <c r="F5077">
        <v>20131219</v>
      </c>
      <c r="G5077" t="s">
        <v>119</v>
      </c>
      <c r="H5077" t="s">
        <v>1116</v>
      </c>
      <c r="I5077" t="s">
        <v>38</v>
      </c>
    </row>
    <row r="5078" spans="1:9" x14ac:dyDescent="0.25">
      <c r="A5078">
        <v>20131220</v>
      </c>
      <c r="B5078" t="str">
        <f>"113418"</f>
        <v>113418</v>
      </c>
      <c r="C5078" t="str">
        <f>"28015"</f>
        <v>28015</v>
      </c>
      <c r="D5078" t="s">
        <v>1234</v>
      </c>
      <c r="E5078">
        <v>299.20999999999998</v>
      </c>
      <c r="F5078">
        <v>20131219</v>
      </c>
      <c r="G5078" t="s">
        <v>808</v>
      </c>
      <c r="H5078" t="s">
        <v>921</v>
      </c>
      <c r="I5078" t="s">
        <v>21</v>
      </c>
    </row>
    <row r="5079" spans="1:9" x14ac:dyDescent="0.25">
      <c r="A5079">
        <v>20131220</v>
      </c>
      <c r="B5079" t="str">
        <f>"113418"</f>
        <v>113418</v>
      </c>
      <c r="C5079" t="str">
        <f>"28015"</f>
        <v>28015</v>
      </c>
      <c r="D5079" t="s">
        <v>1234</v>
      </c>
      <c r="E5079">
        <v>897.61</v>
      </c>
      <c r="F5079">
        <v>20131219</v>
      </c>
      <c r="G5079" t="s">
        <v>1721</v>
      </c>
      <c r="H5079" t="s">
        <v>921</v>
      </c>
      <c r="I5079" t="s">
        <v>21</v>
      </c>
    </row>
    <row r="5080" spans="1:9" x14ac:dyDescent="0.25">
      <c r="A5080">
        <v>20131220</v>
      </c>
      <c r="B5080" t="str">
        <f>"113419"</f>
        <v>113419</v>
      </c>
      <c r="C5080" t="str">
        <f>"30000"</f>
        <v>30000</v>
      </c>
      <c r="D5080" t="s">
        <v>556</v>
      </c>
      <c r="E5080">
        <v>131.94</v>
      </c>
      <c r="F5080">
        <v>20131220</v>
      </c>
      <c r="G5080" t="s">
        <v>2809</v>
      </c>
      <c r="H5080" t="s">
        <v>2810</v>
      </c>
      <c r="I5080" t="s">
        <v>21</v>
      </c>
    </row>
    <row r="5081" spans="1:9" x14ac:dyDescent="0.25">
      <c r="A5081">
        <v>20131220</v>
      </c>
      <c r="B5081" t="str">
        <f>"113419"</f>
        <v>113419</v>
      </c>
      <c r="C5081" t="str">
        <f>"30000"</f>
        <v>30000</v>
      </c>
      <c r="D5081" t="s">
        <v>556</v>
      </c>
      <c r="E5081">
        <v>129.99</v>
      </c>
      <c r="F5081">
        <v>20131220</v>
      </c>
      <c r="G5081" t="s">
        <v>840</v>
      </c>
      <c r="H5081" t="s">
        <v>2811</v>
      </c>
      <c r="I5081" t="s">
        <v>21</v>
      </c>
    </row>
    <row r="5082" spans="1:9" x14ac:dyDescent="0.25">
      <c r="A5082">
        <v>20131220</v>
      </c>
      <c r="B5082" t="str">
        <f>"113420"</f>
        <v>113420</v>
      </c>
      <c r="C5082" t="str">
        <f>"87675"</f>
        <v>87675</v>
      </c>
      <c r="D5082" t="s">
        <v>2812</v>
      </c>
      <c r="E5082">
        <v>75.5</v>
      </c>
      <c r="F5082">
        <v>20131219</v>
      </c>
      <c r="G5082" t="s">
        <v>39</v>
      </c>
      <c r="H5082" t="s">
        <v>354</v>
      </c>
      <c r="I5082" t="s">
        <v>38</v>
      </c>
    </row>
    <row r="5083" spans="1:9" x14ac:dyDescent="0.25">
      <c r="A5083">
        <v>20131220</v>
      </c>
      <c r="B5083" t="str">
        <f>"113421"</f>
        <v>113421</v>
      </c>
      <c r="C5083" t="str">
        <f>"33200"</f>
        <v>33200</v>
      </c>
      <c r="D5083" t="s">
        <v>863</v>
      </c>
      <c r="E5083">
        <v>79.19</v>
      </c>
      <c r="F5083">
        <v>20131219</v>
      </c>
      <c r="G5083" t="s">
        <v>877</v>
      </c>
      <c r="H5083" t="s">
        <v>365</v>
      </c>
      <c r="I5083" t="s">
        <v>66</v>
      </c>
    </row>
    <row r="5084" spans="1:9" x14ac:dyDescent="0.25">
      <c r="A5084">
        <v>20131220</v>
      </c>
      <c r="B5084" t="str">
        <f>"113422"</f>
        <v>113422</v>
      </c>
      <c r="C5084" t="str">
        <f>"87674"</f>
        <v>87674</v>
      </c>
      <c r="D5084" t="s">
        <v>2813</v>
      </c>
      <c r="E5084">
        <v>300</v>
      </c>
      <c r="F5084">
        <v>20131219</v>
      </c>
      <c r="G5084" t="s">
        <v>637</v>
      </c>
      <c r="H5084" t="s">
        <v>2814</v>
      </c>
      <c r="I5084" t="s">
        <v>38</v>
      </c>
    </row>
    <row r="5085" spans="1:9" x14ac:dyDescent="0.25">
      <c r="A5085">
        <v>20131220</v>
      </c>
      <c r="B5085" t="str">
        <f>"113423"</f>
        <v>113423</v>
      </c>
      <c r="C5085" t="str">
        <f>"39190"</f>
        <v>39190</v>
      </c>
      <c r="D5085" t="s">
        <v>1100</v>
      </c>
      <c r="E5085">
        <v>513</v>
      </c>
      <c r="F5085">
        <v>20131220</v>
      </c>
      <c r="G5085" t="s">
        <v>742</v>
      </c>
      <c r="H5085" t="s">
        <v>743</v>
      </c>
      <c r="I5085" t="s">
        <v>21</v>
      </c>
    </row>
    <row r="5086" spans="1:9" x14ac:dyDescent="0.25">
      <c r="A5086">
        <v>20131220</v>
      </c>
      <c r="B5086" t="str">
        <f>"113424"</f>
        <v>113424</v>
      </c>
      <c r="C5086" t="str">
        <f>"41375"</f>
        <v>41375</v>
      </c>
      <c r="D5086" t="s">
        <v>616</v>
      </c>
      <c r="E5086">
        <v>45.98</v>
      </c>
      <c r="F5086">
        <v>20131220</v>
      </c>
      <c r="G5086" t="s">
        <v>1712</v>
      </c>
      <c r="H5086" t="s">
        <v>2815</v>
      </c>
      <c r="I5086" t="s">
        <v>21</v>
      </c>
    </row>
    <row r="5087" spans="1:9" x14ac:dyDescent="0.25">
      <c r="A5087">
        <v>20131220</v>
      </c>
      <c r="B5087" t="str">
        <f>"113425"</f>
        <v>113425</v>
      </c>
      <c r="C5087" t="str">
        <f>"45605"</f>
        <v>45605</v>
      </c>
      <c r="D5087" t="s">
        <v>1474</v>
      </c>
      <c r="E5087">
        <v>46.52</v>
      </c>
      <c r="F5087">
        <v>20131219</v>
      </c>
      <c r="G5087" t="s">
        <v>413</v>
      </c>
      <c r="H5087" t="s">
        <v>414</v>
      </c>
      <c r="I5087" t="s">
        <v>21</v>
      </c>
    </row>
    <row r="5088" spans="1:9" x14ac:dyDescent="0.25">
      <c r="A5088">
        <v>20131220</v>
      </c>
      <c r="B5088" t="str">
        <f>"113425"</f>
        <v>113425</v>
      </c>
      <c r="C5088" t="str">
        <f>"45605"</f>
        <v>45605</v>
      </c>
      <c r="D5088" t="s">
        <v>1474</v>
      </c>
      <c r="E5088">
        <v>301.02</v>
      </c>
      <c r="F5088">
        <v>20131219</v>
      </c>
      <c r="G5088" t="s">
        <v>413</v>
      </c>
      <c r="H5088" t="s">
        <v>414</v>
      </c>
      <c r="I5088" t="s">
        <v>21</v>
      </c>
    </row>
    <row r="5089" spans="1:9" x14ac:dyDescent="0.25">
      <c r="A5089">
        <v>20131220</v>
      </c>
      <c r="B5089" t="str">
        <f>"113425"</f>
        <v>113425</v>
      </c>
      <c r="C5089" t="str">
        <f>"45605"</f>
        <v>45605</v>
      </c>
      <c r="D5089" t="s">
        <v>1474</v>
      </c>
      <c r="E5089">
        <v>14.05</v>
      </c>
      <c r="F5089">
        <v>20131219</v>
      </c>
      <c r="G5089" t="s">
        <v>628</v>
      </c>
      <c r="H5089" t="s">
        <v>414</v>
      </c>
      <c r="I5089" t="s">
        <v>21</v>
      </c>
    </row>
    <row r="5090" spans="1:9" x14ac:dyDescent="0.25">
      <c r="A5090">
        <v>20131220</v>
      </c>
      <c r="B5090" t="str">
        <f>"113426"</f>
        <v>113426</v>
      </c>
      <c r="C5090" t="str">
        <f>"52518"</f>
        <v>52518</v>
      </c>
      <c r="D5090" t="s">
        <v>647</v>
      </c>
      <c r="E5090">
        <v>697.08</v>
      </c>
      <c r="F5090">
        <v>20131219</v>
      </c>
      <c r="G5090" t="s">
        <v>498</v>
      </c>
      <c r="H5090" t="s">
        <v>499</v>
      </c>
      <c r="I5090" t="s">
        <v>21</v>
      </c>
    </row>
    <row r="5091" spans="1:9" x14ac:dyDescent="0.25">
      <c r="A5091">
        <v>20131220</v>
      </c>
      <c r="B5091" t="str">
        <f>"113426"</f>
        <v>113426</v>
      </c>
      <c r="C5091" t="str">
        <f>"52518"</f>
        <v>52518</v>
      </c>
      <c r="D5091" t="s">
        <v>647</v>
      </c>
      <c r="E5091">
        <v>65.91</v>
      </c>
      <c r="F5091">
        <v>20131219</v>
      </c>
      <c r="G5091" t="s">
        <v>496</v>
      </c>
      <c r="H5091" t="s">
        <v>414</v>
      </c>
      <c r="I5091" t="s">
        <v>21</v>
      </c>
    </row>
    <row r="5092" spans="1:9" x14ac:dyDescent="0.25">
      <c r="A5092">
        <v>20131220</v>
      </c>
      <c r="B5092" t="str">
        <f>"113427"</f>
        <v>113427</v>
      </c>
      <c r="C5092" t="str">
        <f>"52525"</f>
        <v>52525</v>
      </c>
      <c r="D5092" t="s">
        <v>1113</v>
      </c>
      <c r="E5092">
        <v>78.989999999999995</v>
      </c>
      <c r="F5092">
        <v>20131220</v>
      </c>
      <c r="G5092" t="s">
        <v>39</v>
      </c>
      <c r="H5092" t="s">
        <v>2816</v>
      </c>
      <c r="I5092" t="s">
        <v>38</v>
      </c>
    </row>
    <row r="5093" spans="1:9" x14ac:dyDescent="0.25">
      <c r="A5093">
        <v>20131220</v>
      </c>
      <c r="B5093" t="str">
        <f>"113428"</f>
        <v>113428</v>
      </c>
      <c r="C5093" t="str">
        <f>"86964"</f>
        <v>86964</v>
      </c>
      <c r="D5093" t="s">
        <v>1280</v>
      </c>
      <c r="E5093" s="1">
        <v>63279.360000000001</v>
      </c>
      <c r="F5093">
        <v>20131220</v>
      </c>
      <c r="G5093" t="s">
        <v>2147</v>
      </c>
      <c r="I5093" t="s">
        <v>21</v>
      </c>
    </row>
    <row r="5094" spans="1:9" x14ac:dyDescent="0.25">
      <c r="A5094">
        <v>20131220</v>
      </c>
      <c r="B5094" t="str">
        <f>"113429"</f>
        <v>113429</v>
      </c>
      <c r="C5094" t="str">
        <f>"58772"</f>
        <v>58772</v>
      </c>
      <c r="D5094" t="s">
        <v>934</v>
      </c>
      <c r="E5094">
        <v>91.3</v>
      </c>
      <c r="F5094">
        <v>20131220</v>
      </c>
      <c r="G5094" t="s">
        <v>2552</v>
      </c>
      <c r="H5094" t="s">
        <v>2553</v>
      </c>
      <c r="I5094" t="s">
        <v>21</v>
      </c>
    </row>
    <row r="5095" spans="1:9" x14ac:dyDescent="0.25">
      <c r="A5095">
        <v>20131220</v>
      </c>
      <c r="B5095" t="str">
        <f>"113430"</f>
        <v>113430</v>
      </c>
      <c r="C5095" t="str">
        <f>"69940"</f>
        <v>69940</v>
      </c>
      <c r="D5095" t="s">
        <v>1156</v>
      </c>
      <c r="E5095" s="1">
        <v>7061.29</v>
      </c>
      <c r="F5095">
        <v>20131220</v>
      </c>
      <c r="G5095" t="s">
        <v>840</v>
      </c>
      <c r="H5095" t="s">
        <v>839</v>
      </c>
      <c r="I5095" t="s">
        <v>21</v>
      </c>
    </row>
    <row r="5096" spans="1:9" x14ac:dyDescent="0.25">
      <c r="A5096">
        <v>20131220</v>
      </c>
      <c r="B5096" t="str">
        <f>"113430"</f>
        <v>113430</v>
      </c>
      <c r="C5096" t="str">
        <f>"69940"</f>
        <v>69940</v>
      </c>
      <c r="D5096" t="s">
        <v>1156</v>
      </c>
      <c r="E5096" s="1">
        <v>6958.12</v>
      </c>
      <c r="F5096">
        <v>20131220</v>
      </c>
      <c r="G5096" t="s">
        <v>1399</v>
      </c>
      <c r="H5096" t="s">
        <v>839</v>
      </c>
      <c r="I5096" t="s">
        <v>21</v>
      </c>
    </row>
    <row r="5097" spans="1:9" x14ac:dyDescent="0.25">
      <c r="A5097">
        <v>20131220</v>
      </c>
      <c r="B5097" t="str">
        <f>"113431"</f>
        <v>113431</v>
      </c>
      <c r="C5097" t="str">
        <f>"00332"</f>
        <v>00332</v>
      </c>
      <c r="D5097" t="s">
        <v>1160</v>
      </c>
      <c r="E5097">
        <v>34</v>
      </c>
      <c r="F5097">
        <v>20131220</v>
      </c>
      <c r="G5097" t="s">
        <v>367</v>
      </c>
      <c r="H5097" t="s">
        <v>1161</v>
      </c>
      <c r="I5097" t="s">
        <v>21</v>
      </c>
    </row>
    <row r="5098" spans="1:9" x14ac:dyDescent="0.25">
      <c r="A5098">
        <v>20131220</v>
      </c>
      <c r="B5098" t="str">
        <f>"113432"</f>
        <v>113432</v>
      </c>
      <c r="C5098" t="str">
        <f>"75581"</f>
        <v>75581</v>
      </c>
      <c r="D5098" t="s">
        <v>391</v>
      </c>
      <c r="E5098" s="1">
        <v>1020.6</v>
      </c>
      <c r="F5098">
        <v>20131220</v>
      </c>
      <c r="G5098" t="s">
        <v>331</v>
      </c>
      <c r="H5098" t="s">
        <v>393</v>
      </c>
      <c r="I5098" t="s">
        <v>12</v>
      </c>
    </row>
    <row r="5099" spans="1:9" x14ac:dyDescent="0.25">
      <c r="A5099">
        <v>20131220</v>
      </c>
      <c r="B5099" t="str">
        <f>"113433"</f>
        <v>113433</v>
      </c>
      <c r="C5099" t="str">
        <f>"76839"</f>
        <v>76839</v>
      </c>
      <c r="D5099" t="s">
        <v>2817</v>
      </c>
      <c r="E5099">
        <v>200</v>
      </c>
      <c r="F5099">
        <v>20131220</v>
      </c>
      <c r="G5099" t="s">
        <v>1145</v>
      </c>
      <c r="H5099" t="s">
        <v>2818</v>
      </c>
      <c r="I5099" t="s">
        <v>73</v>
      </c>
    </row>
    <row r="5100" spans="1:9" x14ac:dyDescent="0.25">
      <c r="A5100">
        <v>20140109</v>
      </c>
      <c r="B5100" t="str">
        <f>"113434"</f>
        <v>113434</v>
      </c>
      <c r="C5100" t="str">
        <f>"87688"</f>
        <v>87688</v>
      </c>
      <c r="D5100" t="s">
        <v>2819</v>
      </c>
      <c r="E5100">
        <v>85</v>
      </c>
      <c r="F5100">
        <v>20140108</v>
      </c>
      <c r="G5100" t="s">
        <v>2820</v>
      </c>
      <c r="H5100" t="s">
        <v>765</v>
      </c>
      <c r="I5100" t="s">
        <v>61</v>
      </c>
    </row>
    <row r="5101" spans="1:9" x14ac:dyDescent="0.25">
      <c r="A5101">
        <v>20140109</v>
      </c>
      <c r="B5101" t="str">
        <f>"113435"</f>
        <v>113435</v>
      </c>
      <c r="C5101" t="str">
        <f>"00120"</f>
        <v>00120</v>
      </c>
      <c r="D5101" t="s">
        <v>336</v>
      </c>
      <c r="E5101">
        <v>103.49</v>
      </c>
      <c r="F5101">
        <v>20140108</v>
      </c>
      <c r="G5101" t="s">
        <v>337</v>
      </c>
      <c r="H5101" t="s">
        <v>766</v>
      </c>
      <c r="I5101" t="s">
        <v>21</v>
      </c>
    </row>
    <row r="5102" spans="1:9" x14ac:dyDescent="0.25">
      <c r="A5102">
        <v>20140109</v>
      </c>
      <c r="B5102" t="str">
        <f>"113436"</f>
        <v>113436</v>
      </c>
      <c r="C5102" t="str">
        <f>"87123"</f>
        <v>87123</v>
      </c>
      <c r="D5102" t="s">
        <v>2821</v>
      </c>
      <c r="E5102">
        <v>85</v>
      </c>
      <c r="F5102">
        <v>20140108</v>
      </c>
      <c r="G5102" t="s">
        <v>2820</v>
      </c>
      <c r="H5102" t="s">
        <v>765</v>
      </c>
      <c r="I5102" t="s">
        <v>61</v>
      </c>
    </row>
    <row r="5103" spans="1:9" x14ac:dyDescent="0.25">
      <c r="A5103">
        <v>20140109</v>
      </c>
      <c r="B5103" t="str">
        <f>"113437"</f>
        <v>113437</v>
      </c>
      <c r="C5103" t="str">
        <f>"87653"</f>
        <v>87653</v>
      </c>
      <c r="D5103" t="s">
        <v>2822</v>
      </c>
      <c r="E5103" s="1">
        <v>1000</v>
      </c>
      <c r="F5103">
        <v>20140108</v>
      </c>
      <c r="G5103" t="s">
        <v>1721</v>
      </c>
      <c r="H5103" t="s">
        <v>2823</v>
      </c>
      <c r="I5103" t="s">
        <v>21</v>
      </c>
    </row>
    <row r="5104" spans="1:9" x14ac:dyDescent="0.25">
      <c r="A5104">
        <v>20140109</v>
      </c>
      <c r="B5104" t="str">
        <f t="shared" ref="B5104:B5117" si="331">"113438"</f>
        <v>113438</v>
      </c>
      <c r="C5104" t="str">
        <f t="shared" ref="C5104:C5117" si="332">"52460"</f>
        <v>52460</v>
      </c>
      <c r="D5104" t="s">
        <v>452</v>
      </c>
      <c r="E5104">
        <v>412.42</v>
      </c>
      <c r="F5104">
        <v>20140108</v>
      </c>
      <c r="G5104" t="s">
        <v>453</v>
      </c>
      <c r="H5104" t="s">
        <v>454</v>
      </c>
      <c r="I5104" t="s">
        <v>21</v>
      </c>
    </row>
    <row r="5105" spans="1:9" x14ac:dyDescent="0.25">
      <c r="A5105">
        <v>20140109</v>
      </c>
      <c r="B5105" t="str">
        <f t="shared" si="331"/>
        <v>113438</v>
      </c>
      <c r="C5105" t="str">
        <f t="shared" si="332"/>
        <v>52460</v>
      </c>
      <c r="D5105" t="s">
        <v>452</v>
      </c>
      <c r="E5105" s="1">
        <v>2295.6</v>
      </c>
      <c r="F5105">
        <v>20140108</v>
      </c>
      <c r="G5105" t="s">
        <v>455</v>
      </c>
      <c r="H5105" t="s">
        <v>454</v>
      </c>
      <c r="I5105" t="s">
        <v>21</v>
      </c>
    </row>
    <row r="5106" spans="1:9" x14ac:dyDescent="0.25">
      <c r="A5106">
        <v>20140109</v>
      </c>
      <c r="B5106" t="str">
        <f t="shared" si="331"/>
        <v>113438</v>
      </c>
      <c r="C5106" t="str">
        <f t="shared" si="332"/>
        <v>52460</v>
      </c>
      <c r="D5106" t="s">
        <v>452</v>
      </c>
      <c r="E5106" s="1">
        <v>1133.54</v>
      </c>
      <c r="F5106">
        <v>20140108</v>
      </c>
      <c r="G5106" t="s">
        <v>456</v>
      </c>
      <c r="H5106" t="s">
        <v>454</v>
      </c>
      <c r="I5106" t="s">
        <v>21</v>
      </c>
    </row>
    <row r="5107" spans="1:9" x14ac:dyDescent="0.25">
      <c r="A5107">
        <v>20140109</v>
      </c>
      <c r="B5107" t="str">
        <f t="shared" si="331"/>
        <v>113438</v>
      </c>
      <c r="C5107" t="str">
        <f t="shared" si="332"/>
        <v>52460</v>
      </c>
      <c r="D5107" t="s">
        <v>452</v>
      </c>
      <c r="E5107" s="1">
        <v>1032.3800000000001</v>
      </c>
      <c r="F5107">
        <v>20140108</v>
      </c>
      <c r="G5107" t="s">
        <v>457</v>
      </c>
      <c r="H5107" t="s">
        <v>454</v>
      </c>
      <c r="I5107" t="s">
        <v>21</v>
      </c>
    </row>
    <row r="5108" spans="1:9" x14ac:dyDescent="0.25">
      <c r="A5108">
        <v>20140109</v>
      </c>
      <c r="B5108" t="str">
        <f t="shared" si="331"/>
        <v>113438</v>
      </c>
      <c r="C5108" t="str">
        <f t="shared" si="332"/>
        <v>52460</v>
      </c>
      <c r="D5108" t="s">
        <v>452</v>
      </c>
      <c r="E5108">
        <v>905.29</v>
      </c>
      <c r="F5108">
        <v>20140108</v>
      </c>
      <c r="G5108" t="s">
        <v>458</v>
      </c>
      <c r="H5108" t="s">
        <v>454</v>
      </c>
      <c r="I5108" t="s">
        <v>21</v>
      </c>
    </row>
    <row r="5109" spans="1:9" x14ac:dyDescent="0.25">
      <c r="A5109">
        <v>20140109</v>
      </c>
      <c r="B5109" t="str">
        <f t="shared" si="331"/>
        <v>113438</v>
      </c>
      <c r="C5109" t="str">
        <f t="shared" si="332"/>
        <v>52460</v>
      </c>
      <c r="D5109" t="s">
        <v>452</v>
      </c>
      <c r="E5109" s="1">
        <v>1032.3800000000001</v>
      </c>
      <c r="F5109">
        <v>20140108</v>
      </c>
      <c r="G5109" t="s">
        <v>459</v>
      </c>
      <c r="H5109" t="s">
        <v>454</v>
      </c>
      <c r="I5109" t="s">
        <v>21</v>
      </c>
    </row>
    <row r="5110" spans="1:9" x14ac:dyDescent="0.25">
      <c r="A5110">
        <v>20140109</v>
      </c>
      <c r="B5110" t="str">
        <f t="shared" si="331"/>
        <v>113438</v>
      </c>
      <c r="C5110" t="str">
        <f t="shared" si="332"/>
        <v>52460</v>
      </c>
      <c r="D5110" t="s">
        <v>452</v>
      </c>
      <c r="E5110">
        <v>962.36</v>
      </c>
      <c r="F5110">
        <v>20140108</v>
      </c>
      <c r="G5110" t="s">
        <v>460</v>
      </c>
      <c r="H5110" t="s">
        <v>454</v>
      </c>
      <c r="I5110" t="s">
        <v>21</v>
      </c>
    </row>
    <row r="5111" spans="1:9" x14ac:dyDescent="0.25">
      <c r="A5111">
        <v>20140109</v>
      </c>
      <c r="B5111" t="str">
        <f t="shared" si="331"/>
        <v>113438</v>
      </c>
      <c r="C5111" t="str">
        <f t="shared" si="332"/>
        <v>52460</v>
      </c>
      <c r="D5111" t="s">
        <v>452</v>
      </c>
      <c r="E5111">
        <v>594.04</v>
      </c>
      <c r="F5111">
        <v>20140108</v>
      </c>
      <c r="G5111" t="s">
        <v>461</v>
      </c>
      <c r="H5111" t="s">
        <v>454</v>
      </c>
      <c r="I5111" t="s">
        <v>21</v>
      </c>
    </row>
    <row r="5112" spans="1:9" x14ac:dyDescent="0.25">
      <c r="A5112">
        <v>20140109</v>
      </c>
      <c r="B5112" t="str">
        <f t="shared" si="331"/>
        <v>113438</v>
      </c>
      <c r="C5112" t="str">
        <f t="shared" si="332"/>
        <v>52460</v>
      </c>
      <c r="D5112" t="s">
        <v>452</v>
      </c>
      <c r="E5112" s="1">
        <v>1032.3800000000001</v>
      </c>
      <c r="F5112">
        <v>20140108</v>
      </c>
      <c r="G5112" t="s">
        <v>462</v>
      </c>
      <c r="H5112" t="s">
        <v>454</v>
      </c>
      <c r="I5112" t="s">
        <v>21</v>
      </c>
    </row>
    <row r="5113" spans="1:9" x14ac:dyDescent="0.25">
      <c r="A5113">
        <v>20140109</v>
      </c>
      <c r="B5113" t="str">
        <f t="shared" si="331"/>
        <v>113438</v>
      </c>
      <c r="C5113" t="str">
        <f t="shared" si="332"/>
        <v>52460</v>
      </c>
      <c r="D5113" t="s">
        <v>452</v>
      </c>
      <c r="E5113">
        <v>272.37</v>
      </c>
      <c r="F5113">
        <v>20140108</v>
      </c>
      <c r="G5113" t="s">
        <v>463</v>
      </c>
      <c r="H5113" t="s">
        <v>454</v>
      </c>
      <c r="I5113" t="s">
        <v>21</v>
      </c>
    </row>
    <row r="5114" spans="1:9" x14ac:dyDescent="0.25">
      <c r="A5114">
        <v>20140109</v>
      </c>
      <c r="B5114" t="str">
        <f t="shared" si="331"/>
        <v>113438</v>
      </c>
      <c r="C5114" t="str">
        <f t="shared" si="332"/>
        <v>52460</v>
      </c>
      <c r="D5114" t="s">
        <v>452</v>
      </c>
      <c r="E5114">
        <v>412.42</v>
      </c>
      <c r="F5114">
        <v>20140108</v>
      </c>
      <c r="G5114" t="s">
        <v>464</v>
      </c>
      <c r="H5114" t="s">
        <v>454</v>
      </c>
      <c r="I5114" t="s">
        <v>21</v>
      </c>
    </row>
    <row r="5115" spans="1:9" x14ac:dyDescent="0.25">
      <c r="A5115">
        <v>20140109</v>
      </c>
      <c r="B5115" t="str">
        <f t="shared" si="331"/>
        <v>113438</v>
      </c>
      <c r="C5115" t="str">
        <f t="shared" si="332"/>
        <v>52460</v>
      </c>
      <c r="D5115" t="s">
        <v>452</v>
      </c>
      <c r="E5115">
        <v>459.12</v>
      </c>
      <c r="F5115">
        <v>20140108</v>
      </c>
      <c r="G5115" t="s">
        <v>465</v>
      </c>
      <c r="H5115" t="s">
        <v>454</v>
      </c>
      <c r="I5115" t="s">
        <v>21</v>
      </c>
    </row>
    <row r="5116" spans="1:9" x14ac:dyDescent="0.25">
      <c r="A5116">
        <v>20140109</v>
      </c>
      <c r="B5116" t="str">
        <f t="shared" si="331"/>
        <v>113438</v>
      </c>
      <c r="C5116" t="str">
        <f t="shared" si="332"/>
        <v>52460</v>
      </c>
      <c r="D5116" t="s">
        <v>452</v>
      </c>
      <c r="E5116">
        <v>701.7</v>
      </c>
      <c r="F5116">
        <v>20140108</v>
      </c>
      <c r="G5116" t="s">
        <v>466</v>
      </c>
      <c r="H5116" t="s">
        <v>454</v>
      </c>
      <c r="I5116" t="s">
        <v>21</v>
      </c>
    </row>
    <row r="5117" spans="1:9" x14ac:dyDescent="0.25">
      <c r="A5117">
        <v>20140109</v>
      </c>
      <c r="B5117" t="str">
        <f t="shared" si="331"/>
        <v>113438</v>
      </c>
      <c r="C5117" t="str">
        <f t="shared" si="332"/>
        <v>52460</v>
      </c>
      <c r="D5117" t="s">
        <v>452</v>
      </c>
      <c r="E5117">
        <v>272.37</v>
      </c>
      <c r="F5117">
        <v>20140108</v>
      </c>
      <c r="G5117" t="s">
        <v>467</v>
      </c>
      <c r="H5117" t="s">
        <v>454</v>
      </c>
      <c r="I5117" t="s">
        <v>21</v>
      </c>
    </row>
    <row r="5118" spans="1:9" x14ac:dyDescent="0.25">
      <c r="A5118">
        <v>20140109</v>
      </c>
      <c r="B5118" t="str">
        <f>"113439"</f>
        <v>113439</v>
      </c>
      <c r="C5118" t="str">
        <f>"87563"</f>
        <v>87563</v>
      </c>
      <c r="D5118" t="s">
        <v>2427</v>
      </c>
      <c r="E5118">
        <v>226</v>
      </c>
      <c r="F5118">
        <v>20140108</v>
      </c>
      <c r="G5118" t="s">
        <v>1193</v>
      </c>
      <c r="H5118" t="s">
        <v>1928</v>
      </c>
      <c r="I5118" t="s">
        <v>25</v>
      </c>
    </row>
    <row r="5119" spans="1:9" x14ac:dyDescent="0.25">
      <c r="A5119">
        <v>20140109</v>
      </c>
      <c r="B5119" t="str">
        <f>"113439"</f>
        <v>113439</v>
      </c>
      <c r="C5119" t="str">
        <f>"87563"</f>
        <v>87563</v>
      </c>
      <c r="D5119" t="s">
        <v>2427</v>
      </c>
      <c r="E5119" s="1">
        <v>1062</v>
      </c>
      <c r="F5119">
        <v>20140108</v>
      </c>
      <c r="G5119" t="s">
        <v>1193</v>
      </c>
      <c r="H5119" t="s">
        <v>1928</v>
      </c>
      <c r="I5119" t="s">
        <v>25</v>
      </c>
    </row>
    <row r="5120" spans="1:9" x14ac:dyDescent="0.25">
      <c r="A5120">
        <v>20140109</v>
      </c>
      <c r="B5120" t="str">
        <f>"113440"</f>
        <v>113440</v>
      </c>
      <c r="C5120" t="str">
        <f>"87466"</f>
        <v>87466</v>
      </c>
      <c r="D5120" t="s">
        <v>468</v>
      </c>
      <c r="E5120">
        <v>140</v>
      </c>
      <c r="F5120">
        <v>20140108</v>
      </c>
      <c r="G5120" t="s">
        <v>469</v>
      </c>
      <c r="H5120" t="s">
        <v>501</v>
      </c>
      <c r="I5120" t="s">
        <v>21</v>
      </c>
    </row>
    <row r="5121" spans="1:9" x14ac:dyDescent="0.25">
      <c r="A5121">
        <v>20140109</v>
      </c>
      <c r="B5121" t="str">
        <f>"113441"</f>
        <v>113441</v>
      </c>
      <c r="C5121" t="str">
        <f>"05800"</f>
        <v>05800</v>
      </c>
      <c r="D5121" t="s">
        <v>998</v>
      </c>
      <c r="E5121">
        <v>599.98</v>
      </c>
      <c r="F5121">
        <v>20140108</v>
      </c>
      <c r="G5121" t="s">
        <v>1067</v>
      </c>
      <c r="H5121" t="s">
        <v>2824</v>
      </c>
      <c r="I5121" t="s">
        <v>21</v>
      </c>
    </row>
    <row r="5122" spans="1:9" x14ac:dyDescent="0.25">
      <c r="A5122">
        <v>20140109</v>
      </c>
      <c r="B5122" t="str">
        <f>"113442"</f>
        <v>113442</v>
      </c>
      <c r="C5122" t="str">
        <f>"87679"</f>
        <v>87679</v>
      </c>
      <c r="D5122" t="s">
        <v>2825</v>
      </c>
      <c r="E5122">
        <v>120</v>
      </c>
      <c r="F5122">
        <v>20140107</v>
      </c>
      <c r="G5122" t="s">
        <v>1846</v>
      </c>
      <c r="H5122" t="s">
        <v>765</v>
      </c>
      <c r="I5122" t="s">
        <v>63</v>
      </c>
    </row>
    <row r="5123" spans="1:9" x14ac:dyDescent="0.25">
      <c r="A5123">
        <v>20140109</v>
      </c>
      <c r="B5123" t="str">
        <f>"113443"</f>
        <v>113443</v>
      </c>
      <c r="C5123" t="str">
        <f>"00500"</f>
        <v>00500</v>
      </c>
      <c r="D5123" t="s">
        <v>486</v>
      </c>
      <c r="E5123" s="1">
        <v>10437.26</v>
      </c>
      <c r="F5123">
        <v>20140108</v>
      </c>
      <c r="G5123" t="s">
        <v>487</v>
      </c>
      <c r="H5123" t="s">
        <v>488</v>
      </c>
      <c r="I5123" t="s">
        <v>21</v>
      </c>
    </row>
    <row r="5124" spans="1:9" x14ac:dyDescent="0.25">
      <c r="A5124">
        <v>20140109</v>
      </c>
      <c r="B5124" t="str">
        <f>"113444"</f>
        <v>113444</v>
      </c>
      <c r="C5124" t="str">
        <f>"00500"</f>
        <v>00500</v>
      </c>
      <c r="D5124" t="s">
        <v>486</v>
      </c>
      <c r="E5124" s="1">
        <v>9279.82</v>
      </c>
      <c r="F5124">
        <v>20140108</v>
      </c>
      <c r="G5124" t="s">
        <v>1182</v>
      </c>
      <c r="H5124" t="s">
        <v>488</v>
      </c>
      <c r="I5124" t="s">
        <v>21</v>
      </c>
    </row>
    <row r="5125" spans="1:9" x14ac:dyDescent="0.25">
      <c r="A5125">
        <v>20140109</v>
      </c>
      <c r="B5125" t="str">
        <f>"113445"</f>
        <v>113445</v>
      </c>
      <c r="C5125" t="str">
        <f>"00500"</f>
        <v>00500</v>
      </c>
      <c r="D5125" t="s">
        <v>486</v>
      </c>
      <c r="E5125" s="1">
        <v>3262.2</v>
      </c>
      <c r="F5125">
        <v>20140108</v>
      </c>
      <c r="G5125" t="s">
        <v>1705</v>
      </c>
      <c r="H5125" t="s">
        <v>488</v>
      </c>
      <c r="I5125" t="s">
        <v>21</v>
      </c>
    </row>
    <row r="5126" spans="1:9" x14ac:dyDescent="0.25">
      <c r="A5126">
        <v>20140109</v>
      </c>
      <c r="B5126" t="str">
        <f>"113446"</f>
        <v>113446</v>
      </c>
      <c r="C5126" t="str">
        <f>"00500"</f>
        <v>00500</v>
      </c>
      <c r="D5126" t="s">
        <v>486</v>
      </c>
      <c r="E5126">
        <v>722.01</v>
      </c>
      <c r="F5126">
        <v>20140108</v>
      </c>
      <c r="G5126" t="s">
        <v>1705</v>
      </c>
      <c r="H5126" t="s">
        <v>488</v>
      </c>
      <c r="I5126" t="s">
        <v>21</v>
      </c>
    </row>
    <row r="5127" spans="1:9" x14ac:dyDescent="0.25">
      <c r="A5127">
        <v>20140109</v>
      </c>
      <c r="B5127" t="str">
        <f>"113447"</f>
        <v>113447</v>
      </c>
      <c r="C5127" t="str">
        <f>"00500"</f>
        <v>00500</v>
      </c>
      <c r="D5127" t="s">
        <v>486</v>
      </c>
      <c r="E5127">
        <v>405.5</v>
      </c>
      <c r="F5127">
        <v>20140108</v>
      </c>
      <c r="G5127" t="s">
        <v>1705</v>
      </c>
      <c r="H5127" t="s">
        <v>488</v>
      </c>
      <c r="I5127" t="s">
        <v>21</v>
      </c>
    </row>
    <row r="5128" spans="1:9" x14ac:dyDescent="0.25">
      <c r="A5128">
        <v>20140109</v>
      </c>
      <c r="B5128" t="str">
        <f>"113448"</f>
        <v>113448</v>
      </c>
      <c r="C5128" t="str">
        <f>"87687"</f>
        <v>87687</v>
      </c>
      <c r="D5128" t="s">
        <v>2826</v>
      </c>
      <c r="E5128">
        <v>85</v>
      </c>
      <c r="F5128">
        <v>20140108</v>
      </c>
      <c r="G5128" t="s">
        <v>2820</v>
      </c>
      <c r="H5128" t="s">
        <v>765</v>
      </c>
      <c r="I5128" t="s">
        <v>61</v>
      </c>
    </row>
    <row r="5129" spans="1:9" x14ac:dyDescent="0.25">
      <c r="A5129">
        <v>20140109</v>
      </c>
      <c r="B5129" t="str">
        <f t="shared" ref="B5129:B5140" si="333">"113449"</f>
        <v>113449</v>
      </c>
      <c r="C5129" t="str">
        <f t="shared" ref="C5129:C5140" si="334">"00255"</f>
        <v>00255</v>
      </c>
      <c r="D5129" t="s">
        <v>489</v>
      </c>
      <c r="E5129">
        <v>247.16</v>
      </c>
      <c r="F5129">
        <v>20140108</v>
      </c>
      <c r="G5129" t="s">
        <v>1183</v>
      </c>
      <c r="H5129" t="s">
        <v>488</v>
      </c>
      <c r="I5129" t="s">
        <v>21</v>
      </c>
    </row>
    <row r="5130" spans="1:9" x14ac:dyDescent="0.25">
      <c r="A5130">
        <v>20140109</v>
      </c>
      <c r="B5130" t="str">
        <f t="shared" si="333"/>
        <v>113449</v>
      </c>
      <c r="C5130" t="str">
        <f t="shared" si="334"/>
        <v>00255</v>
      </c>
      <c r="D5130" t="s">
        <v>489</v>
      </c>
      <c r="E5130" s="1">
        <v>2926.95</v>
      </c>
      <c r="F5130">
        <v>20140108</v>
      </c>
      <c r="G5130" t="s">
        <v>1183</v>
      </c>
      <c r="H5130" t="s">
        <v>488</v>
      </c>
      <c r="I5130" t="s">
        <v>21</v>
      </c>
    </row>
    <row r="5131" spans="1:9" x14ac:dyDescent="0.25">
      <c r="A5131">
        <v>20140109</v>
      </c>
      <c r="B5131" t="str">
        <f t="shared" si="333"/>
        <v>113449</v>
      </c>
      <c r="C5131" t="str">
        <f t="shared" si="334"/>
        <v>00255</v>
      </c>
      <c r="D5131" t="s">
        <v>489</v>
      </c>
      <c r="E5131" s="1">
        <v>3254.31</v>
      </c>
      <c r="F5131">
        <v>20140108</v>
      </c>
      <c r="G5131" t="s">
        <v>490</v>
      </c>
      <c r="H5131" t="s">
        <v>488</v>
      </c>
      <c r="I5131" t="s">
        <v>21</v>
      </c>
    </row>
    <row r="5132" spans="1:9" x14ac:dyDescent="0.25">
      <c r="A5132">
        <v>20140109</v>
      </c>
      <c r="B5132" t="str">
        <f t="shared" si="333"/>
        <v>113449</v>
      </c>
      <c r="C5132" t="str">
        <f t="shared" si="334"/>
        <v>00255</v>
      </c>
      <c r="D5132" t="s">
        <v>489</v>
      </c>
      <c r="E5132">
        <v>38.380000000000003</v>
      </c>
      <c r="F5132">
        <v>20140108</v>
      </c>
      <c r="G5132" t="s">
        <v>490</v>
      </c>
      <c r="H5132" t="s">
        <v>488</v>
      </c>
      <c r="I5132" t="s">
        <v>21</v>
      </c>
    </row>
    <row r="5133" spans="1:9" x14ac:dyDescent="0.25">
      <c r="A5133">
        <v>20140109</v>
      </c>
      <c r="B5133" t="str">
        <f t="shared" si="333"/>
        <v>113449</v>
      </c>
      <c r="C5133" t="str">
        <f t="shared" si="334"/>
        <v>00255</v>
      </c>
      <c r="D5133" t="s">
        <v>489</v>
      </c>
      <c r="E5133">
        <v>276.2</v>
      </c>
      <c r="F5133">
        <v>20140108</v>
      </c>
      <c r="G5133" t="s">
        <v>490</v>
      </c>
      <c r="H5133" t="s">
        <v>488</v>
      </c>
      <c r="I5133" t="s">
        <v>21</v>
      </c>
    </row>
    <row r="5134" spans="1:9" x14ac:dyDescent="0.25">
      <c r="A5134">
        <v>20140109</v>
      </c>
      <c r="B5134" t="str">
        <f t="shared" si="333"/>
        <v>113449</v>
      </c>
      <c r="C5134" t="str">
        <f t="shared" si="334"/>
        <v>00255</v>
      </c>
      <c r="D5134" t="s">
        <v>489</v>
      </c>
      <c r="E5134" s="1">
        <v>1779.69</v>
      </c>
      <c r="F5134">
        <v>20140108</v>
      </c>
      <c r="G5134" t="s">
        <v>1184</v>
      </c>
      <c r="H5134" t="s">
        <v>488</v>
      </c>
      <c r="I5134" t="s">
        <v>21</v>
      </c>
    </row>
    <row r="5135" spans="1:9" x14ac:dyDescent="0.25">
      <c r="A5135">
        <v>20140109</v>
      </c>
      <c r="B5135" t="str">
        <f t="shared" si="333"/>
        <v>113449</v>
      </c>
      <c r="C5135" t="str">
        <f t="shared" si="334"/>
        <v>00255</v>
      </c>
      <c r="D5135" t="s">
        <v>489</v>
      </c>
      <c r="E5135" s="1">
        <v>1655.2</v>
      </c>
      <c r="F5135">
        <v>20140108</v>
      </c>
      <c r="G5135" t="s">
        <v>491</v>
      </c>
      <c r="H5135" t="s">
        <v>488</v>
      </c>
      <c r="I5135" t="s">
        <v>21</v>
      </c>
    </row>
    <row r="5136" spans="1:9" x14ac:dyDescent="0.25">
      <c r="A5136">
        <v>20140109</v>
      </c>
      <c r="B5136" t="str">
        <f t="shared" si="333"/>
        <v>113449</v>
      </c>
      <c r="C5136" t="str">
        <f t="shared" si="334"/>
        <v>00255</v>
      </c>
      <c r="D5136" t="s">
        <v>489</v>
      </c>
      <c r="E5136" s="1">
        <v>2244.3200000000002</v>
      </c>
      <c r="F5136">
        <v>20140108</v>
      </c>
      <c r="G5136" t="s">
        <v>1185</v>
      </c>
      <c r="H5136" t="s">
        <v>488</v>
      </c>
      <c r="I5136" t="s">
        <v>21</v>
      </c>
    </row>
    <row r="5137" spans="1:9" x14ac:dyDescent="0.25">
      <c r="A5137">
        <v>20140109</v>
      </c>
      <c r="B5137" t="str">
        <f t="shared" si="333"/>
        <v>113449</v>
      </c>
      <c r="C5137" t="str">
        <f t="shared" si="334"/>
        <v>00255</v>
      </c>
      <c r="D5137" t="s">
        <v>489</v>
      </c>
      <c r="E5137" s="1">
        <v>1379.52</v>
      </c>
      <c r="F5137">
        <v>20140108</v>
      </c>
      <c r="G5137" t="s">
        <v>492</v>
      </c>
      <c r="H5137" t="s">
        <v>488</v>
      </c>
      <c r="I5137" t="s">
        <v>21</v>
      </c>
    </row>
    <row r="5138" spans="1:9" x14ac:dyDescent="0.25">
      <c r="A5138">
        <v>20140109</v>
      </c>
      <c r="B5138" t="str">
        <f t="shared" si="333"/>
        <v>113449</v>
      </c>
      <c r="C5138" t="str">
        <f t="shared" si="334"/>
        <v>00255</v>
      </c>
      <c r="D5138" t="s">
        <v>489</v>
      </c>
      <c r="E5138">
        <v>167.28</v>
      </c>
      <c r="F5138">
        <v>20140108</v>
      </c>
      <c r="G5138" t="s">
        <v>492</v>
      </c>
      <c r="H5138" t="s">
        <v>488</v>
      </c>
      <c r="I5138" t="s">
        <v>21</v>
      </c>
    </row>
    <row r="5139" spans="1:9" x14ac:dyDescent="0.25">
      <c r="A5139">
        <v>20140109</v>
      </c>
      <c r="B5139" t="str">
        <f t="shared" si="333"/>
        <v>113449</v>
      </c>
      <c r="C5139" t="str">
        <f t="shared" si="334"/>
        <v>00255</v>
      </c>
      <c r="D5139" t="s">
        <v>489</v>
      </c>
      <c r="E5139">
        <v>763.63</v>
      </c>
      <c r="F5139">
        <v>20140108</v>
      </c>
      <c r="G5139" t="s">
        <v>1352</v>
      </c>
      <c r="H5139" t="s">
        <v>488</v>
      </c>
      <c r="I5139" t="s">
        <v>21</v>
      </c>
    </row>
    <row r="5140" spans="1:9" x14ac:dyDescent="0.25">
      <c r="A5140">
        <v>20140109</v>
      </c>
      <c r="B5140" t="str">
        <f t="shared" si="333"/>
        <v>113449</v>
      </c>
      <c r="C5140" t="str">
        <f t="shared" si="334"/>
        <v>00255</v>
      </c>
      <c r="D5140" t="s">
        <v>489</v>
      </c>
      <c r="E5140">
        <v>897.04</v>
      </c>
      <c r="F5140">
        <v>20140108</v>
      </c>
      <c r="G5140" t="s">
        <v>494</v>
      </c>
      <c r="H5140" t="s">
        <v>488</v>
      </c>
      <c r="I5140" t="s">
        <v>21</v>
      </c>
    </row>
    <row r="5141" spans="1:9" x14ac:dyDescent="0.25">
      <c r="A5141">
        <v>20140109</v>
      </c>
      <c r="B5141" t="str">
        <f>"113450"</f>
        <v>113450</v>
      </c>
      <c r="C5141" t="str">
        <f>"86456"</f>
        <v>86456</v>
      </c>
      <c r="D5141" t="s">
        <v>495</v>
      </c>
      <c r="E5141" s="1">
        <v>1167.42</v>
      </c>
      <c r="F5141">
        <v>20140108</v>
      </c>
      <c r="G5141" t="s">
        <v>413</v>
      </c>
      <c r="H5141" t="s">
        <v>414</v>
      </c>
      <c r="I5141" t="s">
        <v>21</v>
      </c>
    </row>
    <row r="5142" spans="1:9" x14ac:dyDescent="0.25">
      <c r="A5142">
        <v>20140109</v>
      </c>
      <c r="B5142" t="str">
        <f>"113450"</f>
        <v>113450</v>
      </c>
      <c r="C5142" t="str">
        <f>"86456"</f>
        <v>86456</v>
      </c>
      <c r="D5142" t="s">
        <v>495</v>
      </c>
      <c r="E5142">
        <v>316.44</v>
      </c>
      <c r="F5142">
        <v>20140108</v>
      </c>
      <c r="G5142" t="s">
        <v>482</v>
      </c>
      <c r="H5142" t="s">
        <v>414</v>
      </c>
      <c r="I5142" t="s">
        <v>21</v>
      </c>
    </row>
    <row r="5143" spans="1:9" x14ac:dyDescent="0.25">
      <c r="A5143">
        <v>20140109</v>
      </c>
      <c r="B5143" t="str">
        <f>"113450"</f>
        <v>113450</v>
      </c>
      <c r="C5143" t="str">
        <f>"86456"</f>
        <v>86456</v>
      </c>
      <c r="D5143" t="s">
        <v>495</v>
      </c>
      <c r="E5143">
        <v>7.98</v>
      </c>
      <c r="F5143">
        <v>20140108</v>
      </c>
      <c r="G5143" t="s">
        <v>415</v>
      </c>
      <c r="H5143" t="s">
        <v>414</v>
      </c>
      <c r="I5143" t="s">
        <v>21</v>
      </c>
    </row>
    <row r="5144" spans="1:9" x14ac:dyDescent="0.25">
      <c r="A5144">
        <v>20140109</v>
      </c>
      <c r="B5144" t="str">
        <f>"113451"</f>
        <v>113451</v>
      </c>
      <c r="C5144" t="str">
        <f>"09575"</f>
        <v>09575</v>
      </c>
      <c r="D5144" t="s">
        <v>2109</v>
      </c>
      <c r="E5144" s="1">
        <v>1130</v>
      </c>
      <c r="F5144">
        <v>20140108</v>
      </c>
      <c r="G5144" t="s">
        <v>1052</v>
      </c>
      <c r="H5144" t="s">
        <v>738</v>
      </c>
      <c r="I5144" t="s">
        <v>25</v>
      </c>
    </row>
    <row r="5145" spans="1:9" x14ac:dyDescent="0.25">
      <c r="A5145">
        <v>20140109</v>
      </c>
      <c r="B5145" t="str">
        <f>"113452"</f>
        <v>113452</v>
      </c>
      <c r="C5145" t="str">
        <f>"09600"</f>
        <v>09600</v>
      </c>
      <c r="D5145" t="s">
        <v>497</v>
      </c>
      <c r="E5145" s="1">
        <v>2836.9</v>
      </c>
      <c r="F5145">
        <v>20140108</v>
      </c>
      <c r="G5145" t="s">
        <v>498</v>
      </c>
      <c r="H5145" t="s">
        <v>499</v>
      </c>
      <c r="I5145" t="s">
        <v>21</v>
      </c>
    </row>
    <row r="5146" spans="1:9" x14ac:dyDescent="0.25">
      <c r="A5146">
        <v>20140109</v>
      </c>
      <c r="B5146" t="str">
        <f>"113453"</f>
        <v>113453</v>
      </c>
      <c r="C5146" t="str">
        <f>"87677"</f>
        <v>87677</v>
      </c>
      <c r="D5146" t="s">
        <v>2827</v>
      </c>
      <c r="E5146">
        <v>120</v>
      </c>
      <c r="F5146">
        <v>20140107</v>
      </c>
      <c r="G5146" t="s">
        <v>1846</v>
      </c>
      <c r="H5146" t="s">
        <v>765</v>
      </c>
      <c r="I5146" t="s">
        <v>63</v>
      </c>
    </row>
    <row r="5147" spans="1:9" x14ac:dyDescent="0.25">
      <c r="A5147">
        <v>20140109</v>
      </c>
      <c r="B5147" t="str">
        <f>"113454"</f>
        <v>113454</v>
      </c>
      <c r="C5147" t="str">
        <f>"86670"</f>
        <v>86670</v>
      </c>
      <c r="D5147" t="s">
        <v>2828</v>
      </c>
      <c r="E5147">
        <v>160</v>
      </c>
      <c r="F5147">
        <v>20140107</v>
      </c>
      <c r="G5147" t="s">
        <v>2324</v>
      </c>
      <c r="H5147" t="s">
        <v>765</v>
      </c>
      <c r="I5147" t="s">
        <v>61</v>
      </c>
    </row>
    <row r="5148" spans="1:9" x14ac:dyDescent="0.25">
      <c r="A5148">
        <v>20140109</v>
      </c>
      <c r="B5148" t="str">
        <f>"113454"</f>
        <v>113454</v>
      </c>
      <c r="C5148" t="str">
        <f>"86670"</f>
        <v>86670</v>
      </c>
      <c r="D5148" t="s">
        <v>2828</v>
      </c>
      <c r="E5148">
        <v>85</v>
      </c>
      <c r="F5148">
        <v>20140108</v>
      </c>
      <c r="G5148" t="s">
        <v>2820</v>
      </c>
      <c r="H5148" t="s">
        <v>765</v>
      </c>
      <c r="I5148" t="s">
        <v>61</v>
      </c>
    </row>
    <row r="5149" spans="1:9" x14ac:dyDescent="0.25">
      <c r="A5149">
        <v>20140109</v>
      </c>
      <c r="B5149" t="str">
        <f>"113455"</f>
        <v>113455</v>
      </c>
      <c r="C5149" t="str">
        <f>"83087"</f>
        <v>83087</v>
      </c>
      <c r="D5149" t="s">
        <v>2829</v>
      </c>
      <c r="E5149">
        <v>23.54</v>
      </c>
      <c r="F5149">
        <v>20140108</v>
      </c>
      <c r="G5149" t="s">
        <v>39</v>
      </c>
      <c r="H5149" t="s">
        <v>354</v>
      </c>
      <c r="I5149" t="s">
        <v>38</v>
      </c>
    </row>
    <row r="5150" spans="1:9" x14ac:dyDescent="0.25">
      <c r="A5150">
        <v>20140109</v>
      </c>
      <c r="B5150" t="str">
        <f>"113456"</f>
        <v>113456</v>
      </c>
      <c r="C5150" t="str">
        <f>"87643"</f>
        <v>87643</v>
      </c>
      <c r="D5150" t="s">
        <v>2481</v>
      </c>
      <c r="E5150">
        <v>232.15</v>
      </c>
      <c r="F5150">
        <v>20140107</v>
      </c>
      <c r="G5150" t="s">
        <v>2324</v>
      </c>
      <c r="H5150" t="s">
        <v>765</v>
      </c>
      <c r="I5150" t="s">
        <v>61</v>
      </c>
    </row>
    <row r="5151" spans="1:9" x14ac:dyDescent="0.25">
      <c r="A5151">
        <v>20140109</v>
      </c>
      <c r="B5151" t="str">
        <f>"113457"</f>
        <v>113457</v>
      </c>
      <c r="C5151" t="str">
        <f>"12392"</f>
        <v>12392</v>
      </c>
      <c r="D5151" t="s">
        <v>1196</v>
      </c>
      <c r="E5151">
        <v>26.33</v>
      </c>
      <c r="F5151">
        <v>20140107</v>
      </c>
      <c r="G5151" t="s">
        <v>1960</v>
      </c>
      <c r="H5151" t="s">
        <v>563</v>
      </c>
      <c r="I5151" t="s">
        <v>21</v>
      </c>
    </row>
    <row r="5152" spans="1:9" x14ac:dyDescent="0.25">
      <c r="A5152">
        <v>20140109</v>
      </c>
      <c r="B5152" t="str">
        <f t="shared" ref="B5152:B5166" si="335">"113458"</f>
        <v>113458</v>
      </c>
      <c r="C5152" t="str">
        <f t="shared" ref="C5152:C5166" si="336">"86533"</f>
        <v>86533</v>
      </c>
      <c r="D5152" t="s">
        <v>505</v>
      </c>
      <c r="E5152">
        <v>45</v>
      </c>
      <c r="F5152">
        <v>20140108</v>
      </c>
      <c r="G5152" t="s">
        <v>794</v>
      </c>
      <c r="H5152" t="s">
        <v>525</v>
      </c>
      <c r="I5152" t="s">
        <v>21</v>
      </c>
    </row>
    <row r="5153" spans="1:9" x14ac:dyDescent="0.25">
      <c r="A5153">
        <v>20140109</v>
      </c>
      <c r="B5153" t="str">
        <f t="shared" si="335"/>
        <v>113458</v>
      </c>
      <c r="C5153" t="str">
        <f t="shared" si="336"/>
        <v>86533</v>
      </c>
      <c r="D5153" t="s">
        <v>505</v>
      </c>
      <c r="E5153">
        <v>100</v>
      </c>
      <c r="F5153">
        <v>20140108</v>
      </c>
      <c r="G5153" t="s">
        <v>794</v>
      </c>
      <c r="H5153" t="s">
        <v>525</v>
      </c>
      <c r="I5153" t="s">
        <v>21</v>
      </c>
    </row>
    <row r="5154" spans="1:9" x14ac:dyDescent="0.25">
      <c r="A5154">
        <v>20140109</v>
      </c>
      <c r="B5154" t="str">
        <f t="shared" si="335"/>
        <v>113458</v>
      </c>
      <c r="C5154" t="str">
        <f t="shared" si="336"/>
        <v>86533</v>
      </c>
      <c r="D5154" t="s">
        <v>505</v>
      </c>
      <c r="E5154">
        <v>30</v>
      </c>
      <c r="F5154">
        <v>20140108</v>
      </c>
      <c r="G5154" t="s">
        <v>794</v>
      </c>
      <c r="H5154" t="s">
        <v>525</v>
      </c>
      <c r="I5154" t="s">
        <v>21</v>
      </c>
    </row>
    <row r="5155" spans="1:9" x14ac:dyDescent="0.25">
      <c r="A5155">
        <v>20140109</v>
      </c>
      <c r="B5155" t="str">
        <f t="shared" si="335"/>
        <v>113458</v>
      </c>
      <c r="C5155" t="str">
        <f t="shared" si="336"/>
        <v>86533</v>
      </c>
      <c r="D5155" t="s">
        <v>505</v>
      </c>
      <c r="E5155">
        <v>20</v>
      </c>
      <c r="F5155">
        <v>20140108</v>
      </c>
      <c r="G5155" t="s">
        <v>794</v>
      </c>
      <c r="H5155" t="s">
        <v>525</v>
      </c>
      <c r="I5155" t="s">
        <v>21</v>
      </c>
    </row>
    <row r="5156" spans="1:9" x14ac:dyDescent="0.25">
      <c r="A5156">
        <v>20140109</v>
      </c>
      <c r="B5156" t="str">
        <f t="shared" si="335"/>
        <v>113458</v>
      </c>
      <c r="C5156" t="str">
        <f t="shared" si="336"/>
        <v>86533</v>
      </c>
      <c r="D5156" t="s">
        <v>505</v>
      </c>
      <c r="E5156">
        <v>199.9</v>
      </c>
      <c r="F5156">
        <v>20140108</v>
      </c>
      <c r="G5156" t="s">
        <v>506</v>
      </c>
      <c r="H5156" t="s">
        <v>414</v>
      </c>
      <c r="I5156" t="s">
        <v>21</v>
      </c>
    </row>
    <row r="5157" spans="1:9" x14ac:dyDescent="0.25">
      <c r="A5157">
        <v>20140109</v>
      </c>
      <c r="B5157" t="str">
        <f t="shared" si="335"/>
        <v>113458</v>
      </c>
      <c r="C5157" t="str">
        <f t="shared" si="336"/>
        <v>86533</v>
      </c>
      <c r="D5157" t="s">
        <v>505</v>
      </c>
      <c r="E5157">
        <v>59.28</v>
      </c>
      <c r="F5157">
        <v>20140108</v>
      </c>
      <c r="G5157" t="s">
        <v>506</v>
      </c>
      <c r="H5157" t="s">
        <v>414</v>
      </c>
      <c r="I5157" t="s">
        <v>21</v>
      </c>
    </row>
    <row r="5158" spans="1:9" x14ac:dyDescent="0.25">
      <c r="A5158">
        <v>20140109</v>
      </c>
      <c r="B5158" t="str">
        <f t="shared" si="335"/>
        <v>113458</v>
      </c>
      <c r="C5158" t="str">
        <f t="shared" si="336"/>
        <v>86533</v>
      </c>
      <c r="D5158" t="s">
        <v>505</v>
      </c>
      <c r="E5158" s="1">
        <v>1377.57</v>
      </c>
      <c r="F5158">
        <v>20140108</v>
      </c>
      <c r="G5158" t="s">
        <v>506</v>
      </c>
      <c r="H5158" t="s">
        <v>414</v>
      </c>
      <c r="I5158" t="s">
        <v>21</v>
      </c>
    </row>
    <row r="5159" spans="1:9" x14ac:dyDescent="0.25">
      <c r="A5159">
        <v>20140109</v>
      </c>
      <c r="B5159" t="str">
        <f t="shared" si="335"/>
        <v>113458</v>
      </c>
      <c r="C5159" t="str">
        <f t="shared" si="336"/>
        <v>86533</v>
      </c>
      <c r="D5159" t="s">
        <v>505</v>
      </c>
      <c r="E5159">
        <v>105</v>
      </c>
      <c r="F5159">
        <v>20140108</v>
      </c>
      <c r="G5159" t="s">
        <v>506</v>
      </c>
      <c r="H5159" t="s">
        <v>414</v>
      </c>
      <c r="I5159" t="s">
        <v>21</v>
      </c>
    </row>
    <row r="5160" spans="1:9" x14ac:dyDescent="0.25">
      <c r="A5160">
        <v>20140109</v>
      </c>
      <c r="B5160" t="str">
        <f t="shared" si="335"/>
        <v>113458</v>
      </c>
      <c r="C5160" t="str">
        <f t="shared" si="336"/>
        <v>86533</v>
      </c>
      <c r="D5160" t="s">
        <v>505</v>
      </c>
      <c r="E5160">
        <v>18</v>
      </c>
      <c r="F5160">
        <v>20140108</v>
      </c>
      <c r="G5160" t="s">
        <v>1640</v>
      </c>
      <c r="H5160" t="s">
        <v>414</v>
      </c>
      <c r="I5160" t="s">
        <v>21</v>
      </c>
    </row>
    <row r="5161" spans="1:9" x14ac:dyDescent="0.25">
      <c r="A5161">
        <v>20140109</v>
      </c>
      <c r="B5161" t="str">
        <f t="shared" si="335"/>
        <v>113458</v>
      </c>
      <c r="C5161" t="str">
        <f t="shared" si="336"/>
        <v>86533</v>
      </c>
      <c r="D5161" t="s">
        <v>505</v>
      </c>
      <c r="E5161">
        <v>29.19</v>
      </c>
      <c r="F5161">
        <v>20140108</v>
      </c>
      <c r="G5161" t="s">
        <v>1640</v>
      </c>
      <c r="H5161" t="s">
        <v>414</v>
      </c>
      <c r="I5161" t="s">
        <v>21</v>
      </c>
    </row>
    <row r="5162" spans="1:9" x14ac:dyDescent="0.25">
      <c r="A5162">
        <v>20140109</v>
      </c>
      <c r="B5162" t="str">
        <f t="shared" si="335"/>
        <v>113458</v>
      </c>
      <c r="C5162" t="str">
        <f t="shared" si="336"/>
        <v>86533</v>
      </c>
      <c r="D5162" t="s">
        <v>505</v>
      </c>
      <c r="E5162">
        <v>7.95</v>
      </c>
      <c r="F5162">
        <v>20140108</v>
      </c>
      <c r="G5162" t="s">
        <v>1640</v>
      </c>
      <c r="H5162" t="s">
        <v>414</v>
      </c>
      <c r="I5162" t="s">
        <v>21</v>
      </c>
    </row>
    <row r="5163" spans="1:9" x14ac:dyDescent="0.25">
      <c r="A5163">
        <v>20140109</v>
      </c>
      <c r="B5163" t="str">
        <f t="shared" si="335"/>
        <v>113458</v>
      </c>
      <c r="C5163" t="str">
        <f t="shared" si="336"/>
        <v>86533</v>
      </c>
      <c r="D5163" t="s">
        <v>505</v>
      </c>
      <c r="E5163">
        <v>58.8</v>
      </c>
      <c r="F5163">
        <v>20140108</v>
      </c>
      <c r="G5163" t="s">
        <v>1640</v>
      </c>
      <c r="H5163" t="s">
        <v>414</v>
      </c>
      <c r="I5163" t="s">
        <v>21</v>
      </c>
    </row>
    <row r="5164" spans="1:9" x14ac:dyDescent="0.25">
      <c r="A5164">
        <v>20140109</v>
      </c>
      <c r="B5164" t="str">
        <f t="shared" si="335"/>
        <v>113458</v>
      </c>
      <c r="C5164" t="str">
        <f t="shared" si="336"/>
        <v>86533</v>
      </c>
      <c r="D5164" t="s">
        <v>505</v>
      </c>
      <c r="E5164">
        <v>29.8</v>
      </c>
      <c r="F5164">
        <v>20140108</v>
      </c>
      <c r="G5164" t="s">
        <v>1640</v>
      </c>
      <c r="H5164" t="s">
        <v>414</v>
      </c>
      <c r="I5164" t="s">
        <v>21</v>
      </c>
    </row>
    <row r="5165" spans="1:9" x14ac:dyDescent="0.25">
      <c r="A5165">
        <v>20140109</v>
      </c>
      <c r="B5165" t="str">
        <f t="shared" si="335"/>
        <v>113458</v>
      </c>
      <c r="C5165" t="str">
        <f t="shared" si="336"/>
        <v>86533</v>
      </c>
      <c r="D5165" t="s">
        <v>505</v>
      </c>
      <c r="E5165">
        <v>239.94</v>
      </c>
      <c r="F5165">
        <v>20140108</v>
      </c>
      <c r="G5165" t="s">
        <v>2122</v>
      </c>
      <c r="H5165" t="s">
        <v>414</v>
      </c>
      <c r="I5165" t="s">
        <v>21</v>
      </c>
    </row>
    <row r="5166" spans="1:9" x14ac:dyDescent="0.25">
      <c r="A5166">
        <v>20140109</v>
      </c>
      <c r="B5166" t="str">
        <f t="shared" si="335"/>
        <v>113458</v>
      </c>
      <c r="C5166" t="str">
        <f t="shared" si="336"/>
        <v>86533</v>
      </c>
      <c r="D5166" t="s">
        <v>505</v>
      </c>
      <c r="E5166">
        <v>16</v>
      </c>
      <c r="F5166">
        <v>20140108</v>
      </c>
      <c r="G5166" t="s">
        <v>124</v>
      </c>
      <c r="H5166" t="s">
        <v>414</v>
      </c>
      <c r="I5166" t="s">
        <v>38</v>
      </c>
    </row>
    <row r="5167" spans="1:9" x14ac:dyDescent="0.25">
      <c r="A5167">
        <v>20140109</v>
      </c>
      <c r="B5167" t="str">
        <f>"113459"</f>
        <v>113459</v>
      </c>
      <c r="C5167" t="str">
        <f>"86113"</f>
        <v>86113</v>
      </c>
      <c r="D5167" t="s">
        <v>2486</v>
      </c>
      <c r="E5167">
        <v>80</v>
      </c>
      <c r="F5167">
        <v>20140107</v>
      </c>
      <c r="G5167" t="s">
        <v>2324</v>
      </c>
      <c r="H5167" t="s">
        <v>765</v>
      </c>
      <c r="I5167" t="s">
        <v>61</v>
      </c>
    </row>
    <row r="5168" spans="1:9" x14ac:dyDescent="0.25">
      <c r="A5168">
        <v>20140109</v>
      </c>
      <c r="B5168" t="str">
        <f>"113460"</f>
        <v>113460</v>
      </c>
      <c r="C5168" t="str">
        <f>"83493"</f>
        <v>83493</v>
      </c>
      <c r="D5168" t="s">
        <v>509</v>
      </c>
      <c r="E5168">
        <v>130</v>
      </c>
      <c r="F5168">
        <v>20140107</v>
      </c>
      <c r="G5168" t="s">
        <v>819</v>
      </c>
      <c r="H5168" t="s">
        <v>357</v>
      </c>
      <c r="I5168" t="s">
        <v>63</v>
      </c>
    </row>
    <row r="5169" spans="1:9" x14ac:dyDescent="0.25">
      <c r="A5169">
        <v>20140109</v>
      </c>
      <c r="B5169" t="str">
        <f>"113460"</f>
        <v>113460</v>
      </c>
      <c r="C5169" t="str">
        <f>"83493"</f>
        <v>83493</v>
      </c>
      <c r="D5169" t="s">
        <v>509</v>
      </c>
      <c r="E5169">
        <v>400</v>
      </c>
      <c r="F5169">
        <v>20140107</v>
      </c>
      <c r="G5169" t="s">
        <v>819</v>
      </c>
      <c r="H5169" t="s">
        <v>357</v>
      </c>
      <c r="I5169" t="s">
        <v>63</v>
      </c>
    </row>
    <row r="5170" spans="1:9" x14ac:dyDescent="0.25">
      <c r="A5170">
        <v>20140109</v>
      </c>
      <c r="B5170" t="str">
        <f>"113461"</f>
        <v>113461</v>
      </c>
      <c r="C5170" t="str">
        <f>"87481"</f>
        <v>87481</v>
      </c>
      <c r="D5170" t="s">
        <v>2487</v>
      </c>
      <c r="E5170" s="1">
        <v>2998.72</v>
      </c>
      <c r="F5170">
        <v>20140108</v>
      </c>
      <c r="G5170" t="s">
        <v>1167</v>
      </c>
      <c r="H5170" t="s">
        <v>2830</v>
      </c>
      <c r="I5170" t="s">
        <v>21</v>
      </c>
    </row>
    <row r="5171" spans="1:9" x14ac:dyDescent="0.25">
      <c r="A5171">
        <v>20140109</v>
      </c>
      <c r="B5171" t="str">
        <f>"113462"</f>
        <v>113462</v>
      </c>
      <c r="C5171" t="str">
        <f>"86576"</f>
        <v>86576</v>
      </c>
      <c r="D5171" t="s">
        <v>409</v>
      </c>
      <c r="E5171">
        <v>31.95</v>
      </c>
      <c r="F5171">
        <v>20140108</v>
      </c>
      <c r="G5171" t="s">
        <v>410</v>
      </c>
      <c r="H5171" t="s">
        <v>411</v>
      </c>
      <c r="I5171" t="s">
        <v>12</v>
      </c>
    </row>
    <row r="5172" spans="1:9" x14ac:dyDescent="0.25">
      <c r="A5172">
        <v>20140109</v>
      </c>
      <c r="B5172" t="str">
        <f>"113463"</f>
        <v>113463</v>
      </c>
      <c r="C5172" t="str">
        <f>"87686"</f>
        <v>87686</v>
      </c>
      <c r="D5172" t="s">
        <v>2831</v>
      </c>
      <c r="E5172">
        <v>120</v>
      </c>
      <c r="F5172">
        <v>20140108</v>
      </c>
      <c r="G5172" t="s">
        <v>2324</v>
      </c>
      <c r="H5172" t="s">
        <v>765</v>
      </c>
      <c r="I5172" t="s">
        <v>61</v>
      </c>
    </row>
    <row r="5173" spans="1:9" x14ac:dyDescent="0.25">
      <c r="A5173">
        <v>20140109</v>
      </c>
      <c r="B5173" t="str">
        <f>"113464"</f>
        <v>113464</v>
      </c>
      <c r="C5173" t="str">
        <f>"18025"</f>
        <v>18025</v>
      </c>
      <c r="D5173" t="s">
        <v>514</v>
      </c>
      <c r="E5173">
        <v>400</v>
      </c>
      <c r="F5173">
        <v>20140107</v>
      </c>
      <c r="G5173" t="s">
        <v>819</v>
      </c>
      <c r="H5173" t="s">
        <v>357</v>
      </c>
      <c r="I5173" t="s">
        <v>63</v>
      </c>
    </row>
    <row r="5174" spans="1:9" x14ac:dyDescent="0.25">
      <c r="A5174">
        <v>20140109</v>
      </c>
      <c r="B5174" t="str">
        <f>"113465"</f>
        <v>113465</v>
      </c>
      <c r="C5174" t="str">
        <f>"87549"</f>
        <v>87549</v>
      </c>
      <c r="D5174" t="s">
        <v>1382</v>
      </c>
      <c r="E5174">
        <v>99.98</v>
      </c>
      <c r="F5174">
        <v>20140108</v>
      </c>
      <c r="G5174" t="s">
        <v>99</v>
      </c>
      <c r="H5174" t="s">
        <v>2633</v>
      </c>
      <c r="I5174" t="s">
        <v>21</v>
      </c>
    </row>
    <row r="5175" spans="1:9" x14ac:dyDescent="0.25">
      <c r="A5175">
        <v>20140109</v>
      </c>
      <c r="B5175" t="str">
        <f t="shared" ref="B5175:B5191" si="337">"113466"</f>
        <v>113466</v>
      </c>
      <c r="C5175" t="str">
        <f t="shared" ref="C5175:C5191" si="338">"18200"</f>
        <v>18200</v>
      </c>
      <c r="D5175" t="s">
        <v>516</v>
      </c>
      <c r="E5175">
        <v>99.12</v>
      </c>
      <c r="F5175">
        <v>20140108</v>
      </c>
      <c r="G5175" t="s">
        <v>456</v>
      </c>
      <c r="H5175" t="s">
        <v>488</v>
      </c>
      <c r="I5175" t="s">
        <v>21</v>
      </c>
    </row>
    <row r="5176" spans="1:9" x14ac:dyDescent="0.25">
      <c r="A5176">
        <v>20140109</v>
      </c>
      <c r="B5176" t="str">
        <f t="shared" si="337"/>
        <v>113466</v>
      </c>
      <c r="C5176" t="str">
        <f t="shared" si="338"/>
        <v>18200</v>
      </c>
      <c r="D5176" t="s">
        <v>516</v>
      </c>
      <c r="E5176">
        <v>190.12</v>
      </c>
      <c r="F5176">
        <v>20140108</v>
      </c>
      <c r="G5176" t="s">
        <v>456</v>
      </c>
      <c r="H5176" t="s">
        <v>488</v>
      </c>
      <c r="I5176" t="s">
        <v>21</v>
      </c>
    </row>
    <row r="5177" spans="1:9" x14ac:dyDescent="0.25">
      <c r="A5177">
        <v>20140109</v>
      </c>
      <c r="B5177" t="str">
        <f t="shared" si="337"/>
        <v>113466</v>
      </c>
      <c r="C5177" t="str">
        <f t="shared" si="338"/>
        <v>18200</v>
      </c>
      <c r="D5177" t="s">
        <v>516</v>
      </c>
      <c r="E5177">
        <v>421.85</v>
      </c>
      <c r="F5177">
        <v>20140108</v>
      </c>
      <c r="G5177" t="s">
        <v>456</v>
      </c>
      <c r="H5177" t="s">
        <v>488</v>
      </c>
      <c r="I5177" t="s">
        <v>21</v>
      </c>
    </row>
    <row r="5178" spans="1:9" x14ac:dyDescent="0.25">
      <c r="A5178">
        <v>20140109</v>
      </c>
      <c r="B5178" t="str">
        <f t="shared" si="337"/>
        <v>113466</v>
      </c>
      <c r="C5178" t="str">
        <f t="shared" si="338"/>
        <v>18200</v>
      </c>
      <c r="D5178" t="s">
        <v>516</v>
      </c>
      <c r="E5178">
        <v>729.9</v>
      </c>
      <c r="F5178">
        <v>20140108</v>
      </c>
      <c r="G5178" t="s">
        <v>457</v>
      </c>
      <c r="H5178" t="s">
        <v>488</v>
      </c>
      <c r="I5178" t="s">
        <v>21</v>
      </c>
    </row>
    <row r="5179" spans="1:9" x14ac:dyDescent="0.25">
      <c r="A5179">
        <v>20140109</v>
      </c>
      <c r="B5179" t="str">
        <f t="shared" si="337"/>
        <v>113466</v>
      </c>
      <c r="C5179" t="str">
        <f t="shared" si="338"/>
        <v>18200</v>
      </c>
      <c r="D5179" t="s">
        <v>516</v>
      </c>
      <c r="E5179">
        <v>683.62</v>
      </c>
      <c r="F5179">
        <v>20140108</v>
      </c>
      <c r="G5179" t="s">
        <v>458</v>
      </c>
      <c r="H5179" t="s">
        <v>488</v>
      </c>
      <c r="I5179" t="s">
        <v>21</v>
      </c>
    </row>
    <row r="5180" spans="1:9" x14ac:dyDescent="0.25">
      <c r="A5180">
        <v>20140109</v>
      </c>
      <c r="B5180" t="str">
        <f t="shared" si="337"/>
        <v>113466</v>
      </c>
      <c r="C5180" t="str">
        <f t="shared" si="338"/>
        <v>18200</v>
      </c>
      <c r="D5180" t="s">
        <v>516</v>
      </c>
      <c r="E5180">
        <v>421.85</v>
      </c>
      <c r="F5180">
        <v>20140108</v>
      </c>
      <c r="G5180" t="s">
        <v>458</v>
      </c>
      <c r="H5180" t="s">
        <v>488</v>
      </c>
      <c r="I5180" t="s">
        <v>21</v>
      </c>
    </row>
    <row r="5181" spans="1:9" x14ac:dyDescent="0.25">
      <c r="A5181">
        <v>20140109</v>
      </c>
      <c r="B5181" t="str">
        <f t="shared" si="337"/>
        <v>113466</v>
      </c>
      <c r="C5181" t="str">
        <f t="shared" si="338"/>
        <v>18200</v>
      </c>
      <c r="D5181" t="s">
        <v>516</v>
      </c>
      <c r="E5181">
        <v>28.49</v>
      </c>
      <c r="F5181">
        <v>20140108</v>
      </c>
      <c r="G5181" t="s">
        <v>460</v>
      </c>
      <c r="H5181" t="s">
        <v>488</v>
      </c>
      <c r="I5181" t="s">
        <v>21</v>
      </c>
    </row>
    <row r="5182" spans="1:9" x14ac:dyDescent="0.25">
      <c r="A5182">
        <v>20140109</v>
      </c>
      <c r="B5182" t="str">
        <f t="shared" si="337"/>
        <v>113466</v>
      </c>
      <c r="C5182" t="str">
        <f t="shared" si="338"/>
        <v>18200</v>
      </c>
      <c r="D5182" t="s">
        <v>516</v>
      </c>
      <c r="E5182">
        <v>230.17</v>
      </c>
      <c r="F5182">
        <v>20140108</v>
      </c>
      <c r="G5182" t="s">
        <v>460</v>
      </c>
      <c r="H5182" t="s">
        <v>488</v>
      </c>
      <c r="I5182" t="s">
        <v>21</v>
      </c>
    </row>
    <row r="5183" spans="1:9" x14ac:dyDescent="0.25">
      <c r="A5183">
        <v>20140109</v>
      </c>
      <c r="B5183" t="str">
        <f t="shared" si="337"/>
        <v>113466</v>
      </c>
      <c r="C5183" t="str">
        <f t="shared" si="338"/>
        <v>18200</v>
      </c>
      <c r="D5183" t="s">
        <v>516</v>
      </c>
      <c r="E5183">
        <v>77</v>
      </c>
      <c r="F5183">
        <v>20140108</v>
      </c>
      <c r="G5183" t="s">
        <v>461</v>
      </c>
      <c r="H5183" t="s">
        <v>488</v>
      </c>
      <c r="I5183" t="s">
        <v>21</v>
      </c>
    </row>
    <row r="5184" spans="1:9" x14ac:dyDescent="0.25">
      <c r="A5184">
        <v>20140109</v>
      </c>
      <c r="B5184" t="str">
        <f t="shared" si="337"/>
        <v>113466</v>
      </c>
      <c r="C5184" t="str">
        <f t="shared" si="338"/>
        <v>18200</v>
      </c>
      <c r="D5184" t="s">
        <v>516</v>
      </c>
      <c r="E5184">
        <v>159.09</v>
      </c>
      <c r="F5184">
        <v>20140108</v>
      </c>
      <c r="G5184" t="s">
        <v>461</v>
      </c>
      <c r="H5184" t="s">
        <v>488</v>
      </c>
      <c r="I5184" t="s">
        <v>21</v>
      </c>
    </row>
    <row r="5185" spans="1:9" x14ac:dyDescent="0.25">
      <c r="A5185">
        <v>20140109</v>
      </c>
      <c r="B5185" t="str">
        <f t="shared" si="337"/>
        <v>113466</v>
      </c>
      <c r="C5185" t="str">
        <f t="shared" si="338"/>
        <v>18200</v>
      </c>
      <c r="D5185" t="s">
        <v>516</v>
      </c>
      <c r="E5185">
        <v>338.62</v>
      </c>
      <c r="F5185">
        <v>20140108</v>
      </c>
      <c r="G5185" t="s">
        <v>461</v>
      </c>
      <c r="H5185" t="s">
        <v>488</v>
      </c>
      <c r="I5185" t="s">
        <v>21</v>
      </c>
    </row>
    <row r="5186" spans="1:9" x14ac:dyDescent="0.25">
      <c r="A5186">
        <v>20140109</v>
      </c>
      <c r="B5186" t="str">
        <f t="shared" si="337"/>
        <v>113466</v>
      </c>
      <c r="C5186" t="str">
        <f t="shared" si="338"/>
        <v>18200</v>
      </c>
      <c r="D5186" t="s">
        <v>516</v>
      </c>
      <c r="E5186">
        <v>80.489999999999995</v>
      </c>
      <c r="F5186">
        <v>20140108</v>
      </c>
      <c r="G5186" t="s">
        <v>463</v>
      </c>
      <c r="H5186" t="s">
        <v>488</v>
      </c>
      <c r="I5186" t="s">
        <v>21</v>
      </c>
    </row>
    <row r="5187" spans="1:9" x14ac:dyDescent="0.25">
      <c r="A5187">
        <v>20140109</v>
      </c>
      <c r="B5187" t="str">
        <f t="shared" si="337"/>
        <v>113466</v>
      </c>
      <c r="C5187" t="str">
        <f t="shared" si="338"/>
        <v>18200</v>
      </c>
      <c r="D5187" t="s">
        <v>516</v>
      </c>
      <c r="E5187">
        <v>28.49</v>
      </c>
      <c r="F5187">
        <v>20140108</v>
      </c>
      <c r="G5187" t="s">
        <v>463</v>
      </c>
      <c r="H5187" t="s">
        <v>488</v>
      </c>
      <c r="I5187" t="s">
        <v>21</v>
      </c>
    </row>
    <row r="5188" spans="1:9" x14ac:dyDescent="0.25">
      <c r="A5188">
        <v>20140109</v>
      </c>
      <c r="B5188" t="str">
        <f t="shared" si="337"/>
        <v>113466</v>
      </c>
      <c r="C5188" t="str">
        <f t="shared" si="338"/>
        <v>18200</v>
      </c>
      <c r="D5188" t="s">
        <v>516</v>
      </c>
      <c r="E5188">
        <v>172.12</v>
      </c>
      <c r="F5188">
        <v>20140108</v>
      </c>
      <c r="G5188" t="s">
        <v>463</v>
      </c>
      <c r="H5188" t="s">
        <v>488</v>
      </c>
      <c r="I5188" t="s">
        <v>21</v>
      </c>
    </row>
    <row r="5189" spans="1:9" x14ac:dyDescent="0.25">
      <c r="A5189">
        <v>20140109</v>
      </c>
      <c r="B5189" t="str">
        <f t="shared" si="337"/>
        <v>113466</v>
      </c>
      <c r="C5189" t="str">
        <f t="shared" si="338"/>
        <v>18200</v>
      </c>
      <c r="D5189" t="s">
        <v>516</v>
      </c>
      <c r="E5189">
        <v>38</v>
      </c>
      <c r="F5189">
        <v>20140108</v>
      </c>
      <c r="G5189" t="s">
        <v>464</v>
      </c>
      <c r="H5189" t="s">
        <v>488</v>
      </c>
      <c r="I5189" t="s">
        <v>21</v>
      </c>
    </row>
    <row r="5190" spans="1:9" x14ac:dyDescent="0.25">
      <c r="A5190">
        <v>20140109</v>
      </c>
      <c r="B5190" t="str">
        <f t="shared" si="337"/>
        <v>113466</v>
      </c>
      <c r="C5190" t="str">
        <f t="shared" si="338"/>
        <v>18200</v>
      </c>
      <c r="D5190" t="s">
        <v>516</v>
      </c>
      <c r="E5190">
        <v>148.12</v>
      </c>
      <c r="F5190">
        <v>20140108</v>
      </c>
      <c r="G5190" t="s">
        <v>464</v>
      </c>
      <c r="H5190" t="s">
        <v>488</v>
      </c>
      <c r="I5190" t="s">
        <v>21</v>
      </c>
    </row>
    <row r="5191" spans="1:9" x14ac:dyDescent="0.25">
      <c r="A5191">
        <v>20140109</v>
      </c>
      <c r="B5191" t="str">
        <f t="shared" si="337"/>
        <v>113466</v>
      </c>
      <c r="C5191" t="str">
        <f t="shared" si="338"/>
        <v>18200</v>
      </c>
      <c r="D5191" t="s">
        <v>516</v>
      </c>
      <c r="E5191">
        <v>47</v>
      </c>
      <c r="F5191">
        <v>20140108</v>
      </c>
      <c r="G5191" t="s">
        <v>1212</v>
      </c>
      <c r="H5191" t="s">
        <v>488</v>
      </c>
      <c r="I5191" t="s">
        <v>21</v>
      </c>
    </row>
    <row r="5192" spans="1:9" x14ac:dyDescent="0.25">
      <c r="A5192">
        <v>20140109</v>
      </c>
      <c r="B5192" t="str">
        <f>"113467"</f>
        <v>113467</v>
      </c>
      <c r="C5192" t="str">
        <f>"86561"</f>
        <v>86561</v>
      </c>
      <c r="D5192" t="s">
        <v>2832</v>
      </c>
      <c r="E5192">
        <v>85</v>
      </c>
      <c r="F5192">
        <v>20140108</v>
      </c>
      <c r="G5192" t="s">
        <v>2820</v>
      </c>
      <c r="H5192" t="s">
        <v>765</v>
      </c>
      <c r="I5192" t="s">
        <v>61</v>
      </c>
    </row>
    <row r="5193" spans="1:9" x14ac:dyDescent="0.25">
      <c r="A5193">
        <v>20140109</v>
      </c>
      <c r="B5193" t="str">
        <f>"113468"</f>
        <v>113468</v>
      </c>
      <c r="C5193" t="str">
        <f>"86743"</f>
        <v>86743</v>
      </c>
      <c r="D5193" t="s">
        <v>2833</v>
      </c>
      <c r="E5193">
        <v>54.27</v>
      </c>
      <c r="F5193">
        <v>20140108</v>
      </c>
      <c r="G5193" t="s">
        <v>1724</v>
      </c>
      <c r="H5193" t="s">
        <v>365</v>
      </c>
      <c r="I5193" t="s">
        <v>66</v>
      </c>
    </row>
    <row r="5194" spans="1:9" x14ac:dyDescent="0.25">
      <c r="A5194">
        <v>20140109</v>
      </c>
      <c r="B5194" t="str">
        <f>"113469"</f>
        <v>113469</v>
      </c>
      <c r="C5194" t="str">
        <f>"87220"</f>
        <v>87220</v>
      </c>
      <c r="D5194" t="s">
        <v>2834</v>
      </c>
      <c r="E5194">
        <v>202.36</v>
      </c>
      <c r="F5194">
        <v>20140108</v>
      </c>
      <c r="G5194" t="s">
        <v>1605</v>
      </c>
      <c r="H5194" t="s">
        <v>2835</v>
      </c>
      <c r="I5194" t="s">
        <v>21</v>
      </c>
    </row>
    <row r="5195" spans="1:9" x14ac:dyDescent="0.25">
      <c r="A5195">
        <v>20140109</v>
      </c>
      <c r="B5195" t="str">
        <f>"113470"</f>
        <v>113470</v>
      </c>
      <c r="C5195" t="str">
        <f>"22220"</f>
        <v>22220</v>
      </c>
      <c r="D5195" t="s">
        <v>521</v>
      </c>
      <c r="E5195">
        <v>715.68</v>
      </c>
      <c r="F5195">
        <v>20140108</v>
      </c>
      <c r="G5195" t="s">
        <v>734</v>
      </c>
      <c r="H5195" t="s">
        <v>2836</v>
      </c>
      <c r="I5195" t="s">
        <v>21</v>
      </c>
    </row>
    <row r="5196" spans="1:9" x14ac:dyDescent="0.25">
      <c r="A5196">
        <v>20140109</v>
      </c>
      <c r="B5196" t="str">
        <f t="shared" ref="B5196:B5201" si="339">"113471"</f>
        <v>113471</v>
      </c>
      <c r="C5196" t="str">
        <f t="shared" ref="C5196:C5201" si="340">"22500"</f>
        <v>22500</v>
      </c>
      <c r="D5196" t="s">
        <v>523</v>
      </c>
      <c r="E5196">
        <v>174.51</v>
      </c>
      <c r="F5196">
        <v>20140108</v>
      </c>
      <c r="G5196" t="s">
        <v>524</v>
      </c>
      <c r="H5196" t="s">
        <v>525</v>
      </c>
      <c r="I5196" t="s">
        <v>21</v>
      </c>
    </row>
    <row r="5197" spans="1:9" x14ac:dyDescent="0.25">
      <c r="A5197">
        <v>20140109</v>
      </c>
      <c r="B5197" t="str">
        <f t="shared" si="339"/>
        <v>113471</v>
      </c>
      <c r="C5197" t="str">
        <f t="shared" si="340"/>
        <v>22500</v>
      </c>
      <c r="D5197" t="s">
        <v>523</v>
      </c>
      <c r="E5197">
        <v>90</v>
      </c>
      <c r="F5197">
        <v>20140108</v>
      </c>
      <c r="G5197" t="s">
        <v>526</v>
      </c>
      <c r="H5197" t="s">
        <v>525</v>
      </c>
      <c r="I5197" t="s">
        <v>21</v>
      </c>
    </row>
    <row r="5198" spans="1:9" x14ac:dyDescent="0.25">
      <c r="A5198">
        <v>20140109</v>
      </c>
      <c r="B5198" t="str">
        <f t="shared" si="339"/>
        <v>113471</v>
      </c>
      <c r="C5198" t="str">
        <f t="shared" si="340"/>
        <v>22500</v>
      </c>
      <c r="D5198" t="s">
        <v>523</v>
      </c>
      <c r="E5198" s="1">
        <v>1904.06</v>
      </c>
      <c r="F5198">
        <v>20140108</v>
      </c>
      <c r="G5198" t="s">
        <v>1272</v>
      </c>
      <c r="H5198" t="s">
        <v>525</v>
      </c>
      <c r="I5198" t="s">
        <v>21</v>
      </c>
    </row>
    <row r="5199" spans="1:9" x14ac:dyDescent="0.25">
      <c r="A5199">
        <v>20140109</v>
      </c>
      <c r="B5199" t="str">
        <f t="shared" si="339"/>
        <v>113471</v>
      </c>
      <c r="C5199" t="str">
        <f t="shared" si="340"/>
        <v>22500</v>
      </c>
      <c r="D5199" t="s">
        <v>523</v>
      </c>
      <c r="E5199">
        <v>85</v>
      </c>
      <c r="F5199">
        <v>20140108</v>
      </c>
      <c r="G5199" t="s">
        <v>627</v>
      </c>
      <c r="H5199" t="s">
        <v>414</v>
      </c>
      <c r="I5199" t="s">
        <v>21</v>
      </c>
    </row>
    <row r="5200" spans="1:9" x14ac:dyDescent="0.25">
      <c r="A5200">
        <v>20140109</v>
      </c>
      <c r="B5200" t="str">
        <f t="shared" si="339"/>
        <v>113471</v>
      </c>
      <c r="C5200" t="str">
        <f t="shared" si="340"/>
        <v>22500</v>
      </c>
      <c r="D5200" t="s">
        <v>523</v>
      </c>
      <c r="E5200">
        <v>59.4</v>
      </c>
      <c r="F5200">
        <v>20140108</v>
      </c>
      <c r="G5200" t="s">
        <v>629</v>
      </c>
      <c r="H5200" t="s">
        <v>414</v>
      </c>
      <c r="I5200" t="s">
        <v>21</v>
      </c>
    </row>
    <row r="5201" spans="1:9" x14ac:dyDescent="0.25">
      <c r="A5201">
        <v>20140109</v>
      </c>
      <c r="B5201" t="str">
        <f t="shared" si="339"/>
        <v>113471</v>
      </c>
      <c r="C5201" t="str">
        <f t="shared" si="340"/>
        <v>22500</v>
      </c>
      <c r="D5201" t="s">
        <v>523</v>
      </c>
      <c r="E5201">
        <v>51.31</v>
      </c>
      <c r="F5201">
        <v>20140108</v>
      </c>
      <c r="G5201" t="s">
        <v>1224</v>
      </c>
      <c r="H5201" t="s">
        <v>414</v>
      </c>
      <c r="I5201" t="s">
        <v>21</v>
      </c>
    </row>
    <row r="5202" spans="1:9" x14ac:dyDescent="0.25">
      <c r="A5202">
        <v>20140109</v>
      </c>
      <c r="B5202" t="str">
        <f t="shared" ref="B5202:B5208" si="341">"113472"</f>
        <v>113472</v>
      </c>
      <c r="C5202" t="str">
        <f t="shared" ref="C5202:C5208" si="342">"24530"</f>
        <v>24530</v>
      </c>
      <c r="D5202" t="s">
        <v>412</v>
      </c>
      <c r="E5202" s="1">
        <v>1773.4</v>
      </c>
      <c r="F5202">
        <v>20140108</v>
      </c>
      <c r="G5202" t="s">
        <v>415</v>
      </c>
      <c r="H5202" t="s">
        <v>414</v>
      </c>
      <c r="I5202" t="s">
        <v>21</v>
      </c>
    </row>
    <row r="5203" spans="1:9" x14ac:dyDescent="0.25">
      <c r="A5203">
        <v>20140109</v>
      </c>
      <c r="B5203" t="str">
        <f t="shared" si="341"/>
        <v>113472</v>
      </c>
      <c r="C5203" t="str">
        <f t="shared" si="342"/>
        <v>24530</v>
      </c>
      <c r="D5203" t="s">
        <v>412</v>
      </c>
      <c r="E5203" s="1">
        <v>6116.8</v>
      </c>
      <c r="F5203">
        <v>20140108</v>
      </c>
      <c r="G5203" t="s">
        <v>627</v>
      </c>
      <c r="H5203" t="s">
        <v>414</v>
      </c>
      <c r="I5203" t="s">
        <v>21</v>
      </c>
    </row>
    <row r="5204" spans="1:9" x14ac:dyDescent="0.25">
      <c r="A5204">
        <v>20140109</v>
      </c>
      <c r="B5204" t="str">
        <f t="shared" si="341"/>
        <v>113472</v>
      </c>
      <c r="C5204" t="str">
        <f t="shared" si="342"/>
        <v>24530</v>
      </c>
      <c r="D5204" t="s">
        <v>412</v>
      </c>
      <c r="E5204" s="1">
        <v>1650.66</v>
      </c>
      <c r="F5204">
        <v>20140108</v>
      </c>
      <c r="G5204" t="s">
        <v>1222</v>
      </c>
      <c r="H5204" t="s">
        <v>414</v>
      </c>
      <c r="I5204" t="s">
        <v>21</v>
      </c>
    </row>
    <row r="5205" spans="1:9" x14ac:dyDescent="0.25">
      <c r="A5205">
        <v>20140109</v>
      </c>
      <c r="B5205" t="str">
        <f t="shared" si="341"/>
        <v>113472</v>
      </c>
      <c r="C5205" t="str">
        <f t="shared" si="342"/>
        <v>24530</v>
      </c>
      <c r="D5205" t="s">
        <v>412</v>
      </c>
      <c r="E5205">
        <v>354.75</v>
      </c>
      <c r="F5205">
        <v>20140108</v>
      </c>
      <c r="G5205" t="s">
        <v>630</v>
      </c>
      <c r="H5205" t="s">
        <v>414</v>
      </c>
      <c r="I5205" t="s">
        <v>21</v>
      </c>
    </row>
    <row r="5206" spans="1:9" x14ac:dyDescent="0.25">
      <c r="A5206">
        <v>20140109</v>
      </c>
      <c r="B5206" t="str">
        <f t="shared" si="341"/>
        <v>113472</v>
      </c>
      <c r="C5206" t="str">
        <f t="shared" si="342"/>
        <v>24530</v>
      </c>
      <c r="D5206" t="s">
        <v>412</v>
      </c>
      <c r="E5206">
        <v>440.16</v>
      </c>
      <c r="F5206">
        <v>20140108</v>
      </c>
      <c r="G5206" t="s">
        <v>392</v>
      </c>
      <c r="H5206" t="s">
        <v>414</v>
      </c>
      <c r="I5206" t="s">
        <v>21</v>
      </c>
    </row>
    <row r="5207" spans="1:9" x14ac:dyDescent="0.25">
      <c r="A5207">
        <v>20140109</v>
      </c>
      <c r="B5207" t="str">
        <f t="shared" si="341"/>
        <v>113472</v>
      </c>
      <c r="C5207" t="str">
        <f t="shared" si="342"/>
        <v>24530</v>
      </c>
      <c r="D5207" t="s">
        <v>412</v>
      </c>
      <c r="E5207">
        <v>-151.51</v>
      </c>
      <c r="F5207">
        <v>20140109</v>
      </c>
      <c r="G5207" t="s">
        <v>392</v>
      </c>
      <c r="H5207" t="s">
        <v>416</v>
      </c>
      <c r="I5207" t="s">
        <v>21</v>
      </c>
    </row>
    <row r="5208" spans="1:9" x14ac:dyDescent="0.25">
      <c r="A5208">
        <v>20140109</v>
      </c>
      <c r="B5208" t="str">
        <f t="shared" si="341"/>
        <v>113472</v>
      </c>
      <c r="C5208" t="str">
        <f t="shared" si="342"/>
        <v>24530</v>
      </c>
      <c r="D5208" t="s">
        <v>412</v>
      </c>
      <c r="E5208">
        <v>969.33</v>
      </c>
      <c r="F5208">
        <v>20140108</v>
      </c>
      <c r="G5208" t="s">
        <v>1224</v>
      </c>
      <c r="H5208" t="s">
        <v>414</v>
      </c>
      <c r="I5208" t="s">
        <v>21</v>
      </c>
    </row>
    <row r="5209" spans="1:9" x14ac:dyDescent="0.25">
      <c r="A5209">
        <v>20140109</v>
      </c>
      <c r="B5209" t="str">
        <f>"113473"</f>
        <v>113473</v>
      </c>
      <c r="C5209" t="str">
        <f>"24700"</f>
        <v>24700</v>
      </c>
      <c r="D5209" t="s">
        <v>2157</v>
      </c>
      <c r="E5209">
        <v>336.59</v>
      </c>
      <c r="F5209">
        <v>20140108</v>
      </c>
      <c r="G5209" t="s">
        <v>1773</v>
      </c>
      <c r="H5209" t="s">
        <v>2837</v>
      </c>
      <c r="I5209" t="s">
        <v>21</v>
      </c>
    </row>
    <row r="5210" spans="1:9" x14ac:dyDescent="0.25">
      <c r="A5210">
        <v>20140109</v>
      </c>
      <c r="B5210" t="str">
        <f>"113474"</f>
        <v>113474</v>
      </c>
      <c r="C5210" t="str">
        <f>"87685"</f>
        <v>87685</v>
      </c>
      <c r="D5210" t="s">
        <v>2838</v>
      </c>
      <c r="E5210">
        <v>21.03</v>
      </c>
      <c r="F5210">
        <v>20140108</v>
      </c>
      <c r="G5210" t="s">
        <v>36</v>
      </c>
      <c r="H5210" t="s">
        <v>354</v>
      </c>
      <c r="I5210" t="s">
        <v>38</v>
      </c>
    </row>
    <row r="5211" spans="1:9" x14ac:dyDescent="0.25">
      <c r="A5211">
        <v>20140109</v>
      </c>
      <c r="B5211" t="str">
        <f t="shared" ref="B5211:B5222" si="343">"113475"</f>
        <v>113475</v>
      </c>
      <c r="C5211" t="str">
        <f t="shared" ref="C5211:C5222" si="344">"82286"</f>
        <v>82286</v>
      </c>
      <c r="D5211" t="s">
        <v>532</v>
      </c>
      <c r="E5211" s="1">
        <v>1808.87</v>
      </c>
      <c r="F5211">
        <v>20140108</v>
      </c>
      <c r="G5211" t="s">
        <v>533</v>
      </c>
      <c r="H5211" t="s">
        <v>534</v>
      </c>
      <c r="I5211" t="s">
        <v>21</v>
      </c>
    </row>
    <row r="5212" spans="1:9" x14ac:dyDescent="0.25">
      <c r="A5212">
        <v>20140109</v>
      </c>
      <c r="B5212" t="str">
        <f t="shared" si="343"/>
        <v>113475</v>
      </c>
      <c r="C5212" t="str">
        <f t="shared" si="344"/>
        <v>82286</v>
      </c>
      <c r="D5212" t="s">
        <v>532</v>
      </c>
      <c r="E5212">
        <v>48.89</v>
      </c>
      <c r="F5212">
        <v>20140108</v>
      </c>
      <c r="G5212" t="s">
        <v>535</v>
      </c>
      <c r="H5212" t="s">
        <v>534</v>
      </c>
      <c r="I5212" t="s">
        <v>21</v>
      </c>
    </row>
    <row r="5213" spans="1:9" x14ac:dyDescent="0.25">
      <c r="A5213">
        <v>20140109</v>
      </c>
      <c r="B5213" t="str">
        <f t="shared" si="343"/>
        <v>113475</v>
      </c>
      <c r="C5213" t="str">
        <f t="shared" si="344"/>
        <v>82286</v>
      </c>
      <c r="D5213" t="s">
        <v>532</v>
      </c>
      <c r="E5213">
        <v>733.32</v>
      </c>
      <c r="F5213">
        <v>20140108</v>
      </c>
      <c r="G5213" t="s">
        <v>536</v>
      </c>
      <c r="H5213" t="s">
        <v>534</v>
      </c>
      <c r="I5213" t="s">
        <v>21</v>
      </c>
    </row>
    <row r="5214" spans="1:9" x14ac:dyDescent="0.25">
      <c r="A5214">
        <v>20140109</v>
      </c>
      <c r="B5214" t="str">
        <f t="shared" si="343"/>
        <v>113475</v>
      </c>
      <c r="C5214" t="str">
        <f t="shared" si="344"/>
        <v>82286</v>
      </c>
      <c r="D5214" t="s">
        <v>532</v>
      </c>
      <c r="E5214">
        <v>244.44</v>
      </c>
      <c r="F5214">
        <v>20140108</v>
      </c>
      <c r="G5214" t="s">
        <v>537</v>
      </c>
      <c r="H5214" t="s">
        <v>534</v>
      </c>
      <c r="I5214" t="s">
        <v>21</v>
      </c>
    </row>
    <row r="5215" spans="1:9" x14ac:dyDescent="0.25">
      <c r="A5215">
        <v>20140109</v>
      </c>
      <c r="B5215" t="str">
        <f t="shared" si="343"/>
        <v>113475</v>
      </c>
      <c r="C5215" t="str">
        <f t="shared" si="344"/>
        <v>82286</v>
      </c>
      <c r="D5215" t="s">
        <v>532</v>
      </c>
      <c r="E5215">
        <v>293.39</v>
      </c>
      <c r="F5215">
        <v>20140108</v>
      </c>
      <c r="G5215" t="s">
        <v>538</v>
      </c>
      <c r="H5215" t="s">
        <v>534</v>
      </c>
      <c r="I5215" t="s">
        <v>21</v>
      </c>
    </row>
    <row r="5216" spans="1:9" x14ac:dyDescent="0.25">
      <c r="A5216">
        <v>20140109</v>
      </c>
      <c r="B5216" t="str">
        <f t="shared" si="343"/>
        <v>113475</v>
      </c>
      <c r="C5216" t="str">
        <f t="shared" si="344"/>
        <v>82286</v>
      </c>
      <c r="D5216" t="s">
        <v>532</v>
      </c>
      <c r="E5216">
        <v>342.21</v>
      </c>
      <c r="F5216">
        <v>20140108</v>
      </c>
      <c r="G5216" t="s">
        <v>539</v>
      </c>
      <c r="H5216" t="s">
        <v>534</v>
      </c>
      <c r="I5216" t="s">
        <v>21</v>
      </c>
    </row>
    <row r="5217" spans="1:9" x14ac:dyDescent="0.25">
      <c r="A5217">
        <v>20140109</v>
      </c>
      <c r="B5217" t="str">
        <f t="shared" si="343"/>
        <v>113475</v>
      </c>
      <c r="C5217" t="str">
        <f t="shared" si="344"/>
        <v>82286</v>
      </c>
      <c r="D5217" t="s">
        <v>532</v>
      </c>
      <c r="E5217">
        <v>180.52</v>
      </c>
      <c r="F5217">
        <v>20140108</v>
      </c>
      <c r="G5217" t="s">
        <v>540</v>
      </c>
      <c r="H5217" t="s">
        <v>534</v>
      </c>
      <c r="I5217" t="s">
        <v>21</v>
      </c>
    </row>
    <row r="5218" spans="1:9" x14ac:dyDescent="0.25">
      <c r="A5218">
        <v>20140109</v>
      </c>
      <c r="B5218" t="str">
        <f t="shared" si="343"/>
        <v>113475</v>
      </c>
      <c r="C5218" t="str">
        <f t="shared" si="344"/>
        <v>82286</v>
      </c>
      <c r="D5218" t="s">
        <v>532</v>
      </c>
      <c r="E5218">
        <v>180.51</v>
      </c>
      <c r="F5218">
        <v>20140108</v>
      </c>
      <c r="G5218" t="s">
        <v>541</v>
      </c>
      <c r="H5218" t="s">
        <v>534</v>
      </c>
      <c r="I5218" t="s">
        <v>21</v>
      </c>
    </row>
    <row r="5219" spans="1:9" x14ac:dyDescent="0.25">
      <c r="A5219">
        <v>20140109</v>
      </c>
      <c r="B5219" t="str">
        <f t="shared" si="343"/>
        <v>113475</v>
      </c>
      <c r="C5219" t="str">
        <f t="shared" si="344"/>
        <v>82286</v>
      </c>
      <c r="D5219" t="s">
        <v>532</v>
      </c>
      <c r="E5219">
        <v>782.21</v>
      </c>
      <c r="F5219">
        <v>20140108</v>
      </c>
      <c r="G5219" t="s">
        <v>542</v>
      </c>
      <c r="H5219" t="s">
        <v>534</v>
      </c>
      <c r="I5219" t="s">
        <v>21</v>
      </c>
    </row>
    <row r="5220" spans="1:9" x14ac:dyDescent="0.25">
      <c r="A5220">
        <v>20140109</v>
      </c>
      <c r="B5220" t="str">
        <f t="shared" si="343"/>
        <v>113475</v>
      </c>
      <c r="C5220" t="str">
        <f t="shared" si="344"/>
        <v>82286</v>
      </c>
      <c r="D5220" t="s">
        <v>532</v>
      </c>
      <c r="E5220">
        <v>48.89</v>
      </c>
      <c r="F5220">
        <v>20140108</v>
      </c>
      <c r="G5220" t="s">
        <v>543</v>
      </c>
      <c r="H5220" t="s">
        <v>534</v>
      </c>
      <c r="I5220" t="s">
        <v>21</v>
      </c>
    </row>
    <row r="5221" spans="1:9" x14ac:dyDescent="0.25">
      <c r="A5221">
        <v>20140109</v>
      </c>
      <c r="B5221" t="str">
        <f t="shared" si="343"/>
        <v>113475</v>
      </c>
      <c r="C5221" t="str">
        <f t="shared" si="344"/>
        <v>82286</v>
      </c>
      <c r="D5221" t="s">
        <v>532</v>
      </c>
      <c r="E5221">
        <v>293.37</v>
      </c>
      <c r="F5221">
        <v>20140108</v>
      </c>
      <c r="G5221" t="s">
        <v>544</v>
      </c>
      <c r="H5221" t="s">
        <v>534</v>
      </c>
      <c r="I5221" t="s">
        <v>21</v>
      </c>
    </row>
    <row r="5222" spans="1:9" x14ac:dyDescent="0.25">
      <c r="A5222">
        <v>20140109</v>
      </c>
      <c r="B5222" t="str">
        <f t="shared" si="343"/>
        <v>113475</v>
      </c>
      <c r="C5222" t="str">
        <f t="shared" si="344"/>
        <v>82286</v>
      </c>
      <c r="D5222" t="s">
        <v>532</v>
      </c>
      <c r="E5222">
        <v>293.38</v>
      </c>
      <c r="F5222">
        <v>20140108</v>
      </c>
      <c r="G5222" t="s">
        <v>545</v>
      </c>
      <c r="H5222" t="s">
        <v>534</v>
      </c>
      <c r="I5222" t="s">
        <v>21</v>
      </c>
    </row>
    <row r="5223" spans="1:9" x14ac:dyDescent="0.25">
      <c r="A5223">
        <v>20140109</v>
      </c>
      <c r="B5223" t="str">
        <f>"113476"</f>
        <v>113476</v>
      </c>
      <c r="C5223" t="str">
        <f>"25700"</f>
        <v>25700</v>
      </c>
      <c r="D5223" t="s">
        <v>1975</v>
      </c>
      <c r="E5223">
        <v>153.57</v>
      </c>
      <c r="F5223">
        <v>20140107</v>
      </c>
      <c r="G5223" t="s">
        <v>2639</v>
      </c>
      <c r="H5223" t="s">
        <v>2839</v>
      </c>
      <c r="I5223" t="s">
        <v>21</v>
      </c>
    </row>
    <row r="5224" spans="1:9" x14ac:dyDescent="0.25">
      <c r="A5224">
        <v>20140109</v>
      </c>
      <c r="B5224" t="str">
        <f>"113477"</f>
        <v>113477</v>
      </c>
      <c r="C5224" t="str">
        <f>"82613"</f>
        <v>82613</v>
      </c>
      <c r="D5224" t="s">
        <v>546</v>
      </c>
      <c r="E5224">
        <v>198</v>
      </c>
      <c r="F5224">
        <v>20140108</v>
      </c>
      <c r="G5224" t="s">
        <v>337</v>
      </c>
      <c r="H5224" t="s">
        <v>2166</v>
      </c>
      <c r="I5224" t="s">
        <v>21</v>
      </c>
    </row>
    <row r="5225" spans="1:9" x14ac:dyDescent="0.25">
      <c r="A5225">
        <v>20140109</v>
      </c>
      <c r="B5225" t="str">
        <f>"113478"</f>
        <v>113478</v>
      </c>
      <c r="C5225" t="str">
        <f>"26990"</f>
        <v>26990</v>
      </c>
      <c r="D5225" t="s">
        <v>548</v>
      </c>
      <c r="E5225">
        <v>400</v>
      </c>
      <c r="F5225">
        <v>20140107</v>
      </c>
      <c r="G5225" t="s">
        <v>2492</v>
      </c>
      <c r="H5225" t="s">
        <v>1962</v>
      </c>
      <c r="I5225" t="s">
        <v>21</v>
      </c>
    </row>
    <row r="5226" spans="1:9" x14ac:dyDescent="0.25">
      <c r="A5226">
        <v>20140109</v>
      </c>
      <c r="B5226" t="str">
        <f>"113478"</f>
        <v>113478</v>
      </c>
      <c r="C5226" t="str">
        <f>"26990"</f>
        <v>26990</v>
      </c>
      <c r="D5226" t="s">
        <v>548</v>
      </c>
      <c r="E5226">
        <v>450</v>
      </c>
      <c r="F5226">
        <v>20140108</v>
      </c>
      <c r="G5226" t="s">
        <v>426</v>
      </c>
      <c r="H5226" t="s">
        <v>1054</v>
      </c>
      <c r="I5226" t="s">
        <v>21</v>
      </c>
    </row>
    <row r="5227" spans="1:9" x14ac:dyDescent="0.25">
      <c r="A5227">
        <v>20140109</v>
      </c>
      <c r="B5227" t="str">
        <f>"113479"</f>
        <v>113479</v>
      </c>
      <c r="C5227" t="str">
        <f>"83239"</f>
        <v>83239</v>
      </c>
      <c r="D5227" t="s">
        <v>1055</v>
      </c>
      <c r="E5227">
        <v>264</v>
      </c>
      <c r="F5227">
        <v>20140108</v>
      </c>
      <c r="G5227" t="s">
        <v>840</v>
      </c>
      <c r="H5227" t="s">
        <v>2840</v>
      </c>
      <c r="I5227" t="s">
        <v>21</v>
      </c>
    </row>
    <row r="5228" spans="1:9" x14ac:dyDescent="0.25">
      <c r="A5228">
        <v>20140109</v>
      </c>
      <c r="B5228" t="str">
        <f>"113480"</f>
        <v>113480</v>
      </c>
      <c r="C5228" t="str">
        <f>"00088"</f>
        <v>00088</v>
      </c>
      <c r="D5228" t="s">
        <v>2350</v>
      </c>
      <c r="E5228">
        <v>180</v>
      </c>
      <c r="F5228">
        <v>20140108</v>
      </c>
      <c r="G5228" t="s">
        <v>347</v>
      </c>
      <c r="H5228" t="s">
        <v>361</v>
      </c>
      <c r="I5228" t="s">
        <v>61</v>
      </c>
    </row>
    <row r="5229" spans="1:9" x14ac:dyDescent="0.25">
      <c r="A5229">
        <v>20140109</v>
      </c>
      <c r="B5229" t="str">
        <f>"113481"</f>
        <v>113481</v>
      </c>
      <c r="C5229" t="str">
        <f>"85190"</f>
        <v>85190</v>
      </c>
      <c r="D5229" t="s">
        <v>1590</v>
      </c>
      <c r="E5229">
        <v>60</v>
      </c>
      <c r="F5229">
        <v>20140108</v>
      </c>
      <c r="G5229" t="s">
        <v>1591</v>
      </c>
      <c r="H5229" t="s">
        <v>1677</v>
      </c>
      <c r="I5229" t="s">
        <v>25</v>
      </c>
    </row>
    <row r="5230" spans="1:9" x14ac:dyDescent="0.25">
      <c r="A5230">
        <v>20140109</v>
      </c>
      <c r="B5230" t="str">
        <f>"113482"</f>
        <v>113482</v>
      </c>
      <c r="C5230" t="str">
        <f>"29227"</f>
        <v>29227</v>
      </c>
      <c r="D5230" t="s">
        <v>1236</v>
      </c>
      <c r="E5230">
        <v>143.9</v>
      </c>
      <c r="F5230">
        <v>20140108</v>
      </c>
      <c r="G5230" t="s">
        <v>2147</v>
      </c>
      <c r="H5230" t="s">
        <v>2506</v>
      </c>
      <c r="I5230" t="s">
        <v>21</v>
      </c>
    </row>
    <row r="5231" spans="1:9" x14ac:dyDescent="0.25">
      <c r="A5231">
        <v>20140109</v>
      </c>
      <c r="B5231" t="str">
        <f>"113483"</f>
        <v>113483</v>
      </c>
      <c r="C5231" t="str">
        <f>"87683"</f>
        <v>87683</v>
      </c>
      <c r="D5231" t="s">
        <v>2841</v>
      </c>
      <c r="E5231">
        <v>65</v>
      </c>
      <c r="F5231">
        <v>20140107</v>
      </c>
      <c r="G5231" t="s">
        <v>2324</v>
      </c>
      <c r="H5231" t="s">
        <v>765</v>
      </c>
      <c r="I5231" t="s">
        <v>61</v>
      </c>
    </row>
    <row r="5232" spans="1:9" x14ac:dyDescent="0.25">
      <c r="A5232">
        <v>20140109</v>
      </c>
      <c r="B5232" t="str">
        <f>"113484"</f>
        <v>113484</v>
      </c>
      <c r="C5232" t="str">
        <f>"30000"</f>
        <v>30000</v>
      </c>
      <c r="D5232" t="s">
        <v>556</v>
      </c>
      <c r="E5232">
        <v>1.1499999999999999</v>
      </c>
      <c r="F5232">
        <v>20140108</v>
      </c>
      <c r="G5232" t="s">
        <v>137</v>
      </c>
      <c r="H5232" t="s">
        <v>2842</v>
      </c>
      <c r="I5232" t="s">
        <v>21</v>
      </c>
    </row>
    <row r="5233" spans="1:9" x14ac:dyDescent="0.25">
      <c r="A5233">
        <v>20140109</v>
      </c>
      <c r="B5233" t="str">
        <f>"113484"</f>
        <v>113484</v>
      </c>
      <c r="C5233" t="str">
        <f>"30000"</f>
        <v>30000</v>
      </c>
      <c r="D5233" t="s">
        <v>556</v>
      </c>
      <c r="E5233">
        <v>166.18</v>
      </c>
      <c r="F5233">
        <v>20140108</v>
      </c>
      <c r="G5233" t="s">
        <v>840</v>
      </c>
      <c r="H5233" t="s">
        <v>2843</v>
      </c>
      <c r="I5233" t="s">
        <v>21</v>
      </c>
    </row>
    <row r="5234" spans="1:9" x14ac:dyDescent="0.25">
      <c r="A5234">
        <v>20140109</v>
      </c>
      <c r="B5234" t="str">
        <f>"113484"</f>
        <v>113484</v>
      </c>
      <c r="C5234" t="str">
        <f>"30000"</f>
        <v>30000</v>
      </c>
      <c r="D5234" t="s">
        <v>556</v>
      </c>
      <c r="E5234">
        <v>20.99</v>
      </c>
      <c r="F5234">
        <v>20140108</v>
      </c>
      <c r="G5234" t="s">
        <v>845</v>
      </c>
      <c r="H5234" t="s">
        <v>2844</v>
      </c>
      <c r="I5234" t="s">
        <v>73</v>
      </c>
    </row>
    <row r="5235" spans="1:9" x14ac:dyDescent="0.25">
      <c r="A5235">
        <v>20140109</v>
      </c>
      <c r="B5235" t="str">
        <f>"113485"</f>
        <v>113485</v>
      </c>
      <c r="C5235" t="str">
        <f>"87037"</f>
        <v>87037</v>
      </c>
      <c r="D5235" t="s">
        <v>2184</v>
      </c>
      <c r="E5235">
        <v>15.57</v>
      </c>
      <c r="F5235">
        <v>20140108</v>
      </c>
      <c r="G5235" t="s">
        <v>562</v>
      </c>
      <c r="H5235" t="s">
        <v>563</v>
      </c>
      <c r="I5235" t="s">
        <v>21</v>
      </c>
    </row>
    <row r="5236" spans="1:9" x14ac:dyDescent="0.25">
      <c r="A5236">
        <v>20140109</v>
      </c>
      <c r="B5236" t="str">
        <f>"113486"</f>
        <v>113486</v>
      </c>
      <c r="C5236" t="str">
        <f>"00124"</f>
        <v>00124</v>
      </c>
      <c r="D5236" t="s">
        <v>2845</v>
      </c>
      <c r="E5236">
        <v>200</v>
      </c>
      <c r="F5236">
        <v>20140108</v>
      </c>
      <c r="G5236" t="s">
        <v>347</v>
      </c>
      <c r="H5236" t="s">
        <v>361</v>
      </c>
      <c r="I5236" t="s">
        <v>61</v>
      </c>
    </row>
    <row r="5237" spans="1:9" x14ac:dyDescent="0.25">
      <c r="A5237">
        <v>20140109</v>
      </c>
      <c r="B5237" t="str">
        <f>"113487"</f>
        <v>113487</v>
      </c>
      <c r="C5237" t="str">
        <f>"00124"</f>
        <v>00124</v>
      </c>
      <c r="D5237" t="s">
        <v>2845</v>
      </c>
      <c r="E5237">
        <v>170</v>
      </c>
      <c r="F5237">
        <v>20140108</v>
      </c>
      <c r="G5237" t="s">
        <v>356</v>
      </c>
      <c r="H5237" t="s">
        <v>357</v>
      </c>
      <c r="I5237" t="s">
        <v>61</v>
      </c>
    </row>
    <row r="5238" spans="1:9" x14ac:dyDescent="0.25">
      <c r="A5238">
        <v>20140109</v>
      </c>
      <c r="B5238" t="str">
        <f>"113488"</f>
        <v>113488</v>
      </c>
      <c r="C5238" t="str">
        <f>"30480"</f>
        <v>30480</v>
      </c>
      <c r="D5238" t="s">
        <v>570</v>
      </c>
      <c r="E5238" s="1">
        <v>5442</v>
      </c>
      <c r="F5238">
        <v>20140107</v>
      </c>
      <c r="G5238" t="s">
        <v>571</v>
      </c>
      <c r="H5238" t="s">
        <v>572</v>
      </c>
      <c r="I5238" t="s">
        <v>21</v>
      </c>
    </row>
    <row r="5239" spans="1:9" x14ac:dyDescent="0.25">
      <c r="A5239">
        <v>20140109</v>
      </c>
      <c r="B5239" t="str">
        <f>"113489"</f>
        <v>113489</v>
      </c>
      <c r="C5239" t="str">
        <f>"87031"</f>
        <v>87031</v>
      </c>
      <c r="D5239" t="s">
        <v>418</v>
      </c>
      <c r="E5239">
        <v>35.549999999999997</v>
      </c>
      <c r="F5239">
        <v>20140108</v>
      </c>
      <c r="G5239" t="s">
        <v>410</v>
      </c>
      <c r="H5239" t="s">
        <v>411</v>
      </c>
      <c r="I5239" t="s">
        <v>12</v>
      </c>
    </row>
    <row r="5240" spans="1:9" x14ac:dyDescent="0.25">
      <c r="A5240">
        <v>20140109</v>
      </c>
      <c r="B5240" t="str">
        <f t="shared" ref="B5240:B5252" si="345">"113490"</f>
        <v>113490</v>
      </c>
      <c r="C5240" t="str">
        <f t="shared" ref="C5240:C5252" si="346">"31570"</f>
        <v>31570</v>
      </c>
      <c r="D5240" t="s">
        <v>1244</v>
      </c>
      <c r="E5240">
        <v>17.670000000000002</v>
      </c>
      <c r="F5240">
        <v>20140108</v>
      </c>
      <c r="G5240" t="s">
        <v>496</v>
      </c>
      <c r="H5240" t="s">
        <v>414</v>
      </c>
      <c r="I5240" t="s">
        <v>21</v>
      </c>
    </row>
    <row r="5241" spans="1:9" x14ac:dyDescent="0.25">
      <c r="A5241">
        <v>20140109</v>
      </c>
      <c r="B5241" t="str">
        <f t="shared" si="345"/>
        <v>113490</v>
      </c>
      <c r="C5241" t="str">
        <f t="shared" si="346"/>
        <v>31570</v>
      </c>
      <c r="D5241" t="s">
        <v>1244</v>
      </c>
      <c r="E5241">
        <v>34.65</v>
      </c>
      <c r="F5241">
        <v>20140108</v>
      </c>
      <c r="G5241" t="s">
        <v>413</v>
      </c>
      <c r="H5241" t="s">
        <v>414</v>
      </c>
      <c r="I5241" t="s">
        <v>21</v>
      </c>
    </row>
    <row r="5242" spans="1:9" x14ac:dyDescent="0.25">
      <c r="A5242">
        <v>20140109</v>
      </c>
      <c r="B5242" t="str">
        <f t="shared" si="345"/>
        <v>113490</v>
      </c>
      <c r="C5242" t="str">
        <f t="shared" si="346"/>
        <v>31570</v>
      </c>
      <c r="D5242" t="s">
        <v>1244</v>
      </c>
      <c r="E5242">
        <v>260.42</v>
      </c>
      <c r="F5242">
        <v>20140108</v>
      </c>
      <c r="G5242" t="s">
        <v>415</v>
      </c>
      <c r="H5242" t="s">
        <v>414</v>
      </c>
      <c r="I5242" t="s">
        <v>21</v>
      </c>
    </row>
    <row r="5243" spans="1:9" x14ac:dyDescent="0.25">
      <c r="A5243">
        <v>20140109</v>
      </c>
      <c r="B5243" t="str">
        <f t="shared" si="345"/>
        <v>113490</v>
      </c>
      <c r="C5243" t="str">
        <f t="shared" si="346"/>
        <v>31570</v>
      </c>
      <c r="D5243" t="s">
        <v>1244</v>
      </c>
      <c r="E5243">
        <v>668.49</v>
      </c>
      <c r="F5243">
        <v>20140108</v>
      </c>
      <c r="G5243" t="s">
        <v>627</v>
      </c>
      <c r="H5243" t="s">
        <v>414</v>
      </c>
      <c r="I5243" t="s">
        <v>21</v>
      </c>
    </row>
    <row r="5244" spans="1:9" x14ac:dyDescent="0.25">
      <c r="A5244">
        <v>20140109</v>
      </c>
      <c r="B5244" t="str">
        <f t="shared" si="345"/>
        <v>113490</v>
      </c>
      <c r="C5244" t="str">
        <f t="shared" si="346"/>
        <v>31570</v>
      </c>
      <c r="D5244" t="s">
        <v>1244</v>
      </c>
      <c r="E5244">
        <v>165.78</v>
      </c>
      <c r="F5244">
        <v>20140108</v>
      </c>
      <c r="G5244" t="s">
        <v>1222</v>
      </c>
      <c r="H5244" t="s">
        <v>414</v>
      </c>
      <c r="I5244" t="s">
        <v>21</v>
      </c>
    </row>
    <row r="5245" spans="1:9" x14ac:dyDescent="0.25">
      <c r="A5245">
        <v>20140109</v>
      </c>
      <c r="B5245" t="str">
        <f t="shared" si="345"/>
        <v>113490</v>
      </c>
      <c r="C5245" t="str">
        <f t="shared" si="346"/>
        <v>31570</v>
      </c>
      <c r="D5245" t="s">
        <v>1244</v>
      </c>
      <c r="E5245">
        <v>287.69</v>
      </c>
      <c r="F5245">
        <v>20140108</v>
      </c>
      <c r="G5245" t="s">
        <v>628</v>
      </c>
      <c r="H5245" t="s">
        <v>414</v>
      </c>
      <c r="I5245" t="s">
        <v>21</v>
      </c>
    </row>
    <row r="5246" spans="1:9" x14ac:dyDescent="0.25">
      <c r="A5246">
        <v>20140109</v>
      </c>
      <c r="B5246" t="str">
        <f t="shared" si="345"/>
        <v>113490</v>
      </c>
      <c r="C5246" t="str">
        <f t="shared" si="346"/>
        <v>31570</v>
      </c>
      <c r="D5246" t="s">
        <v>1244</v>
      </c>
      <c r="E5246">
        <v>3.69</v>
      </c>
      <c r="F5246">
        <v>20140108</v>
      </c>
      <c r="G5246" t="s">
        <v>629</v>
      </c>
      <c r="H5246" t="s">
        <v>414</v>
      </c>
      <c r="I5246" t="s">
        <v>21</v>
      </c>
    </row>
    <row r="5247" spans="1:9" x14ac:dyDescent="0.25">
      <c r="A5247">
        <v>20140109</v>
      </c>
      <c r="B5247" t="str">
        <f t="shared" si="345"/>
        <v>113490</v>
      </c>
      <c r="C5247" t="str">
        <f t="shared" si="346"/>
        <v>31570</v>
      </c>
      <c r="D5247" t="s">
        <v>1244</v>
      </c>
      <c r="E5247">
        <v>67.13</v>
      </c>
      <c r="F5247">
        <v>20140108</v>
      </c>
      <c r="G5247" t="s">
        <v>630</v>
      </c>
      <c r="H5247" t="s">
        <v>414</v>
      </c>
      <c r="I5247" t="s">
        <v>21</v>
      </c>
    </row>
    <row r="5248" spans="1:9" x14ac:dyDescent="0.25">
      <c r="A5248">
        <v>20140109</v>
      </c>
      <c r="B5248" t="str">
        <f t="shared" si="345"/>
        <v>113490</v>
      </c>
      <c r="C5248" t="str">
        <f t="shared" si="346"/>
        <v>31570</v>
      </c>
      <c r="D5248" t="s">
        <v>1244</v>
      </c>
      <c r="E5248">
        <v>28.71</v>
      </c>
      <c r="F5248">
        <v>20140108</v>
      </c>
      <c r="G5248" t="s">
        <v>530</v>
      </c>
      <c r="H5248" t="s">
        <v>414</v>
      </c>
      <c r="I5248" t="s">
        <v>21</v>
      </c>
    </row>
    <row r="5249" spans="1:9" x14ac:dyDescent="0.25">
      <c r="A5249">
        <v>20140109</v>
      </c>
      <c r="B5249" t="str">
        <f t="shared" si="345"/>
        <v>113490</v>
      </c>
      <c r="C5249" t="str">
        <f t="shared" si="346"/>
        <v>31570</v>
      </c>
      <c r="D5249" t="s">
        <v>1244</v>
      </c>
      <c r="E5249">
        <v>127.77</v>
      </c>
      <c r="F5249">
        <v>20140108</v>
      </c>
      <c r="G5249" t="s">
        <v>631</v>
      </c>
      <c r="H5249" t="s">
        <v>414</v>
      </c>
      <c r="I5249" t="s">
        <v>21</v>
      </c>
    </row>
    <row r="5250" spans="1:9" x14ac:dyDescent="0.25">
      <c r="A5250">
        <v>20140109</v>
      </c>
      <c r="B5250" t="str">
        <f t="shared" si="345"/>
        <v>113490</v>
      </c>
      <c r="C5250" t="str">
        <f t="shared" si="346"/>
        <v>31570</v>
      </c>
      <c r="D5250" t="s">
        <v>1244</v>
      </c>
      <c r="E5250">
        <v>145.51</v>
      </c>
      <c r="F5250">
        <v>20140108</v>
      </c>
      <c r="G5250" t="s">
        <v>392</v>
      </c>
      <c r="H5250" t="s">
        <v>414</v>
      </c>
      <c r="I5250" t="s">
        <v>21</v>
      </c>
    </row>
    <row r="5251" spans="1:9" x14ac:dyDescent="0.25">
      <c r="A5251">
        <v>20140109</v>
      </c>
      <c r="B5251" t="str">
        <f t="shared" si="345"/>
        <v>113490</v>
      </c>
      <c r="C5251" t="str">
        <f t="shared" si="346"/>
        <v>31570</v>
      </c>
      <c r="D5251" t="s">
        <v>1244</v>
      </c>
      <c r="E5251">
        <v>244.21</v>
      </c>
      <c r="F5251">
        <v>20140108</v>
      </c>
      <c r="G5251" t="s">
        <v>1224</v>
      </c>
      <c r="H5251" t="s">
        <v>414</v>
      </c>
      <c r="I5251" t="s">
        <v>21</v>
      </c>
    </row>
    <row r="5252" spans="1:9" x14ac:dyDescent="0.25">
      <c r="A5252">
        <v>20140109</v>
      </c>
      <c r="B5252" t="str">
        <f t="shared" si="345"/>
        <v>113490</v>
      </c>
      <c r="C5252" t="str">
        <f t="shared" si="346"/>
        <v>31570</v>
      </c>
      <c r="D5252" t="s">
        <v>1244</v>
      </c>
      <c r="E5252">
        <v>21.78</v>
      </c>
      <c r="F5252">
        <v>20140108</v>
      </c>
      <c r="G5252" t="s">
        <v>417</v>
      </c>
      <c r="H5252" t="s">
        <v>414</v>
      </c>
      <c r="I5252" t="s">
        <v>21</v>
      </c>
    </row>
    <row r="5253" spans="1:9" x14ac:dyDescent="0.25">
      <c r="A5253">
        <v>20140109</v>
      </c>
      <c r="B5253" t="str">
        <f>"113491"</f>
        <v>113491</v>
      </c>
      <c r="C5253" t="str">
        <f>"87425"</f>
        <v>87425</v>
      </c>
      <c r="D5253" t="s">
        <v>2846</v>
      </c>
      <c r="E5253">
        <v>50</v>
      </c>
      <c r="F5253">
        <v>20140108</v>
      </c>
      <c r="G5253" t="s">
        <v>2847</v>
      </c>
      <c r="H5253" t="s">
        <v>2848</v>
      </c>
      <c r="I5253" t="s">
        <v>2849</v>
      </c>
    </row>
    <row r="5254" spans="1:9" x14ac:dyDescent="0.25">
      <c r="A5254">
        <v>20140109</v>
      </c>
      <c r="B5254" t="str">
        <f>"113492"</f>
        <v>113492</v>
      </c>
      <c r="C5254" t="str">
        <f>"87456"</f>
        <v>87456</v>
      </c>
      <c r="D5254" t="s">
        <v>1434</v>
      </c>
      <c r="E5254" s="1">
        <v>10362.31</v>
      </c>
      <c r="F5254">
        <v>20140108</v>
      </c>
      <c r="G5254" t="s">
        <v>1067</v>
      </c>
      <c r="H5254" t="s">
        <v>2850</v>
      </c>
      <c r="I5254" t="s">
        <v>21</v>
      </c>
    </row>
    <row r="5255" spans="1:9" x14ac:dyDescent="0.25">
      <c r="A5255">
        <v>20140109</v>
      </c>
      <c r="B5255" t="str">
        <f>"113493"</f>
        <v>113493</v>
      </c>
      <c r="C5255" t="str">
        <f>"87484"</f>
        <v>87484</v>
      </c>
      <c r="D5255" t="s">
        <v>588</v>
      </c>
      <c r="E5255" s="1">
        <v>2827.5</v>
      </c>
      <c r="F5255">
        <v>20140108</v>
      </c>
      <c r="G5255" t="s">
        <v>589</v>
      </c>
      <c r="H5255" t="s">
        <v>2195</v>
      </c>
      <c r="I5255" t="s">
        <v>68</v>
      </c>
    </row>
    <row r="5256" spans="1:9" x14ac:dyDescent="0.25">
      <c r="A5256">
        <v>20140109</v>
      </c>
      <c r="B5256" t="str">
        <f>"113494"</f>
        <v>113494</v>
      </c>
      <c r="C5256" t="str">
        <f>"84980"</f>
        <v>84980</v>
      </c>
      <c r="D5256" t="s">
        <v>591</v>
      </c>
      <c r="E5256">
        <v>434</v>
      </c>
      <c r="F5256">
        <v>20140107</v>
      </c>
      <c r="G5256" t="s">
        <v>819</v>
      </c>
      <c r="H5256" t="s">
        <v>2369</v>
      </c>
      <c r="I5256" t="s">
        <v>63</v>
      </c>
    </row>
    <row r="5257" spans="1:9" x14ac:dyDescent="0.25">
      <c r="A5257">
        <v>20140109</v>
      </c>
      <c r="B5257" t="str">
        <f>"113494"</f>
        <v>113494</v>
      </c>
      <c r="C5257" t="str">
        <f>"84980"</f>
        <v>84980</v>
      </c>
      <c r="D5257" t="s">
        <v>591</v>
      </c>
      <c r="E5257">
        <v>385.11</v>
      </c>
      <c r="F5257">
        <v>20140108</v>
      </c>
      <c r="G5257" t="s">
        <v>828</v>
      </c>
      <c r="H5257" t="s">
        <v>2851</v>
      </c>
      <c r="I5257" t="s">
        <v>21</v>
      </c>
    </row>
    <row r="5258" spans="1:9" x14ac:dyDescent="0.25">
      <c r="A5258">
        <v>20140109</v>
      </c>
      <c r="B5258" t="str">
        <f>"113495"</f>
        <v>113495</v>
      </c>
      <c r="C5258" t="str">
        <f>"87125"</f>
        <v>87125</v>
      </c>
      <c r="D5258" t="s">
        <v>2852</v>
      </c>
      <c r="E5258">
        <v>65</v>
      </c>
      <c r="F5258">
        <v>20140107</v>
      </c>
      <c r="G5258" t="s">
        <v>2324</v>
      </c>
      <c r="H5258" t="s">
        <v>765</v>
      </c>
      <c r="I5258" t="s">
        <v>61</v>
      </c>
    </row>
    <row r="5259" spans="1:9" x14ac:dyDescent="0.25">
      <c r="A5259">
        <v>20140109</v>
      </c>
      <c r="B5259" t="str">
        <f>"113496"</f>
        <v>113496</v>
      </c>
      <c r="C5259" t="str">
        <f>"84038"</f>
        <v>84038</v>
      </c>
      <c r="D5259" t="s">
        <v>419</v>
      </c>
      <c r="E5259">
        <v>25.2</v>
      </c>
      <c r="F5259">
        <v>20140108</v>
      </c>
      <c r="G5259" t="s">
        <v>410</v>
      </c>
      <c r="H5259" t="s">
        <v>411</v>
      </c>
      <c r="I5259" t="s">
        <v>12</v>
      </c>
    </row>
    <row r="5260" spans="1:9" x14ac:dyDescent="0.25">
      <c r="A5260">
        <v>20140109</v>
      </c>
      <c r="B5260" t="str">
        <f>"113497"</f>
        <v>113497</v>
      </c>
      <c r="C5260" t="str">
        <f>"85824"</f>
        <v>85824</v>
      </c>
      <c r="D5260" t="s">
        <v>1875</v>
      </c>
      <c r="E5260">
        <v>57.57</v>
      </c>
      <c r="F5260">
        <v>20140107</v>
      </c>
      <c r="G5260" t="s">
        <v>1197</v>
      </c>
      <c r="H5260" t="s">
        <v>365</v>
      </c>
      <c r="I5260" t="s">
        <v>21</v>
      </c>
    </row>
    <row r="5261" spans="1:9" x14ac:dyDescent="0.25">
      <c r="A5261">
        <v>20140109</v>
      </c>
      <c r="B5261" t="str">
        <f>"113498"</f>
        <v>113498</v>
      </c>
      <c r="C5261" t="str">
        <f>"81525"</f>
        <v>81525</v>
      </c>
      <c r="D5261" t="s">
        <v>1252</v>
      </c>
      <c r="E5261">
        <v>22.41</v>
      </c>
      <c r="F5261">
        <v>20140107</v>
      </c>
      <c r="G5261" t="s">
        <v>601</v>
      </c>
      <c r="H5261" t="s">
        <v>563</v>
      </c>
      <c r="I5261" t="s">
        <v>21</v>
      </c>
    </row>
    <row r="5262" spans="1:9" x14ac:dyDescent="0.25">
      <c r="A5262">
        <v>20140109</v>
      </c>
      <c r="B5262" t="str">
        <f>"113499"</f>
        <v>113499</v>
      </c>
      <c r="C5262" t="str">
        <f>"35817"</f>
        <v>35817</v>
      </c>
      <c r="D5262" t="s">
        <v>600</v>
      </c>
      <c r="E5262">
        <v>14.13</v>
      </c>
      <c r="F5262">
        <v>20140107</v>
      </c>
      <c r="G5262" t="s">
        <v>601</v>
      </c>
      <c r="H5262" t="s">
        <v>563</v>
      </c>
      <c r="I5262" t="s">
        <v>21</v>
      </c>
    </row>
    <row r="5263" spans="1:9" x14ac:dyDescent="0.25">
      <c r="A5263">
        <v>20140109</v>
      </c>
      <c r="B5263" t="str">
        <f>"113500"</f>
        <v>113500</v>
      </c>
      <c r="C5263" t="str">
        <f>"87532"</f>
        <v>87532</v>
      </c>
      <c r="D5263" t="s">
        <v>1610</v>
      </c>
      <c r="E5263" s="1">
        <v>13919</v>
      </c>
      <c r="F5263">
        <v>20140108</v>
      </c>
      <c r="G5263" t="s">
        <v>1067</v>
      </c>
      <c r="H5263" t="s">
        <v>2853</v>
      </c>
      <c r="I5263" t="s">
        <v>21</v>
      </c>
    </row>
    <row r="5264" spans="1:9" x14ac:dyDescent="0.25">
      <c r="A5264">
        <v>20140109</v>
      </c>
      <c r="B5264" t="str">
        <f>"113501"</f>
        <v>113501</v>
      </c>
      <c r="C5264" t="str">
        <f>"39315"</f>
        <v>39315</v>
      </c>
      <c r="D5264" t="s">
        <v>420</v>
      </c>
      <c r="E5264">
        <v>129.6</v>
      </c>
      <c r="F5264">
        <v>20140108</v>
      </c>
      <c r="G5264" t="s">
        <v>410</v>
      </c>
      <c r="H5264" t="s">
        <v>411</v>
      </c>
      <c r="I5264" t="s">
        <v>12</v>
      </c>
    </row>
    <row r="5265" spans="1:9" x14ac:dyDescent="0.25">
      <c r="A5265">
        <v>20140109</v>
      </c>
      <c r="B5265" t="str">
        <f>"113502"</f>
        <v>113502</v>
      </c>
      <c r="C5265" t="str">
        <f>"87689"</f>
        <v>87689</v>
      </c>
      <c r="D5265" t="s">
        <v>2854</v>
      </c>
      <c r="E5265">
        <v>85</v>
      </c>
      <c r="F5265">
        <v>20140108</v>
      </c>
      <c r="G5265" t="s">
        <v>2820</v>
      </c>
      <c r="H5265" t="s">
        <v>765</v>
      </c>
      <c r="I5265" t="s">
        <v>61</v>
      </c>
    </row>
    <row r="5266" spans="1:9" x14ac:dyDescent="0.25">
      <c r="A5266">
        <v>20140109</v>
      </c>
      <c r="B5266" t="str">
        <f>"113503"</f>
        <v>113503</v>
      </c>
      <c r="C5266" t="str">
        <f>"84904"</f>
        <v>84904</v>
      </c>
      <c r="D5266" t="s">
        <v>2855</v>
      </c>
      <c r="E5266">
        <v>500</v>
      </c>
      <c r="F5266">
        <v>20140108</v>
      </c>
      <c r="G5266" t="s">
        <v>356</v>
      </c>
      <c r="H5266" t="s">
        <v>357</v>
      </c>
      <c r="I5266" t="s">
        <v>61</v>
      </c>
    </row>
    <row r="5267" spans="1:9" x14ac:dyDescent="0.25">
      <c r="A5267">
        <v>20140109</v>
      </c>
      <c r="B5267" t="str">
        <f>"113504"</f>
        <v>113504</v>
      </c>
      <c r="C5267" t="str">
        <f>"84904"</f>
        <v>84904</v>
      </c>
      <c r="D5267" t="s">
        <v>2855</v>
      </c>
      <c r="E5267">
        <v>390</v>
      </c>
      <c r="F5267">
        <v>20140108</v>
      </c>
      <c r="G5267" t="s">
        <v>356</v>
      </c>
      <c r="H5267" t="s">
        <v>357</v>
      </c>
      <c r="I5267" t="s">
        <v>61</v>
      </c>
    </row>
    <row r="5268" spans="1:9" x14ac:dyDescent="0.25">
      <c r="A5268">
        <v>20140109</v>
      </c>
      <c r="B5268" t="str">
        <f>"113505"</f>
        <v>113505</v>
      </c>
      <c r="C5268" t="str">
        <f>"81295"</f>
        <v>81295</v>
      </c>
      <c r="D5268" t="s">
        <v>1617</v>
      </c>
      <c r="E5268">
        <v>549</v>
      </c>
      <c r="F5268">
        <v>20140108</v>
      </c>
      <c r="G5268" t="s">
        <v>1775</v>
      </c>
      <c r="H5268" t="s">
        <v>2856</v>
      </c>
      <c r="I5268" t="s">
        <v>21</v>
      </c>
    </row>
    <row r="5269" spans="1:9" x14ac:dyDescent="0.25">
      <c r="A5269">
        <v>20140109</v>
      </c>
      <c r="B5269" t="str">
        <f>"113505"</f>
        <v>113505</v>
      </c>
      <c r="C5269" t="str">
        <f>"81295"</f>
        <v>81295</v>
      </c>
      <c r="D5269" t="s">
        <v>1617</v>
      </c>
      <c r="E5269">
        <v>768</v>
      </c>
      <c r="F5269">
        <v>20140108</v>
      </c>
      <c r="G5269" t="s">
        <v>2622</v>
      </c>
      <c r="H5269" t="s">
        <v>2857</v>
      </c>
      <c r="I5269" t="s">
        <v>21</v>
      </c>
    </row>
    <row r="5270" spans="1:9" x14ac:dyDescent="0.25">
      <c r="A5270">
        <v>20140109</v>
      </c>
      <c r="B5270" t="str">
        <f>"113506"</f>
        <v>113506</v>
      </c>
      <c r="C5270" t="str">
        <f>"85840"</f>
        <v>85840</v>
      </c>
      <c r="D5270" t="s">
        <v>2858</v>
      </c>
      <c r="E5270" s="1">
        <v>4471.93</v>
      </c>
      <c r="F5270">
        <v>20140107</v>
      </c>
      <c r="G5270" t="s">
        <v>2292</v>
      </c>
      <c r="H5270" t="s">
        <v>1046</v>
      </c>
      <c r="I5270" t="s">
        <v>63</v>
      </c>
    </row>
    <row r="5271" spans="1:9" x14ac:dyDescent="0.25">
      <c r="A5271">
        <v>20140109</v>
      </c>
      <c r="B5271" t="str">
        <f>"113507"</f>
        <v>113507</v>
      </c>
      <c r="C5271" t="str">
        <f>"87470"</f>
        <v>87470</v>
      </c>
      <c r="D5271" t="s">
        <v>2706</v>
      </c>
      <c r="E5271">
        <v>429.63</v>
      </c>
      <c r="F5271">
        <v>20140107</v>
      </c>
      <c r="G5271" t="s">
        <v>200</v>
      </c>
      <c r="H5271" t="s">
        <v>1928</v>
      </c>
      <c r="I5271" t="s">
        <v>38</v>
      </c>
    </row>
    <row r="5272" spans="1:9" x14ac:dyDescent="0.25">
      <c r="A5272">
        <v>20140109</v>
      </c>
      <c r="B5272" t="str">
        <f>"113508"</f>
        <v>113508</v>
      </c>
      <c r="C5272" t="str">
        <f>"86928"</f>
        <v>86928</v>
      </c>
      <c r="D5272" t="s">
        <v>1457</v>
      </c>
      <c r="E5272">
        <v>448.92</v>
      </c>
      <c r="F5272">
        <v>20140108</v>
      </c>
      <c r="G5272" t="s">
        <v>2211</v>
      </c>
      <c r="H5272" t="s">
        <v>563</v>
      </c>
      <c r="I5272" t="s">
        <v>2212</v>
      </c>
    </row>
    <row r="5273" spans="1:9" x14ac:dyDescent="0.25">
      <c r="A5273">
        <v>20140109</v>
      </c>
      <c r="B5273" t="str">
        <f>"113509"</f>
        <v>113509</v>
      </c>
      <c r="C5273" t="str">
        <f>"42750"</f>
        <v>42750</v>
      </c>
      <c r="D5273" t="s">
        <v>888</v>
      </c>
      <c r="E5273">
        <v>149.47999999999999</v>
      </c>
      <c r="F5273">
        <v>20140108</v>
      </c>
      <c r="G5273" t="s">
        <v>181</v>
      </c>
      <c r="H5273" t="s">
        <v>354</v>
      </c>
      <c r="I5273" t="s">
        <v>38</v>
      </c>
    </row>
    <row r="5274" spans="1:9" x14ac:dyDescent="0.25">
      <c r="A5274">
        <v>20140109</v>
      </c>
      <c r="B5274" t="str">
        <f>"113510"</f>
        <v>113510</v>
      </c>
      <c r="C5274" t="str">
        <f>"83430"</f>
        <v>83430</v>
      </c>
      <c r="D5274" t="s">
        <v>423</v>
      </c>
      <c r="E5274">
        <v>62.55</v>
      </c>
      <c r="F5274">
        <v>20140108</v>
      </c>
      <c r="G5274" t="s">
        <v>410</v>
      </c>
      <c r="H5274" t="s">
        <v>411</v>
      </c>
      <c r="I5274" t="s">
        <v>12</v>
      </c>
    </row>
    <row r="5275" spans="1:9" x14ac:dyDescent="0.25">
      <c r="A5275">
        <v>20140109</v>
      </c>
      <c r="B5275" t="str">
        <f>"113511"</f>
        <v>113511</v>
      </c>
      <c r="C5275" t="str">
        <f>"44875"</f>
        <v>44875</v>
      </c>
      <c r="D5275" t="s">
        <v>424</v>
      </c>
      <c r="E5275">
        <v>73.349999999999994</v>
      </c>
      <c r="F5275">
        <v>20140108</v>
      </c>
      <c r="G5275" t="s">
        <v>410</v>
      </c>
      <c r="H5275" t="s">
        <v>411</v>
      </c>
      <c r="I5275" t="s">
        <v>12</v>
      </c>
    </row>
    <row r="5276" spans="1:9" x14ac:dyDescent="0.25">
      <c r="A5276">
        <v>20140109</v>
      </c>
      <c r="B5276" t="str">
        <f>"113512"</f>
        <v>113512</v>
      </c>
      <c r="C5276" t="str">
        <f>"84445"</f>
        <v>84445</v>
      </c>
      <c r="D5276" t="s">
        <v>1472</v>
      </c>
      <c r="E5276">
        <v>44.15</v>
      </c>
      <c r="F5276">
        <v>20140108</v>
      </c>
      <c r="G5276" t="s">
        <v>562</v>
      </c>
      <c r="H5276" t="s">
        <v>563</v>
      </c>
      <c r="I5276" t="s">
        <v>21</v>
      </c>
    </row>
    <row r="5277" spans="1:9" x14ac:dyDescent="0.25">
      <c r="A5277">
        <v>20140109</v>
      </c>
      <c r="B5277" t="str">
        <f>"113513"</f>
        <v>113513</v>
      </c>
      <c r="C5277" t="str">
        <f>"87690"</f>
        <v>87690</v>
      </c>
      <c r="D5277" t="s">
        <v>2859</v>
      </c>
      <c r="E5277">
        <v>55.45</v>
      </c>
      <c r="F5277">
        <v>20140108</v>
      </c>
      <c r="G5277" t="s">
        <v>2432</v>
      </c>
      <c r="H5277" t="s">
        <v>365</v>
      </c>
      <c r="I5277" t="s">
        <v>66</v>
      </c>
    </row>
    <row r="5278" spans="1:9" x14ac:dyDescent="0.25">
      <c r="A5278">
        <v>20140109</v>
      </c>
      <c r="B5278" t="str">
        <f>"113514"</f>
        <v>113514</v>
      </c>
      <c r="C5278" t="str">
        <f>"86116"</f>
        <v>86116</v>
      </c>
      <c r="D5278" t="s">
        <v>2535</v>
      </c>
      <c r="E5278">
        <v>120</v>
      </c>
      <c r="F5278">
        <v>20140108</v>
      </c>
      <c r="G5278" t="s">
        <v>2324</v>
      </c>
      <c r="H5278" t="s">
        <v>765</v>
      </c>
      <c r="I5278" t="s">
        <v>61</v>
      </c>
    </row>
    <row r="5279" spans="1:9" x14ac:dyDescent="0.25">
      <c r="A5279">
        <v>20140109</v>
      </c>
      <c r="B5279" t="str">
        <f>"113514"</f>
        <v>113514</v>
      </c>
      <c r="C5279" t="str">
        <f>"86116"</f>
        <v>86116</v>
      </c>
      <c r="D5279" t="s">
        <v>2535</v>
      </c>
      <c r="E5279">
        <v>85</v>
      </c>
      <c r="F5279">
        <v>20140108</v>
      </c>
      <c r="G5279" t="s">
        <v>2820</v>
      </c>
      <c r="H5279" t="s">
        <v>765</v>
      </c>
      <c r="I5279" t="s">
        <v>61</v>
      </c>
    </row>
    <row r="5280" spans="1:9" x14ac:dyDescent="0.25">
      <c r="A5280">
        <v>20140109</v>
      </c>
      <c r="B5280" t="str">
        <f t="shared" ref="B5280:B5288" si="347">"113515"</f>
        <v>113515</v>
      </c>
      <c r="C5280" t="str">
        <f t="shared" ref="C5280:C5288" si="348">"46500"</f>
        <v>46500</v>
      </c>
      <c r="D5280" t="s">
        <v>626</v>
      </c>
      <c r="E5280">
        <v>97.62</v>
      </c>
      <c r="F5280">
        <v>20140108</v>
      </c>
      <c r="G5280" t="s">
        <v>415</v>
      </c>
      <c r="H5280" t="s">
        <v>414</v>
      </c>
      <c r="I5280" t="s">
        <v>21</v>
      </c>
    </row>
    <row r="5281" spans="1:9" x14ac:dyDescent="0.25">
      <c r="A5281">
        <v>20140109</v>
      </c>
      <c r="B5281" t="str">
        <f t="shared" si="347"/>
        <v>113515</v>
      </c>
      <c r="C5281" t="str">
        <f t="shared" si="348"/>
        <v>46500</v>
      </c>
      <c r="D5281" t="s">
        <v>626</v>
      </c>
      <c r="E5281">
        <v>179.68</v>
      </c>
      <c r="F5281">
        <v>20140108</v>
      </c>
      <c r="G5281" t="s">
        <v>627</v>
      </c>
      <c r="H5281" t="s">
        <v>414</v>
      </c>
      <c r="I5281" t="s">
        <v>21</v>
      </c>
    </row>
    <row r="5282" spans="1:9" x14ac:dyDescent="0.25">
      <c r="A5282">
        <v>20140109</v>
      </c>
      <c r="B5282" t="str">
        <f t="shared" si="347"/>
        <v>113515</v>
      </c>
      <c r="C5282" t="str">
        <f t="shared" si="348"/>
        <v>46500</v>
      </c>
      <c r="D5282" t="s">
        <v>626</v>
      </c>
      <c r="E5282">
        <v>119.8</v>
      </c>
      <c r="F5282">
        <v>20140108</v>
      </c>
      <c r="G5282" t="s">
        <v>628</v>
      </c>
      <c r="H5282" t="s">
        <v>414</v>
      </c>
      <c r="I5282" t="s">
        <v>21</v>
      </c>
    </row>
    <row r="5283" spans="1:9" x14ac:dyDescent="0.25">
      <c r="A5283">
        <v>20140109</v>
      </c>
      <c r="B5283" t="str">
        <f t="shared" si="347"/>
        <v>113515</v>
      </c>
      <c r="C5283" t="str">
        <f t="shared" si="348"/>
        <v>46500</v>
      </c>
      <c r="D5283" t="s">
        <v>626</v>
      </c>
      <c r="E5283">
        <v>59.9</v>
      </c>
      <c r="F5283">
        <v>20140108</v>
      </c>
      <c r="G5283" t="s">
        <v>629</v>
      </c>
      <c r="H5283" t="s">
        <v>414</v>
      </c>
      <c r="I5283" t="s">
        <v>21</v>
      </c>
    </row>
    <row r="5284" spans="1:9" x14ac:dyDescent="0.25">
      <c r="A5284">
        <v>20140109</v>
      </c>
      <c r="B5284" t="str">
        <f t="shared" si="347"/>
        <v>113515</v>
      </c>
      <c r="C5284" t="str">
        <f t="shared" si="348"/>
        <v>46500</v>
      </c>
      <c r="D5284" t="s">
        <v>626</v>
      </c>
      <c r="E5284">
        <v>44.79</v>
      </c>
      <c r="F5284">
        <v>20140108</v>
      </c>
      <c r="G5284" t="s">
        <v>630</v>
      </c>
      <c r="H5284" t="s">
        <v>414</v>
      </c>
      <c r="I5284" t="s">
        <v>21</v>
      </c>
    </row>
    <row r="5285" spans="1:9" x14ac:dyDescent="0.25">
      <c r="A5285">
        <v>20140109</v>
      </c>
      <c r="B5285" t="str">
        <f t="shared" si="347"/>
        <v>113515</v>
      </c>
      <c r="C5285" t="str">
        <f t="shared" si="348"/>
        <v>46500</v>
      </c>
      <c r="D5285" t="s">
        <v>626</v>
      </c>
      <c r="E5285">
        <v>93.31</v>
      </c>
      <c r="F5285">
        <v>20140108</v>
      </c>
      <c r="G5285" t="s">
        <v>631</v>
      </c>
      <c r="H5285" t="s">
        <v>414</v>
      </c>
      <c r="I5285" t="s">
        <v>21</v>
      </c>
    </row>
    <row r="5286" spans="1:9" x14ac:dyDescent="0.25">
      <c r="A5286">
        <v>20140109</v>
      </c>
      <c r="B5286" t="str">
        <f t="shared" si="347"/>
        <v>113515</v>
      </c>
      <c r="C5286" t="str">
        <f t="shared" si="348"/>
        <v>46500</v>
      </c>
      <c r="D5286" t="s">
        <v>626</v>
      </c>
      <c r="E5286">
        <v>267.95</v>
      </c>
      <c r="F5286">
        <v>20140108</v>
      </c>
      <c r="G5286" t="s">
        <v>392</v>
      </c>
      <c r="H5286" t="s">
        <v>414</v>
      </c>
      <c r="I5286" t="s">
        <v>21</v>
      </c>
    </row>
    <row r="5287" spans="1:9" x14ac:dyDescent="0.25">
      <c r="A5287">
        <v>20140109</v>
      </c>
      <c r="B5287" t="str">
        <f t="shared" si="347"/>
        <v>113515</v>
      </c>
      <c r="C5287" t="str">
        <f t="shared" si="348"/>
        <v>46500</v>
      </c>
      <c r="D5287" t="s">
        <v>626</v>
      </c>
      <c r="E5287">
        <v>239.6</v>
      </c>
      <c r="F5287">
        <v>20140108</v>
      </c>
      <c r="G5287" t="s">
        <v>1224</v>
      </c>
      <c r="H5287" t="s">
        <v>414</v>
      </c>
      <c r="I5287" t="s">
        <v>21</v>
      </c>
    </row>
    <row r="5288" spans="1:9" x14ac:dyDescent="0.25">
      <c r="A5288">
        <v>20140109</v>
      </c>
      <c r="B5288" t="str">
        <f t="shared" si="347"/>
        <v>113515</v>
      </c>
      <c r="C5288" t="str">
        <f t="shared" si="348"/>
        <v>46500</v>
      </c>
      <c r="D5288" t="s">
        <v>626</v>
      </c>
      <c r="E5288">
        <v>119.8</v>
      </c>
      <c r="F5288">
        <v>20140108</v>
      </c>
      <c r="G5288" t="s">
        <v>417</v>
      </c>
      <c r="H5288" t="s">
        <v>414</v>
      </c>
      <c r="I5288" t="s">
        <v>21</v>
      </c>
    </row>
    <row r="5289" spans="1:9" x14ac:dyDescent="0.25">
      <c r="A5289">
        <v>20140109</v>
      </c>
      <c r="B5289" t="str">
        <f>"113516"</f>
        <v>113516</v>
      </c>
      <c r="C5289" t="str">
        <f>"82365"</f>
        <v>82365</v>
      </c>
      <c r="D5289" t="s">
        <v>1477</v>
      </c>
      <c r="E5289" s="1">
        <v>1109.29</v>
      </c>
      <c r="F5289">
        <v>20140108</v>
      </c>
      <c r="G5289" t="s">
        <v>1478</v>
      </c>
      <c r="H5289" t="s">
        <v>2860</v>
      </c>
      <c r="I5289" t="s">
        <v>21</v>
      </c>
    </row>
    <row r="5290" spans="1:9" x14ac:dyDescent="0.25">
      <c r="A5290">
        <v>20140109</v>
      </c>
      <c r="B5290" t="str">
        <f>"113517"</f>
        <v>113517</v>
      </c>
      <c r="C5290" t="str">
        <f>"87557"</f>
        <v>87557</v>
      </c>
      <c r="D5290" t="s">
        <v>1629</v>
      </c>
      <c r="E5290">
        <v>122.94</v>
      </c>
      <c r="F5290">
        <v>20140108</v>
      </c>
      <c r="G5290" t="s">
        <v>1630</v>
      </c>
      <c r="H5290" t="s">
        <v>563</v>
      </c>
      <c r="I5290" t="s">
        <v>21</v>
      </c>
    </row>
    <row r="5291" spans="1:9" x14ac:dyDescent="0.25">
      <c r="A5291">
        <v>20140109</v>
      </c>
      <c r="B5291" t="str">
        <f>"113518"</f>
        <v>113518</v>
      </c>
      <c r="C5291" t="str">
        <f>"48820"</f>
        <v>48820</v>
      </c>
      <c r="D5291" t="s">
        <v>1106</v>
      </c>
      <c r="E5291">
        <v>312.93</v>
      </c>
      <c r="F5291">
        <v>20140108</v>
      </c>
      <c r="G5291" t="s">
        <v>1067</v>
      </c>
      <c r="H5291" t="s">
        <v>354</v>
      </c>
      <c r="I5291" t="s">
        <v>21</v>
      </c>
    </row>
    <row r="5292" spans="1:9" x14ac:dyDescent="0.25">
      <c r="A5292">
        <v>20140109</v>
      </c>
      <c r="B5292" t="str">
        <f>"113518"</f>
        <v>113518</v>
      </c>
      <c r="C5292" t="str">
        <f>"48820"</f>
        <v>48820</v>
      </c>
      <c r="D5292" t="s">
        <v>1106</v>
      </c>
      <c r="E5292">
        <v>89.32</v>
      </c>
      <c r="F5292">
        <v>20140108</v>
      </c>
      <c r="G5292" t="s">
        <v>209</v>
      </c>
      <c r="H5292" t="s">
        <v>354</v>
      </c>
      <c r="I5292" t="s">
        <v>25</v>
      </c>
    </row>
    <row r="5293" spans="1:9" x14ac:dyDescent="0.25">
      <c r="A5293">
        <v>20140109</v>
      </c>
      <c r="B5293" t="str">
        <f t="shared" ref="B5293:B5309" si="349">"113519"</f>
        <v>113519</v>
      </c>
      <c r="C5293" t="str">
        <f t="shared" ref="C5293:C5309" si="350">"87404"</f>
        <v>87404</v>
      </c>
      <c r="D5293" t="s">
        <v>1108</v>
      </c>
      <c r="E5293">
        <v>18.260000000000002</v>
      </c>
      <c r="F5293">
        <v>20140108</v>
      </c>
      <c r="G5293" t="s">
        <v>426</v>
      </c>
      <c r="H5293" t="s">
        <v>968</v>
      </c>
      <c r="I5293" t="s">
        <v>21</v>
      </c>
    </row>
    <row r="5294" spans="1:9" x14ac:dyDescent="0.25">
      <c r="A5294">
        <v>20140109</v>
      </c>
      <c r="B5294" t="str">
        <f t="shared" si="349"/>
        <v>113519</v>
      </c>
      <c r="C5294" t="str">
        <f t="shared" si="350"/>
        <v>87404</v>
      </c>
      <c r="D5294" t="s">
        <v>1108</v>
      </c>
      <c r="E5294">
        <v>22.78</v>
      </c>
      <c r="F5294">
        <v>20140108</v>
      </c>
      <c r="G5294" t="s">
        <v>426</v>
      </c>
      <c r="H5294" t="s">
        <v>968</v>
      </c>
      <c r="I5294" t="s">
        <v>21</v>
      </c>
    </row>
    <row r="5295" spans="1:9" x14ac:dyDescent="0.25">
      <c r="A5295">
        <v>20140109</v>
      </c>
      <c r="B5295" t="str">
        <f t="shared" si="349"/>
        <v>113519</v>
      </c>
      <c r="C5295" t="str">
        <f t="shared" si="350"/>
        <v>87404</v>
      </c>
      <c r="D5295" t="s">
        <v>1108</v>
      </c>
      <c r="E5295">
        <v>18.260000000000002</v>
      </c>
      <c r="F5295">
        <v>20140108</v>
      </c>
      <c r="G5295" t="s">
        <v>426</v>
      </c>
      <c r="H5295" t="s">
        <v>968</v>
      </c>
      <c r="I5295" t="s">
        <v>21</v>
      </c>
    </row>
    <row r="5296" spans="1:9" x14ac:dyDescent="0.25">
      <c r="A5296">
        <v>20140109</v>
      </c>
      <c r="B5296" t="str">
        <f t="shared" si="349"/>
        <v>113519</v>
      </c>
      <c r="C5296" t="str">
        <f t="shared" si="350"/>
        <v>87404</v>
      </c>
      <c r="D5296" t="s">
        <v>1108</v>
      </c>
      <c r="E5296">
        <v>18.260000000000002</v>
      </c>
      <c r="F5296">
        <v>20140108</v>
      </c>
      <c r="G5296" t="s">
        <v>426</v>
      </c>
      <c r="H5296" t="s">
        <v>968</v>
      </c>
      <c r="I5296" t="s">
        <v>21</v>
      </c>
    </row>
    <row r="5297" spans="1:9" x14ac:dyDescent="0.25">
      <c r="A5297">
        <v>20140109</v>
      </c>
      <c r="B5297" t="str">
        <f t="shared" si="349"/>
        <v>113519</v>
      </c>
      <c r="C5297" t="str">
        <f t="shared" si="350"/>
        <v>87404</v>
      </c>
      <c r="D5297" t="s">
        <v>1108</v>
      </c>
      <c r="E5297">
        <v>18.260000000000002</v>
      </c>
      <c r="F5297">
        <v>20140108</v>
      </c>
      <c r="G5297" t="s">
        <v>426</v>
      </c>
      <c r="H5297" t="s">
        <v>968</v>
      </c>
      <c r="I5297" t="s">
        <v>21</v>
      </c>
    </row>
    <row r="5298" spans="1:9" x14ac:dyDescent="0.25">
      <c r="A5298">
        <v>20140109</v>
      </c>
      <c r="B5298" t="str">
        <f t="shared" si="349"/>
        <v>113519</v>
      </c>
      <c r="C5298" t="str">
        <f t="shared" si="350"/>
        <v>87404</v>
      </c>
      <c r="D5298" t="s">
        <v>1108</v>
      </c>
      <c r="E5298">
        <v>18.260000000000002</v>
      </c>
      <c r="F5298">
        <v>20140108</v>
      </c>
      <c r="G5298" t="s">
        <v>426</v>
      </c>
      <c r="H5298" t="s">
        <v>968</v>
      </c>
      <c r="I5298" t="s">
        <v>21</v>
      </c>
    </row>
    <row r="5299" spans="1:9" x14ac:dyDescent="0.25">
      <c r="A5299">
        <v>20140109</v>
      </c>
      <c r="B5299" t="str">
        <f t="shared" si="349"/>
        <v>113519</v>
      </c>
      <c r="C5299" t="str">
        <f t="shared" si="350"/>
        <v>87404</v>
      </c>
      <c r="D5299" t="s">
        <v>1108</v>
      </c>
      <c r="E5299">
        <v>18.260000000000002</v>
      </c>
      <c r="F5299">
        <v>20140108</v>
      </c>
      <c r="G5299" t="s">
        <v>426</v>
      </c>
      <c r="H5299" t="s">
        <v>968</v>
      </c>
      <c r="I5299" t="s">
        <v>21</v>
      </c>
    </row>
    <row r="5300" spans="1:9" x14ac:dyDescent="0.25">
      <c r="A5300">
        <v>20140109</v>
      </c>
      <c r="B5300" t="str">
        <f t="shared" si="349"/>
        <v>113519</v>
      </c>
      <c r="C5300" t="str">
        <f t="shared" si="350"/>
        <v>87404</v>
      </c>
      <c r="D5300" t="s">
        <v>1108</v>
      </c>
      <c r="E5300">
        <v>18.260000000000002</v>
      </c>
      <c r="F5300">
        <v>20140108</v>
      </c>
      <c r="G5300" t="s">
        <v>426</v>
      </c>
      <c r="H5300" t="s">
        <v>968</v>
      </c>
      <c r="I5300" t="s">
        <v>21</v>
      </c>
    </row>
    <row r="5301" spans="1:9" x14ac:dyDescent="0.25">
      <c r="A5301">
        <v>20140109</v>
      </c>
      <c r="B5301" t="str">
        <f t="shared" si="349"/>
        <v>113519</v>
      </c>
      <c r="C5301" t="str">
        <f t="shared" si="350"/>
        <v>87404</v>
      </c>
      <c r="D5301" t="s">
        <v>1108</v>
      </c>
      <c r="E5301">
        <v>18.260000000000002</v>
      </c>
      <c r="F5301">
        <v>20140108</v>
      </c>
      <c r="G5301" t="s">
        <v>426</v>
      </c>
      <c r="H5301" t="s">
        <v>968</v>
      </c>
      <c r="I5301" t="s">
        <v>21</v>
      </c>
    </row>
    <row r="5302" spans="1:9" x14ac:dyDescent="0.25">
      <c r="A5302">
        <v>20140109</v>
      </c>
      <c r="B5302" t="str">
        <f t="shared" si="349"/>
        <v>113519</v>
      </c>
      <c r="C5302" t="str">
        <f t="shared" si="350"/>
        <v>87404</v>
      </c>
      <c r="D5302" t="s">
        <v>1108</v>
      </c>
      <c r="E5302">
        <v>18.260000000000002</v>
      </c>
      <c r="F5302">
        <v>20140108</v>
      </c>
      <c r="G5302" t="s">
        <v>426</v>
      </c>
      <c r="H5302" t="s">
        <v>968</v>
      </c>
      <c r="I5302" t="s">
        <v>21</v>
      </c>
    </row>
    <row r="5303" spans="1:9" x14ac:dyDescent="0.25">
      <c r="A5303">
        <v>20140109</v>
      </c>
      <c r="B5303" t="str">
        <f t="shared" si="349"/>
        <v>113519</v>
      </c>
      <c r="C5303" t="str">
        <f t="shared" si="350"/>
        <v>87404</v>
      </c>
      <c r="D5303" t="s">
        <v>1108</v>
      </c>
      <c r="E5303">
        <v>18.260000000000002</v>
      </c>
      <c r="F5303">
        <v>20140108</v>
      </c>
      <c r="G5303" t="s">
        <v>426</v>
      </c>
      <c r="H5303" t="s">
        <v>968</v>
      </c>
      <c r="I5303" t="s">
        <v>21</v>
      </c>
    </row>
    <row r="5304" spans="1:9" x14ac:dyDescent="0.25">
      <c r="A5304">
        <v>20140109</v>
      </c>
      <c r="B5304" t="str">
        <f t="shared" si="349"/>
        <v>113519</v>
      </c>
      <c r="C5304" t="str">
        <f t="shared" si="350"/>
        <v>87404</v>
      </c>
      <c r="D5304" t="s">
        <v>1108</v>
      </c>
      <c r="E5304">
        <v>33.72</v>
      </c>
      <c r="F5304">
        <v>20140108</v>
      </c>
      <c r="G5304" t="s">
        <v>426</v>
      </c>
      <c r="H5304" t="s">
        <v>968</v>
      </c>
      <c r="I5304" t="s">
        <v>21</v>
      </c>
    </row>
    <row r="5305" spans="1:9" x14ac:dyDescent="0.25">
      <c r="A5305">
        <v>20140109</v>
      </c>
      <c r="B5305" t="str">
        <f t="shared" si="349"/>
        <v>113519</v>
      </c>
      <c r="C5305" t="str">
        <f t="shared" si="350"/>
        <v>87404</v>
      </c>
      <c r="D5305" t="s">
        <v>1108</v>
      </c>
      <c r="E5305">
        <v>32.049999999999997</v>
      </c>
      <c r="F5305">
        <v>20140108</v>
      </c>
      <c r="G5305" t="s">
        <v>426</v>
      </c>
      <c r="H5305" t="s">
        <v>968</v>
      </c>
      <c r="I5305" t="s">
        <v>21</v>
      </c>
    </row>
    <row r="5306" spans="1:9" x14ac:dyDescent="0.25">
      <c r="A5306">
        <v>20140109</v>
      </c>
      <c r="B5306" t="str">
        <f t="shared" si="349"/>
        <v>113519</v>
      </c>
      <c r="C5306" t="str">
        <f t="shared" si="350"/>
        <v>87404</v>
      </c>
      <c r="D5306" t="s">
        <v>1108</v>
      </c>
      <c r="E5306">
        <v>18.260000000000002</v>
      </c>
      <c r="F5306">
        <v>20140108</v>
      </c>
      <c r="G5306" t="s">
        <v>426</v>
      </c>
      <c r="H5306" t="s">
        <v>968</v>
      </c>
      <c r="I5306" t="s">
        <v>21</v>
      </c>
    </row>
    <row r="5307" spans="1:9" x14ac:dyDescent="0.25">
      <c r="A5307">
        <v>20140109</v>
      </c>
      <c r="B5307" t="str">
        <f t="shared" si="349"/>
        <v>113519</v>
      </c>
      <c r="C5307" t="str">
        <f t="shared" si="350"/>
        <v>87404</v>
      </c>
      <c r="D5307" t="s">
        <v>1108</v>
      </c>
      <c r="E5307">
        <v>18.260000000000002</v>
      </c>
      <c r="F5307">
        <v>20140108</v>
      </c>
      <c r="G5307" t="s">
        <v>426</v>
      </c>
      <c r="H5307" t="s">
        <v>968</v>
      </c>
      <c r="I5307" t="s">
        <v>21</v>
      </c>
    </row>
    <row r="5308" spans="1:9" x14ac:dyDescent="0.25">
      <c r="A5308">
        <v>20140109</v>
      </c>
      <c r="B5308" t="str">
        <f t="shared" si="349"/>
        <v>113519</v>
      </c>
      <c r="C5308" t="str">
        <f t="shared" si="350"/>
        <v>87404</v>
      </c>
      <c r="D5308" t="s">
        <v>1108</v>
      </c>
      <c r="E5308">
        <v>18.260000000000002</v>
      </c>
      <c r="F5308">
        <v>20140108</v>
      </c>
      <c r="G5308" t="s">
        <v>426</v>
      </c>
      <c r="H5308" t="s">
        <v>968</v>
      </c>
      <c r="I5308" t="s">
        <v>21</v>
      </c>
    </row>
    <row r="5309" spans="1:9" x14ac:dyDescent="0.25">
      <c r="A5309">
        <v>20140109</v>
      </c>
      <c r="B5309" t="str">
        <f t="shared" si="349"/>
        <v>113519</v>
      </c>
      <c r="C5309" t="str">
        <f t="shared" si="350"/>
        <v>87404</v>
      </c>
      <c r="D5309" t="s">
        <v>1108</v>
      </c>
      <c r="E5309">
        <v>18.260000000000002</v>
      </c>
      <c r="F5309">
        <v>20140108</v>
      </c>
      <c r="G5309" t="s">
        <v>426</v>
      </c>
      <c r="H5309" t="s">
        <v>968</v>
      </c>
      <c r="I5309" t="s">
        <v>21</v>
      </c>
    </row>
    <row r="5310" spans="1:9" x14ac:dyDescent="0.25">
      <c r="A5310">
        <v>20140109</v>
      </c>
      <c r="B5310" t="str">
        <f>"113520"</f>
        <v>113520</v>
      </c>
      <c r="C5310" t="str">
        <f>"86115"</f>
        <v>86115</v>
      </c>
      <c r="D5310" t="s">
        <v>2861</v>
      </c>
      <c r="E5310">
        <v>160</v>
      </c>
      <c r="F5310">
        <v>20140107</v>
      </c>
      <c r="G5310" t="s">
        <v>2324</v>
      </c>
      <c r="H5310" t="s">
        <v>765</v>
      </c>
      <c r="I5310" t="s">
        <v>61</v>
      </c>
    </row>
    <row r="5311" spans="1:9" x14ac:dyDescent="0.25">
      <c r="A5311">
        <v>20140109</v>
      </c>
      <c r="B5311" t="str">
        <f>"113521"</f>
        <v>113521</v>
      </c>
      <c r="C5311" t="str">
        <f>"82192"</f>
        <v>82192</v>
      </c>
      <c r="D5311" t="s">
        <v>642</v>
      </c>
      <c r="E5311" s="1">
        <v>6970</v>
      </c>
      <c r="F5311">
        <v>20140108</v>
      </c>
      <c r="G5311" t="s">
        <v>643</v>
      </c>
      <c r="H5311" t="s">
        <v>488</v>
      </c>
      <c r="I5311" t="s">
        <v>21</v>
      </c>
    </row>
    <row r="5312" spans="1:9" x14ac:dyDescent="0.25">
      <c r="A5312">
        <v>20140109</v>
      </c>
      <c r="B5312" t="str">
        <f>"113522"</f>
        <v>113522</v>
      </c>
      <c r="C5312" t="str">
        <f>"87684"</f>
        <v>87684</v>
      </c>
      <c r="D5312" t="s">
        <v>2862</v>
      </c>
      <c r="E5312">
        <v>38.75</v>
      </c>
      <c r="F5312">
        <v>20140108</v>
      </c>
      <c r="G5312" t="s">
        <v>36</v>
      </c>
      <c r="H5312" t="s">
        <v>2863</v>
      </c>
      <c r="I5312" t="s">
        <v>38</v>
      </c>
    </row>
    <row r="5313" spans="1:9" x14ac:dyDescent="0.25">
      <c r="A5313">
        <v>20140109</v>
      </c>
      <c r="B5313" t="str">
        <f>"113523"</f>
        <v>113523</v>
      </c>
      <c r="C5313" t="str">
        <f>"51000"</f>
        <v>51000</v>
      </c>
      <c r="D5313" t="s">
        <v>366</v>
      </c>
      <c r="E5313">
        <v>40.97</v>
      </c>
      <c r="F5313">
        <v>20140107</v>
      </c>
      <c r="G5313" t="s">
        <v>367</v>
      </c>
      <c r="H5313" t="s">
        <v>368</v>
      </c>
      <c r="I5313" t="s">
        <v>21</v>
      </c>
    </row>
    <row r="5314" spans="1:9" x14ac:dyDescent="0.25">
      <c r="A5314">
        <v>20140109</v>
      </c>
      <c r="B5314" t="str">
        <f>"113524"</f>
        <v>113524</v>
      </c>
      <c r="C5314" t="str">
        <f>"87626"</f>
        <v>87626</v>
      </c>
      <c r="D5314" t="s">
        <v>2864</v>
      </c>
      <c r="E5314" s="1">
        <v>8169.51</v>
      </c>
      <c r="F5314">
        <v>20140108</v>
      </c>
      <c r="G5314" t="s">
        <v>2147</v>
      </c>
      <c r="H5314" t="s">
        <v>2865</v>
      </c>
      <c r="I5314" t="s">
        <v>21</v>
      </c>
    </row>
    <row r="5315" spans="1:9" x14ac:dyDescent="0.25">
      <c r="A5315">
        <v>20140109</v>
      </c>
      <c r="B5315" t="str">
        <f>"113524"</f>
        <v>113524</v>
      </c>
      <c r="C5315" t="str">
        <f>"87626"</f>
        <v>87626</v>
      </c>
      <c r="D5315" t="s">
        <v>2864</v>
      </c>
      <c r="E5315" s="1">
        <v>19647.099999999999</v>
      </c>
      <c r="F5315">
        <v>20140108</v>
      </c>
      <c r="G5315" t="s">
        <v>2147</v>
      </c>
      <c r="H5315" t="s">
        <v>2866</v>
      </c>
      <c r="I5315" t="s">
        <v>21</v>
      </c>
    </row>
    <row r="5316" spans="1:9" x14ac:dyDescent="0.25">
      <c r="A5316">
        <v>20140109</v>
      </c>
      <c r="B5316" t="str">
        <f>"113525"</f>
        <v>113525</v>
      </c>
      <c r="C5316" t="str">
        <f>"87219"</f>
        <v>87219</v>
      </c>
      <c r="D5316" t="s">
        <v>2867</v>
      </c>
      <c r="E5316">
        <v>120</v>
      </c>
      <c r="F5316">
        <v>20140107</v>
      </c>
      <c r="G5316" t="s">
        <v>2324</v>
      </c>
      <c r="H5316" t="s">
        <v>765</v>
      </c>
      <c r="I5316" t="s">
        <v>61</v>
      </c>
    </row>
    <row r="5317" spans="1:9" x14ac:dyDescent="0.25">
      <c r="A5317">
        <v>20140109</v>
      </c>
      <c r="B5317" t="str">
        <f>"113526"</f>
        <v>113526</v>
      </c>
      <c r="C5317" t="str">
        <f>"51550"</f>
        <v>51550</v>
      </c>
      <c r="D5317" t="s">
        <v>2868</v>
      </c>
      <c r="E5317">
        <v>346.63</v>
      </c>
      <c r="F5317">
        <v>20140107</v>
      </c>
      <c r="G5317" t="s">
        <v>828</v>
      </c>
      <c r="H5317" t="s">
        <v>414</v>
      </c>
      <c r="I5317" t="s">
        <v>21</v>
      </c>
    </row>
    <row r="5318" spans="1:9" x14ac:dyDescent="0.25">
      <c r="A5318">
        <v>20140109</v>
      </c>
      <c r="B5318" t="str">
        <f>"113527"</f>
        <v>113527</v>
      </c>
      <c r="C5318" t="str">
        <f>"86137"</f>
        <v>86137</v>
      </c>
      <c r="D5318" t="s">
        <v>916</v>
      </c>
      <c r="E5318">
        <v>120</v>
      </c>
      <c r="F5318">
        <v>20140108</v>
      </c>
      <c r="G5318" t="s">
        <v>2324</v>
      </c>
      <c r="H5318" t="s">
        <v>765</v>
      </c>
      <c r="I5318" t="s">
        <v>61</v>
      </c>
    </row>
    <row r="5319" spans="1:9" x14ac:dyDescent="0.25">
      <c r="A5319">
        <v>20140109</v>
      </c>
      <c r="B5319" t="str">
        <f>"113528"</f>
        <v>113528</v>
      </c>
      <c r="C5319" t="str">
        <f>"52450"</f>
        <v>52450</v>
      </c>
      <c r="D5319" t="s">
        <v>2548</v>
      </c>
      <c r="E5319" s="1">
        <v>1438</v>
      </c>
      <c r="F5319">
        <v>20140107</v>
      </c>
      <c r="G5319" t="s">
        <v>413</v>
      </c>
      <c r="H5319" t="s">
        <v>2550</v>
      </c>
      <c r="I5319" t="s">
        <v>21</v>
      </c>
    </row>
    <row r="5320" spans="1:9" x14ac:dyDescent="0.25">
      <c r="A5320">
        <v>20140109</v>
      </c>
      <c r="B5320" t="str">
        <f>"113528"</f>
        <v>113528</v>
      </c>
      <c r="C5320" t="str">
        <f>"52450"</f>
        <v>52450</v>
      </c>
      <c r="D5320" t="s">
        <v>2548</v>
      </c>
      <c r="E5320">
        <v>147</v>
      </c>
      <c r="F5320">
        <v>20140107</v>
      </c>
      <c r="G5320" t="s">
        <v>413</v>
      </c>
      <c r="H5320" t="s">
        <v>2549</v>
      </c>
      <c r="I5320" t="s">
        <v>21</v>
      </c>
    </row>
    <row r="5321" spans="1:9" x14ac:dyDescent="0.25">
      <c r="A5321">
        <v>20140109</v>
      </c>
      <c r="B5321" t="str">
        <f>"113528"</f>
        <v>113528</v>
      </c>
      <c r="C5321" t="str">
        <f>"52450"</f>
        <v>52450</v>
      </c>
      <c r="D5321" t="s">
        <v>2548</v>
      </c>
      <c r="E5321">
        <v>299.39999999999998</v>
      </c>
      <c r="F5321">
        <v>20140107</v>
      </c>
      <c r="G5321" t="s">
        <v>413</v>
      </c>
      <c r="H5321" t="s">
        <v>2549</v>
      </c>
      <c r="I5321" t="s">
        <v>21</v>
      </c>
    </row>
    <row r="5322" spans="1:9" x14ac:dyDescent="0.25">
      <c r="A5322">
        <v>20140109</v>
      </c>
      <c r="B5322" t="str">
        <f>"113529"</f>
        <v>113529</v>
      </c>
      <c r="C5322" t="str">
        <f>"00760"</f>
        <v>00760</v>
      </c>
      <c r="D5322" t="s">
        <v>920</v>
      </c>
      <c r="E5322">
        <v>522.99</v>
      </c>
      <c r="F5322">
        <v>20140107</v>
      </c>
      <c r="G5322" t="s">
        <v>789</v>
      </c>
      <c r="H5322" t="s">
        <v>921</v>
      </c>
      <c r="I5322" t="s">
        <v>61</v>
      </c>
    </row>
    <row r="5323" spans="1:9" x14ac:dyDescent="0.25">
      <c r="A5323">
        <v>20140109</v>
      </c>
      <c r="B5323" t="str">
        <f>"113530"</f>
        <v>113530</v>
      </c>
      <c r="C5323" t="str">
        <f>"87231"</f>
        <v>87231</v>
      </c>
      <c r="D5323" t="s">
        <v>428</v>
      </c>
      <c r="E5323">
        <v>18.899999999999999</v>
      </c>
      <c r="F5323">
        <v>20140108</v>
      </c>
      <c r="G5323" t="s">
        <v>410</v>
      </c>
      <c r="H5323" t="s">
        <v>411</v>
      </c>
      <c r="I5323" t="s">
        <v>12</v>
      </c>
    </row>
    <row r="5324" spans="1:9" x14ac:dyDescent="0.25">
      <c r="A5324">
        <v>20140109</v>
      </c>
      <c r="B5324" t="str">
        <f>"113531"</f>
        <v>113531</v>
      </c>
      <c r="C5324" t="str">
        <f>"53300"</f>
        <v>53300</v>
      </c>
      <c r="D5324" t="s">
        <v>1491</v>
      </c>
      <c r="E5324">
        <v>50.97</v>
      </c>
      <c r="F5324">
        <v>20140108</v>
      </c>
      <c r="G5324" t="s">
        <v>631</v>
      </c>
      <c r="H5324" t="s">
        <v>414</v>
      </c>
      <c r="I5324" t="s">
        <v>21</v>
      </c>
    </row>
    <row r="5325" spans="1:9" x14ac:dyDescent="0.25">
      <c r="A5325">
        <v>20140109</v>
      </c>
      <c r="B5325" t="str">
        <f>"113531"</f>
        <v>113531</v>
      </c>
      <c r="C5325" t="str">
        <f>"53300"</f>
        <v>53300</v>
      </c>
      <c r="D5325" t="s">
        <v>1491</v>
      </c>
      <c r="E5325">
        <v>38.99</v>
      </c>
      <c r="F5325">
        <v>20140108</v>
      </c>
      <c r="G5325" t="s">
        <v>392</v>
      </c>
      <c r="H5325" t="s">
        <v>414</v>
      </c>
      <c r="I5325" t="s">
        <v>21</v>
      </c>
    </row>
    <row r="5326" spans="1:9" x14ac:dyDescent="0.25">
      <c r="A5326">
        <v>20140109</v>
      </c>
      <c r="B5326" t="str">
        <f>"113531"</f>
        <v>113531</v>
      </c>
      <c r="C5326" t="str">
        <f>"53300"</f>
        <v>53300</v>
      </c>
      <c r="D5326" t="s">
        <v>1491</v>
      </c>
      <c r="E5326">
        <v>34.17</v>
      </c>
      <c r="F5326">
        <v>20140108</v>
      </c>
      <c r="G5326" t="s">
        <v>1224</v>
      </c>
      <c r="H5326" t="s">
        <v>414</v>
      </c>
      <c r="I5326" t="s">
        <v>21</v>
      </c>
    </row>
    <row r="5327" spans="1:9" x14ac:dyDescent="0.25">
      <c r="A5327">
        <v>20140109</v>
      </c>
      <c r="B5327" t="str">
        <f>"113532"</f>
        <v>113532</v>
      </c>
      <c r="C5327" t="str">
        <f>"53650"</f>
        <v>53650</v>
      </c>
      <c r="D5327" t="s">
        <v>1492</v>
      </c>
      <c r="E5327">
        <v>162.76</v>
      </c>
      <c r="F5327">
        <v>20140108</v>
      </c>
      <c r="G5327" t="s">
        <v>119</v>
      </c>
      <c r="H5327" t="s">
        <v>2869</v>
      </c>
      <c r="I5327" t="s">
        <v>38</v>
      </c>
    </row>
    <row r="5328" spans="1:9" x14ac:dyDescent="0.25">
      <c r="A5328">
        <v>20140109</v>
      </c>
      <c r="B5328" t="str">
        <f>"113533"</f>
        <v>113533</v>
      </c>
      <c r="C5328" t="str">
        <f>"87691"</f>
        <v>87691</v>
      </c>
      <c r="D5328" t="s">
        <v>2870</v>
      </c>
      <c r="E5328" s="1">
        <v>1030.56</v>
      </c>
      <c r="F5328">
        <v>20140108</v>
      </c>
      <c r="G5328" t="s">
        <v>392</v>
      </c>
      <c r="H5328" t="s">
        <v>414</v>
      </c>
      <c r="I5328" t="s">
        <v>21</v>
      </c>
    </row>
    <row r="5329" spans="1:9" x14ac:dyDescent="0.25">
      <c r="A5329">
        <v>20140109</v>
      </c>
      <c r="B5329" t="str">
        <f>"113533"</f>
        <v>113533</v>
      </c>
      <c r="C5329" t="str">
        <f>"87691"</f>
        <v>87691</v>
      </c>
      <c r="D5329" t="s">
        <v>2870</v>
      </c>
      <c r="E5329">
        <v>-20.61</v>
      </c>
      <c r="F5329">
        <v>20140109</v>
      </c>
      <c r="G5329" t="s">
        <v>392</v>
      </c>
      <c r="H5329" t="s">
        <v>2871</v>
      </c>
      <c r="I5329" t="s">
        <v>21</v>
      </c>
    </row>
    <row r="5330" spans="1:9" x14ac:dyDescent="0.25">
      <c r="A5330">
        <v>20140109</v>
      </c>
      <c r="B5330" t="str">
        <f>"113534"</f>
        <v>113534</v>
      </c>
      <c r="C5330" t="str">
        <f>"82978"</f>
        <v>82978</v>
      </c>
      <c r="D5330" t="s">
        <v>2245</v>
      </c>
      <c r="E5330">
        <v>8.49</v>
      </c>
      <c r="F5330">
        <v>20140108</v>
      </c>
      <c r="G5330" t="s">
        <v>840</v>
      </c>
      <c r="H5330" t="s">
        <v>2872</v>
      </c>
      <c r="I5330" t="s">
        <v>21</v>
      </c>
    </row>
    <row r="5331" spans="1:9" x14ac:dyDescent="0.25">
      <c r="A5331">
        <v>20140109</v>
      </c>
      <c r="B5331" t="str">
        <f>"113534"</f>
        <v>113534</v>
      </c>
      <c r="C5331" t="str">
        <f>"82978"</f>
        <v>82978</v>
      </c>
      <c r="D5331" t="s">
        <v>2245</v>
      </c>
      <c r="E5331">
        <v>834.7</v>
      </c>
      <c r="F5331">
        <v>20140108</v>
      </c>
      <c r="G5331" t="s">
        <v>840</v>
      </c>
      <c r="H5331" t="s">
        <v>2873</v>
      </c>
      <c r="I5331" t="s">
        <v>21</v>
      </c>
    </row>
    <row r="5332" spans="1:9" x14ac:dyDescent="0.25">
      <c r="A5332">
        <v>20140109</v>
      </c>
      <c r="B5332" t="str">
        <f>"113535"</f>
        <v>113535</v>
      </c>
      <c r="C5332" t="str">
        <f>"82625"</f>
        <v>82625</v>
      </c>
      <c r="D5332" t="s">
        <v>649</v>
      </c>
      <c r="E5332">
        <v>54.75</v>
      </c>
      <c r="F5332">
        <v>20140108</v>
      </c>
      <c r="G5332" t="s">
        <v>2552</v>
      </c>
      <c r="H5332" t="s">
        <v>2553</v>
      </c>
      <c r="I5332" t="s">
        <v>21</v>
      </c>
    </row>
    <row r="5333" spans="1:9" x14ac:dyDescent="0.25">
      <c r="A5333">
        <v>20140109</v>
      </c>
      <c r="B5333" t="str">
        <f>"113536"</f>
        <v>113536</v>
      </c>
      <c r="C5333" t="str">
        <f>"86712"</f>
        <v>86712</v>
      </c>
      <c r="D5333" t="s">
        <v>2556</v>
      </c>
      <c r="E5333">
        <v>120</v>
      </c>
      <c r="F5333">
        <v>20140108</v>
      </c>
      <c r="G5333" t="s">
        <v>2324</v>
      </c>
      <c r="H5333" t="s">
        <v>765</v>
      </c>
      <c r="I5333" t="s">
        <v>61</v>
      </c>
    </row>
    <row r="5334" spans="1:9" x14ac:dyDescent="0.25">
      <c r="A5334">
        <v>20140109</v>
      </c>
      <c r="B5334" t="str">
        <f>"113537"</f>
        <v>113537</v>
      </c>
      <c r="C5334" t="str">
        <f>"86946"</f>
        <v>86946</v>
      </c>
      <c r="D5334" t="s">
        <v>933</v>
      </c>
      <c r="E5334">
        <v>53.44</v>
      </c>
      <c r="F5334">
        <v>20140107</v>
      </c>
      <c r="G5334" t="s">
        <v>36</v>
      </c>
      <c r="H5334" t="s">
        <v>354</v>
      </c>
      <c r="I5334" t="s">
        <v>38</v>
      </c>
    </row>
    <row r="5335" spans="1:9" x14ac:dyDescent="0.25">
      <c r="A5335">
        <v>20140109</v>
      </c>
      <c r="B5335" t="str">
        <f>"113537"</f>
        <v>113537</v>
      </c>
      <c r="C5335" t="str">
        <f>"86946"</f>
        <v>86946</v>
      </c>
      <c r="D5335" t="s">
        <v>933</v>
      </c>
      <c r="E5335">
        <v>26.75</v>
      </c>
      <c r="F5335">
        <v>20140108</v>
      </c>
      <c r="G5335" t="s">
        <v>36</v>
      </c>
      <c r="H5335" t="s">
        <v>354</v>
      </c>
      <c r="I5335" t="s">
        <v>38</v>
      </c>
    </row>
    <row r="5336" spans="1:9" x14ac:dyDescent="0.25">
      <c r="A5336">
        <v>20140109</v>
      </c>
      <c r="B5336" t="str">
        <f>"113538"</f>
        <v>113538</v>
      </c>
      <c r="C5336" t="str">
        <f>"85323"</f>
        <v>85323</v>
      </c>
      <c r="D5336" t="s">
        <v>2874</v>
      </c>
      <c r="E5336">
        <v>373.41</v>
      </c>
      <c r="F5336">
        <v>20140108</v>
      </c>
      <c r="G5336" t="s">
        <v>1064</v>
      </c>
      <c r="H5336" t="s">
        <v>2875</v>
      </c>
      <c r="I5336" t="s">
        <v>21</v>
      </c>
    </row>
    <row r="5337" spans="1:9" x14ac:dyDescent="0.25">
      <c r="A5337">
        <v>20140109</v>
      </c>
      <c r="B5337" t="str">
        <f>"113539"</f>
        <v>113539</v>
      </c>
      <c r="C5337" t="str">
        <f>"83263"</f>
        <v>83263</v>
      </c>
      <c r="D5337" t="s">
        <v>2876</v>
      </c>
      <c r="E5337">
        <v>99</v>
      </c>
      <c r="F5337">
        <v>20140108</v>
      </c>
      <c r="G5337" t="s">
        <v>410</v>
      </c>
      <c r="H5337" t="s">
        <v>411</v>
      </c>
      <c r="I5337" t="s">
        <v>12</v>
      </c>
    </row>
    <row r="5338" spans="1:9" x14ac:dyDescent="0.25">
      <c r="A5338">
        <v>20140109</v>
      </c>
      <c r="B5338" t="str">
        <f>"113540"</f>
        <v>113540</v>
      </c>
      <c r="C5338" t="str">
        <f>"86964"</f>
        <v>86964</v>
      </c>
      <c r="D5338" t="s">
        <v>1280</v>
      </c>
      <c r="E5338" s="1">
        <v>44180.43</v>
      </c>
      <c r="F5338">
        <v>20140108</v>
      </c>
      <c r="G5338" t="s">
        <v>1067</v>
      </c>
      <c r="H5338" t="s">
        <v>2877</v>
      </c>
      <c r="I5338" t="s">
        <v>21</v>
      </c>
    </row>
    <row r="5339" spans="1:9" x14ac:dyDescent="0.25">
      <c r="A5339">
        <v>20140109</v>
      </c>
      <c r="B5339" t="str">
        <f>"113540"</f>
        <v>113540</v>
      </c>
      <c r="C5339" t="str">
        <f>"86964"</f>
        <v>86964</v>
      </c>
      <c r="D5339" t="s">
        <v>1280</v>
      </c>
      <c r="E5339" s="1">
        <v>1426.36</v>
      </c>
      <c r="F5339">
        <v>20140108</v>
      </c>
      <c r="G5339" t="s">
        <v>1064</v>
      </c>
      <c r="H5339" t="s">
        <v>2878</v>
      </c>
      <c r="I5339" t="s">
        <v>21</v>
      </c>
    </row>
    <row r="5340" spans="1:9" x14ac:dyDescent="0.25">
      <c r="A5340">
        <v>20140109</v>
      </c>
      <c r="B5340" t="str">
        <f>"113540"</f>
        <v>113540</v>
      </c>
      <c r="C5340" t="str">
        <f>"86964"</f>
        <v>86964</v>
      </c>
      <c r="D5340" t="s">
        <v>1280</v>
      </c>
      <c r="E5340" s="1">
        <v>1877.99</v>
      </c>
      <c r="F5340">
        <v>20140108</v>
      </c>
      <c r="G5340" t="s">
        <v>1064</v>
      </c>
      <c r="H5340" t="s">
        <v>2879</v>
      </c>
      <c r="I5340" t="s">
        <v>21</v>
      </c>
    </row>
    <row r="5341" spans="1:9" x14ac:dyDescent="0.25">
      <c r="A5341">
        <v>20140109</v>
      </c>
      <c r="B5341" t="str">
        <f>"113540"</f>
        <v>113540</v>
      </c>
      <c r="C5341" t="str">
        <f>"86964"</f>
        <v>86964</v>
      </c>
      <c r="D5341" t="s">
        <v>1280</v>
      </c>
      <c r="E5341" s="1">
        <v>128910</v>
      </c>
      <c r="F5341">
        <v>20140108</v>
      </c>
      <c r="G5341" t="s">
        <v>2147</v>
      </c>
      <c r="I5341" t="s">
        <v>21</v>
      </c>
    </row>
    <row r="5342" spans="1:9" x14ac:dyDescent="0.25">
      <c r="A5342">
        <v>20140109</v>
      </c>
      <c r="B5342" t="str">
        <f>"113541"</f>
        <v>113541</v>
      </c>
      <c r="C5342" t="str">
        <f>"59080"</f>
        <v>59080</v>
      </c>
      <c r="D5342" t="s">
        <v>2880</v>
      </c>
      <c r="E5342" s="1">
        <v>2020</v>
      </c>
      <c r="F5342">
        <v>20140107</v>
      </c>
      <c r="G5342" t="s">
        <v>367</v>
      </c>
      <c r="H5342" t="s">
        <v>2881</v>
      </c>
      <c r="I5342" t="s">
        <v>21</v>
      </c>
    </row>
    <row r="5343" spans="1:9" x14ac:dyDescent="0.25">
      <c r="A5343">
        <v>20140109</v>
      </c>
      <c r="B5343" t="str">
        <f>"113541"</f>
        <v>113541</v>
      </c>
      <c r="C5343" t="str">
        <f>"59080"</f>
        <v>59080</v>
      </c>
      <c r="D5343" t="s">
        <v>2880</v>
      </c>
      <c r="E5343" s="1">
        <v>2020</v>
      </c>
      <c r="F5343">
        <v>20140107</v>
      </c>
      <c r="G5343" t="s">
        <v>99</v>
      </c>
      <c r="H5343" t="s">
        <v>2881</v>
      </c>
      <c r="I5343" t="s">
        <v>21</v>
      </c>
    </row>
    <row r="5344" spans="1:9" x14ac:dyDescent="0.25">
      <c r="A5344">
        <v>20140109</v>
      </c>
      <c r="B5344" t="str">
        <f>"113542"</f>
        <v>113542</v>
      </c>
      <c r="C5344" t="str">
        <f>"59190"</f>
        <v>59190</v>
      </c>
      <c r="D5344" t="s">
        <v>1499</v>
      </c>
      <c r="E5344">
        <v>93.95</v>
      </c>
      <c r="F5344">
        <v>20140107</v>
      </c>
      <c r="G5344" t="s">
        <v>417</v>
      </c>
      <c r="H5344" t="s">
        <v>414</v>
      </c>
      <c r="I5344" t="s">
        <v>21</v>
      </c>
    </row>
    <row r="5345" spans="1:9" x14ac:dyDescent="0.25">
      <c r="A5345">
        <v>20140109</v>
      </c>
      <c r="B5345" t="str">
        <f>"113543"</f>
        <v>113543</v>
      </c>
      <c r="C5345" t="str">
        <f>"81001"</f>
        <v>81001</v>
      </c>
      <c r="D5345" t="s">
        <v>2882</v>
      </c>
      <c r="E5345">
        <v>235.44</v>
      </c>
      <c r="F5345">
        <v>20140107</v>
      </c>
      <c r="G5345" t="s">
        <v>2409</v>
      </c>
      <c r="H5345" t="s">
        <v>921</v>
      </c>
      <c r="I5345" t="s">
        <v>66</v>
      </c>
    </row>
    <row r="5346" spans="1:9" x14ac:dyDescent="0.25">
      <c r="A5346">
        <v>20140109</v>
      </c>
      <c r="B5346" t="str">
        <f>"113544"</f>
        <v>113544</v>
      </c>
      <c r="C5346" t="str">
        <f>"86795"</f>
        <v>86795</v>
      </c>
      <c r="D5346" t="s">
        <v>430</v>
      </c>
      <c r="E5346">
        <v>21.15</v>
      </c>
      <c r="F5346">
        <v>20140108</v>
      </c>
      <c r="G5346" t="s">
        <v>410</v>
      </c>
      <c r="H5346" t="s">
        <v>411</v>
      </c>
      <c r="I5346" t="s">
        <v>12</v>
      </c>
    </row>
    <row r="5347" spans="1:9" x14ac:dyDescent="0.25">
      <c r="A5347">
        <v>20140109</v>
      </c>
      <c r="B5347" t="str">
        <f>"113545"</f>
        <v>113545</v>
      </c>
      <c r="C5347" t="str">
        <f>"84891"</f>
        <v>84891</v>
      </c>
      <c r="D5347" t="s">
        <v>2747</v>
      </c>
      <c r="E5347">
        <v>35.1</v>
      </c>
      <c r="F5347">
        <v>20140108</v>
      </c>
      <c r="G5347" t="s">
        <v>410</v>
      </c>
      <c r="H5347" t="s">
        <v>411</v>
      </c>
      <c r="I5347" t="s">
        <v>12</v>
      </c>
    </row>
    <row r="5348" spans="1:9" x14ac:dyDescent="0.25">
      <c r="A5348">
        <v>20140109</v>
      </c>
      <c r="B5348" t="str">
        <f>"113546"</f>
        <v>113546</v>
      </c>
      <c r="C5348" t="str">
        <f>"00032"</f>
        <v>00032</v>
      </c>
      <c r="D5348" t="s">
        <v>109</v>
      </c>
      <c r="E5348">
        <v>537.5</v>
      </c>
      <c r="F5348">
        <v>20140107</v>
      </c>
      <c r="G5348" t="s">
        <v>2579</v>
      </c>
      <c r="H5348" t="s">
        <v>1109</v>
      </c>
      <c r="I5348" t="s">
        <v>58</v>
      </c>
    </row>
    <row r="5349" spans="1:9" x14ac:dyDescent="0.25">
      <c r="A5349">
        <v>20140109</v>
      </c>
      <c r="B5349" t="str">
        <f>"113547"</f>
        <v>113547</v>
      </c>
      <c r="C5349" t="str">
        <f>"86746"</f>
        <v>86746</v>
      </c>
      <c r="D5349" t="s">
        <v>380</v>
      </c>
      <c r="E5349" s="1">
        <v>1650</v>
      </c>
      <c r="F5349">
        <v>20140107</v>
      </c>
      <c r="G5349" t="s">
        <v>1504</v>
      </c>
      <c r="H5349" t="s">
        <v>2883</v>
      </c>
      <c r="I5349" t="s">
        <v>21</v>
      </c>
    </row>
    <row r="5350" spans="1:9" x14ac:dyDescent="0.25">
      <c r="A5350">
        <v>20140109</v>
      </c>
      <c r="B5350" t="str">
        <f>"113548"</f>
        <v>113548</v>
      </c>
      <c r="C5350" t="str">
        <f>"84214"</f>
        <v>84214</v>
      </c>
      <c r="D5350" t="s">
        <v>431</v>
      </c>
      <c r="E5350">
        <v>41.85</v>
      </c>
      <c r="F5350">
        <v>20140108</v>
      </c>
      <c r="G5350" t="s">
        <v>410</v>
      </c>
      <c r="H5350" t="s">
        <v>411</v>
      </c>
      <c r="I5350" t="s">
        <v>12</v>
      </c>
    </row>
    <row r="5351" spans="1:9" x14ac:dyDescent="0.25">
      <c r="A5351">
        <v>20140109</v>
      </c>
      <c r="B5351" t="str">
        <f>"113549"</f>
        <v>113549</v>
      </c>
      <c r="C5351" t="str">
        <f>"87680"</f>
        <v>87680</v>
      </c>
      <c r="D5351" t="s">
        <v>2884</v>
      </c>
      <c r="E5351">
        <v>258.72000000000003</v>
      </c>
      <c r="F5351">
        <v>20140107</v>
      </c>
      <c r="G5351" t="s">
        <v>1846</v>
      </c>
      <c r="H5351" t="s">
        <v>765</v>
      </c>
      <c r="I5351" t="s">
        <v>63</v>
      </c>
    </row>
    <row r="5352" spans="1:9" x14ac:dyDescent="0.25">
      <c r="A5352">
        <v>20140109</v>
      </c>
      <c r="B5352" t="str">
        <f>"113550"</f>
        <v>113550</v>
      </c>
      <c r="C5352" t="str">
        <f>"87681"</f>
        <v>87681</v>
      </c>
      <c r="D5352" t="s">
        <v>2885</v>
      </c>
      <c r="E5352">
        <v>243.76</v>
      </c>
      <c r="F5352">
        <v>20140107</v>
      </c>
      <c r="G5352" t="s">
        <v>1846</v>
      </c>
      <c r="H5352" t="s">
        <v>765</v>
      </c>
      <c r="I5352" t="s">
        <v>63</v>
      </c>
    </row>
    <row r="5353" spans="1:9" x14ac:dyDescent="0.25">
      <c r="A5353">
        <v>20140109</v>
      </c>
      <c r="B5353" t="str">
        <f>"113551"</f>
        <v>113551</v>
      </c>
      <c r="C5353" t="str">
        <f>"83617"</f>
        <v>83617</v>
      </c>
      <c r="D5353" t="s">
        <v>1289</v>
      </c>
      <c r="E5353">
        <v>352.67</v>
      </c>
      <c r="F5353">
        <v>20140108</v>
      </c>
      <c r="G5353" t="s">
        <v>2211</v>
      </c>
      <c r="H5353" t="s">
        <v>563</v>
      </c>
      <c r="I5353" t="s">
        <v>2212</v>
      </c>
    </row>
    <row r="5354" spans="1:9" x14ac:dyDescent="0.25">
      <c r="A5354">
        <v>20140109</v>
      </c>
      <c r="B5354" t="str">
        <f>"113552"</f>
        <v>113552</v>
      </c>
      <c r="C5354" t="str">
        <f>"87224"</f>
        <v>87224</v>
      </c>
      <c r="D5354" t="s">
        <v>2886</v>
      </c>
      <c r="E5354">
        <v>120</v>
      </c>
      <c r="F5354">
        <v>20140107</v>
      </c>
      <c r="G5354" t="s">
        <v>2324</v>
      </c>
      <c r="H5354" t="s">
        <v>765</v>
      </c>
      <c r="I5354" t="s">
        <v>61</v>
      </c>
    </row>
    <row r="5355" spans="1:9" x14ac:dyDescent="0.25">
      <c r="A5355">
        <v>20140109</v>
      </c>
      <c r="B5355" t="str">
        <f>"113553"</f>
        <v>113553</v>
      </c>
      <c r="C5355" t="str">
        <f>"81309"</f>
        <v>81309</v>
      </c>
      <c r="D5355" t="s">
        <v>1921</v>
      </c>
      <c r="E5355">
        <v>645</v>
      </c>
      <c r="F5355">
        <v>20140108</v>
      </c>
      <c r="G5355" t="s">
        <v>496</v>
      </c>
      <c r="H5355" t="s">
        <v>414</v>
      </c>
      <c r="I5355" t="s">
        <v>21</v>
      </c>
    </row>
    <row r="5356" spans="1:9" x14ac:dyDescent="0.25">
      <c r="A5356">
        <v>20140109</v>
      </c>
      <c r="B5356" t="str">
        <f>"113554"</f>
        <v>113554</v>
      </c>
      <c r="C5356" t="str">
        <f>"62900"</f>
        <v>62900</v>
      </c>
      <c r="D5356" t="s">
        <v>1293</v>
      </c>
      <c r="E5356">
        <v>29.89</v>
      </c>
      <c r="F5356">
        <v>20140108</v>
      </c>
      <c r="G5356" t="s">
        <v>214</v>
      </c>
      <c r="H5356" t="s">
        <v>2887</v>
      </c>
      <c r="I5356" t="s">
        <v>38</v>
      </c>
    </row>
    <row r="5357" spans="1:9" x14ac:dyDescent="0.25">
      <c r="A5357">
        <v>20140109</v>
      </c>
      <c r="B5357" t="str">
        <f>"113555"</f>
        <v>113555</v>
      </c>
      <c r="C5357" t="str">
        <f>"85523"</f>
        <v>85523</v>
      </c>
      <c r="D5357" t="s">
        <v>1658</v>
      </c>
      <c r="E5357">
        <v>20.16</v>
      </c>
      <c r="F5357">
        <v>20140107</v>
      </c>
      <c r="G5357" t="s">
        <v>36</v>
      </c>
      <c r="H5357" t="s">
        <v>354</v>
      </c>
      <c r="I5357" t="s">
        <v>38</v>
      </c>
    </row>
    <row r="5358" spans="1:9" x14ac:dyDescent="0.25">
      <c r="A5358">
        <v>20140109</v>
      </c>
      <c r="B5358" t="str">
        <f>"113556"</f>
        <v>113556</v>
      </c>
      <c r="C5358" t="str">
        <f>"86055"</f>
        <v>86055</v>
      </c>
      <c r="D5358" t="s">
        <v>1934</v>
      </c>
      <c r="E5358">
        <v>120</v>
      </c>
      <c r="F5358">
        <v>20140107</v>
      </c>
      <c r="G5358" t="s">
        <v>2324</v>
      </c>
      <c r="H5358" t="s">
        <v>765</v>
      </c>
      <c r="I5358" t="s">
        <v>61</v>
      </c>
    </row>
    <row r="5359" spans="1:9" x14ac:dyDescent="0.25">
      <c r="A5359">
        <v>20140109</v>
      </c>
      <c r="B5359" t="str">
        <f>"113557"</f>
        <v>113557</v>
      </c>
      <c r="C5359" t="str">
        <f>"86051"</f>
        <v>86051</v>
      </c>
      <c r="D5359" t="s">
        <v>2888</v>
      </c>
      <c r="E5359">
        <v>120</v>
      </c>
      <c r="F5359">
        <v>20140108</v>
      </c>
      <c r="G5359" t="s">
        <v>2324</v>
      </c>
      <c r="H5359" t="s">
        <v>765</v>
      </c>
      <c r="I5359" t="s">
        <v>61</v>
      </c>
    </row>
    <row r="5360" spans="1:9" x14ac:dyDescent="0.25">
      <c r="A5360">
        <v>20140109</v>
      </c>
      <c r="B5360" t="str">
        <f>"113558"</f>
        <v>113558</v>
      </c>
      <c r="C5360" t="str">
        <f>"87547"</f>
        <v>87547</v>
      </c>
      <c r="D5360" t="s">
        <v>1519</v>
      </c>
      <c r="E5360">
        <v>85</v>
      </c>
      <c r="F5360">
        <v>20140108</v>
      </c>
      <c r="G5360" t="s">
        <v>2820</v>
      </c>
      <c r="H5360" t="s">
        <v>765</v>
      </c>
      <c r="I5360" t="s">
        <v>61</v>
      </c>
    </row>
    <row r="5361" spans="1:9" x14ac:dyDescent="0.25">
      <c r="A5361">
        <v>20140109</v>
      </c>
      <c r="B5361" t="str">
        <f>"113559"</f>
        <v>113559</v>
      </c>
      <c r="C5361" t="str">
        <f>"81411"</f>
        <v>81411</v>
      </c>
      <c r="D5361" t="s">
        <v>687</v>
      </c>
      <c r="E5361">
        <v>804</v>
      </c>
      <c r="F5361">
        <v>20140108</v>
      </c>
      <c r="G5361" t="s">
        <v>496</v>
      </c>
      <c r="H5361" t="s">
        <v>688</v>
      </c>
      <c r="I5361" t="s">
        <v>21</v>
      </c>
    </row>
    <row r="5362" spans="1:9" x14ac:dyDescent="0.25">
      <c r="A5362">
        <v>20140109</v>
      </c>
      <c r="B5362" t="str">
        <f>"113560"</f>
        <v>113560</v>
      </c>
      <c r="C5362" t="str">
        <f>"87678"</f>
        <v>87678</v>
      </c>
      <c r="D5362" t="s">
        <v>2889</v>
      </c>
      <c r="E5362">
        <v>243.76</v>
      </c>
      <c r="F5362">
        <v>20140107</v>
      </c>
      <c r="G5362" t="s">
        <v>1846</v>
      </c>
      <c r="H5362" t="s">
        <v>765</v>
      </c>
      <c r="I5362" t="s">
        <v>63</v>
      </c>
    </row>
    <row r="5363" spans="1:9" x14ac:dyDescent="0.25">
      <c r="A5363">
        <v>20140109</v>
      </c>
      <c r="B5363" t="str">
        <f>"113561"</f>
        <v>113561</v>
      </c>
      <c r="C5363" t="str">
        <f>"83985"</f>
        <v>83985</v>
      </c>
      <c r="D5363" t="s">
        <v>2890</v>
      </c>
      <c r="E5363" s="1">
        <v>4471.93</v>
      </c>
      <c r="F5363">
        <v>20140107</v>
      </c>
      <c r="G5363" t="s">
        <v>2292</v>
      </c>
      <c r="H5363" t="s">
        <v>1046</v>
      </c>
      <c r="I5363" t="s">
        <v>63</v>
      </c>
    </row>
    <row r="5364" spans="1:9" x14ac:dyDescent="0.25">
      <c r="A5364">
        <v>20140109</v>
      </c>
      <c r="B5364" t="str">
        <f>"113562"</f>
        <v>113562</v>
      </c>
      <c r="C5364" t="str">
        <f>"68960"</f>
        <v>68960</v>
      </c>
      <c r="D5364" t="s">
        <v>689</v>
      </c>
      <c r="E5364">
        <v>35</v>
      </c>
      <c r="F5364">
        <v>20140107</v>
      </c>
      <c r="G5364" t="s">
        <v>356</v>
      </c>
      <c r="H5364" t="s">
        <v>357</v>
      </c>
      <c r="I5364" t="s">
        <v>61</v>
      </c>
    </row>
    <row r="5365" spans="1:9" x14ac:dyDescent="0.25">
      <c r="A5365">
        <v>20140109</v>
      </c>
      <c r="B5365" t="str">
        <f>"113563"</f>
        <v>113563</v>
      </c>
      <c r="C5365" t="str">
        <f>"86745"</f>
        <v>86745</v>
      </c>
      <c r="D5365" t="s">
        <v>2573</v>
      </c>
      <c r="E5365">
        <v>120</v>
      </c>
      <c r="F5365">
        <v>20140108</v>
      </c>
      <c r="G5365" t="s">
        <v>2324</v>
      </c>
      <c r="H5365" t="s">
        <v>765</v>
      </c>
      <c r="I5365" t="s">
        <v>61</v>
      </c>
    </row>
    <row r="5366" spans="1:9" x14ac:dyDescent="0.25">
      <c r="A5366">
        <v>20140109</v>
      </c>
      <c r="B5366" t="str">
        <f>"113564"</f>
        <v>113564</v>
      </c>
      <c r="C5366" t="str">
        <f>"86376"</f>
        <v>86376</v>
      </c>
      <c r="D5366" t="s">
        <v>1661</v>
      </c>
      <c r="E5366" s="1">
        <v>1103</v>
      </c>
      <c r="F5366">
        <v>20140108</v>
      </c>
      <c r="G5366" t="s">
        <v>1399</v>
      </c>
      <c r="H5366" t="s">
        <v>2891</v>
      </c>
      <c r="I5366" t="s">
        <v>21</v>
      </c>
    </row>
    <row r="5367" spans="1:9" x14ac:dyDescent="0.25">
      <c r="A5367">
        <v>20140109</v>
      </c>
      <c r="B5367" t="str">
        <f>"113565"</f>
        <v>113565</v>
      </c>
      <c r="C5367" t="str">
        <f>"82348"</f>
        <v>82348</v>
      </c>
      <c r="D5367" t="s">
        <v>2892</v>
      </c>
      <c r="E5367">
        <v>433.37</v>
      </c>
      <c r="F5367">
        <v>20140107</v>
      </c>
      <c r="G5367" t="s">
        <v>965</v>
      </c>
      <c r="H5367" t="s">
        <v>921</v>
      </c>
      <c r="I5367" t="s">
        <v>21</v>
      </c>
    </row>
    <row r="5368" spans="1:9" x14ac:dyDescent="0.25">
      <c r="A5368">
        <v>20140109</v>
      </c>
      <c r="B5368" t="str">
        <f>"113566"</f>
        <v>113566</v>
      </c>
      <c r="C5368" t="str">
        <f>"87610"</f>
        <v>87610</v>
      </c>
      <c r="D5368" t="s">
        <v>2291</v>
      </c>
      <c r="E5368" s="1">
        <v>20380</v>
      </c>
      <c r="F5368">
        <v>20140107</v>
      </c>
      <c r="G5368" t="s">
        <v>2292</v>
      </c>
      <c r="H5368" t="s">
        <v>2893</v>
      </c>
      <c r="I5368" t="s">
        <v>63</v>
      </c>
    </row>
    <row r="5369" spans="1:9" x14ac:dyDescent="0.25">
      <c r="A5369">
        <v>20140109</v>
      </c>
      <c r="B5369" t="str">
        <f t="shared" ref="B5369:B5377" si="351">"113567"</f>
        <v>113567</v>
      </c>
      <c r="C5369" t="str">
        <f t="shared" ref="C5369:C5377" si="352">"00391"</f>
        <v>00391</v>
      </c>
      <c r="D5369" t="s">
        <v>2894</v>
      </c>
      <c r="E5369">
        <v>490</v>
      </c>
      <c r="F5369">
        <v>20140107</v>
      </c>
      <c r="G5369" t="s">
        <v>810</v>
      </c>
      <c r="H5369" t="s">
        <v>954</v>
      </c>
      <c r="I5369" t="s">
        <v>66</v>
      </c>
    </row>
    <row r="5370" spans="1:9" x14ac:dyDescent="0.25">
      <c r="A5370">
        <v>20140109</v>
      </c>
      <c r="B5370" t="str">
        <f t="shared" si="351"/>
        <v>113567</v>
      </c>
      <c r="C5370" t="str">
        <f t="shared" si="352"/>
        <v>00391</v>
      </c>
      <c r="D5370" t="s">
        <v>2894</v>
      </c>
      <c r="E5370">
        <v>735</v>
      </c>
      <c r="F5370">
        <v>20140107</v>
      </c>
      <c r="G5370" t="s">
        <v>2028</v>
      </c>
      <c r="H5370" t="s">
        <v>954</v>
      </c>
      <c r="I5370" t="s">
        <v>66</v>
      </c>
    </row>
    <row r="5371" spans="1:9" x14ac:dyDescent="0.25">
      <c r="A5371">
        <v>20140109</v>
      </c>
      <c r="B5371" t="str">
        <f t="shared" si="351"/>
        <v>113567</v>
      </c>
      <c r="C5371" t="str">
        <f t="shared" si="352"/>
        <v>00391</v>
      </c>
      <c r="D5371" t="s">
        <v>2894</v>
      </c>
      <c r="E5371">
        <v>980</v>
      </c>
      <c r="F5371">
        <v>20140107</v>
      </c>
      <c r="G5371" t="s">
        <v>817</v>
      </c>
      <c r="H5371" t="s">
        <v>954</v>
      </c>
      <c r="I5371" t="s">
        <v>66</v>
      </c>
    </row>
    <row r="5372" spans="1:9" x14ac:dyDescent="0.25">
      <c r="A5372">
        <v>20140109</v>
      </c>
      <c r="B5372" t="str">
        <f t="shared" si="351"/>
        <v>113567</v>
      </c>
      <c r="C5372" t="str">
        <f t="shared" si="352"/>
        <v>00391</v>
      </c>
      <c r="D5372" t="s">
        <v>2894</v>
      </c>
      <c r="E5372">
        <v>245</v>
      </c>
      <c r="F5372">
        <v>20140107</v>
      </c>
      <c r="G5372" t="s">
        <v>922</v>
      </c>
      <c r="H5372" t="s">
        <v>954</v>
      </c>
      <c r="I5372" t="s">
        <v>66</v>
      </c>
    </row>
    <row r="5373" spans="1:9" x14ac:dyDescent="0.25">
      <c r="A5373">
        <v>20140109</v>
      </c>
      <c r="B5373" t="str">
        <f t="shared" si="351"/>
        <v>113567</v>
      </c>
      <c r="C5373" t="str">
        <f t="shared" si="352"/>
        <v>00391</v>
      </c>
      <c r="D5373" t="s">
        <v>2894</v>
      </c>
      <c r="E5373">
        <v>490</v>
      </c>
      <c r="F5373">
        <v>20140107</v>
      </c>
      <c r="G5373" t="s">
        <v>923</v>
      </c>
      <c r="H5373" t="s">
        <v>954</v>
      </c>
      <c r="I5373" t="s">
        <v>66</v>
      </c>
    </row>
    <row r="5374" spans="1:9" x14ac:dyDescent="0.25">
      <c r="A5374">
        <v>20140109</v>
      </c>
      <c r="B5374" t="str">
        <f t="shared" si="351"/>
        <v>113567</v>
      </c>
      <c r="C5374" t="str">
        <f t="shared" si="352"/>
        <v>00391</v>
      </c>
      <c r="D5374" t="s">
        <v>2894</v>
      </c>
      <c r="E5374">
        <v>490</v>
      </c>
      <c r="F5374">
        <v>20140107</v>
      </c>
      <c r="G5374" t="s">
        <v>924</v>
      </c>
      <c r="H5374" t="s">
        <v>954</v>
      </c>
      <c r="I5374" t="s">
        <v>66</v>
      </c>
    </row>
    <row r="5375" spans="1:9" x14ac:dyDescent="0.25">
      <c r="A5375">
        <v>20140109</v>
      </c>
      <c r="B5375" t="str">
        <f t="shared" si="351"/>
        <v>113567</v>
      </c>
      <c r="C5375" t="str">
        <f t="shared" si="352"/>
        <v>00391</v>
      </c>
      <c r="D5375" t="s">
        <v>2894</v>
      </c>
      <c r="E5375">
        <v>245</v>
      </c>
      <c r="F5375">
        <v>20140107</v>
      </c>
      <c r="G5375" t="s">
        <v>925</v>
      </c>
      <c r="H5375" t="s">
        <v>954</v>
      </c>
      <c r="I5375" t="s">
        <v>66</v>
      </c>
    </row>
    <row r="5376" spans="1:9" x14ac:dyDescent="0.25">
      <c r="A5376">
        <v>20140109</v>
      </c>
      <c r="B5376" t="str">
        <f t="shared" si="351"/>
        <v>113567</v>
      </c>
      <c r="C5376" t="str">
        <f t="shared" si="352"/>
        <v>00391</v>
      </c>
      <c r="D5376" t="s">
        <v>2894</v>
      </c>
      <c r="E5376">
        <v>245</v>
      </c>
      <c r="F5376">
        <v>20140107</v>
      </c>
      <c r="G5376" t="s">
        <v>925</v>
      </c>
      <c r="H5376" t="s">
        <v>954</v>
      </c>
      <c r="I5376" t="s">
        <v>66</v>
      </c>
    </row>
    <row r="5377" spans="1:9" x14ac:dyDescent="0.25">
      <c r="A5377">
        <v>20140109</v>
      </c>
      <c r="B5377" t="str">
        <f t="shared" si="351"/>
        <v>113567</v>
      </c>
      <c r="C5377" t="str">
        <f t="shared" si="352"/>
        <v>00391</v>
      </c>
      <c r="D5377" t="s">
        <v>2894</v>
      </c>
      <c r="E5377">
        <v>245</v>
      </c>
      <c r="F5377">
        <v>20140107</v>
      </c>
      <c r="G5377" t="s">
        <v>2895</v>
      </c>
      <c r="H5377" t="s">
        <v>954</v>
      </c>
      <c r="I5377" t="s">
        <v>66</v>
      </c>
    </row>
    <row r="5378" spans="1:9" x14ac:dyDescent="0.25">
      <c r="A5378">
        <v>20140109</v>
      </c>
      <c r="B5378" t="str">
        <f>"113568"</f>
        <v>113568</v>
      </c>
      <c r="C5378" t="str">
        <f>"87682"</f>
        <v>87682</v>
      </c>
      <c r="D5378" t="s">
        <v>2896</v>
      </c>
      <c r="E5378" s="1">
        <v>1500</v>
      </c>
      <c r="F5378">
        <v>20140107</v>
      </c>
      <c r="G5378" t="s">
        <v>810</v>
      </c>
      <c r="H5378" t="s">
        <v>2897</v>
      </c>
      <c r="I5378" t="s">
        <v>66</v>
      </c>
    </row>
    <row r="5379" spans="1:9" x14ac:dyDescent="0.25">
      <c r="A5379">
        <v>20140109</v>
      </c>
      <c r="B5379" t="str">
        <f>"113569"</f>
        <v>113569</v>
      </c>
      <c r="C5379" t="str">
        <f>"86596"</f>
        <v>86596</v>
      </c>
      <c r="D5379" t="s">
        <v>1683</v>
      </c>
      <c r="E5379" s="1">
        <v>1826.53</v>
      </c>
      <c r="F5379">
        <v>20140108</v>
      </c>
      <c r="G5379" t="s">
        <v>1684</v>
      </c>
      <c r="H5379" t="s">
        <v>1685</v>
      </c>
      <c r="I5379" t="s">
        <v>21</v>
      </c>
    </row>
    <row r="5380" spans="1:9" x14ac:dyDescent="0.25">
      <c r="A5380">
        <v>20140109</v>
      </c>
      <c r="B5380" t="str">
        <f>"113570"</f>
        <v>113570</v>
      </c>
      <c r="C5380" t="str">
        <f>"73982"</f>
        <v>73982</v>
      </c>
      <c r="D5380" t="s">
        <v>701</v>
      </c>
      <c r="E5380">
        <v>55.45</v>
      </c>
      <c r="F5380">
        <v>20140108</v>
      </c>
      <c r="G5380" t="s">
        <v>636</v>
      </c>
      <c r="H5380" t="s">
        <v>365</v>
      </c>
      <c r="I5380" t="s">
        <v>21</v>
      </c>
    </row>
    <row r="5381" spans="1:9" x14ac:dyDescent="0.25">
      <c r="A5381">
        <v>20140109</v>
      </c>
      <c r="B5381" t="str">
        <f>"113571"</f>
        <v>113571</v>
      </c>
      <c r="C5381" t="str">
        <f>"87616"</f>
        <v>87616</v>
      </c>
      <c r="D5381" t="s">
        <v>711</v>
      </c>
      <c r="E5381">
        <v>597.5</v>
      </c>
      <c r="F5381">
        <v>20140108</v>
      </c>
      <c r="G5381" t="s">
        <v>289</v>
      </c>
      <c r="H5381" t="s">
        <v>2898</v>
      </c>
      <c r="I5381" t="s">
        <v>38</v>
      </c>
    </row>
    <row r="5382" spans="1:9" x14ac:dyDescent="0.25">
      <c r="A5382">
        <v>20140109</v>
      </c>
      <c r="B5382" t="str">
        <f t="shared" ref="B5382:B5397" si="353">"113572"</f>
        <v>113572</v>
      </c>
      <c r="C5382" t="str">
        <f t="shared" ref="C5382:C5397" si="354">"69310"</f>
        <v>69310</v>
      </c>
      <c r="D5382" t="s">
        <v>716</v>
      </c>
      <c r="E5382" s="1">
        <v>42679.49</v>
      </c>
      <c r="F5382">
        <v>20140108</v>
      </c>
      <c r="G5382" t="s">
        <v>718</v>
      </c>
      <c r="H5382" t="s">
        <v>488</v>
      </c>
      <c r="I5382" t="s">
        <v>21</v>
      </c>
    </row>
    <row r="5383" spans="1:9" x14ac:dyDescent="0.25">
      <c r="A5383">
        <v>20140109</v>
      </c>
      <c r="B5383" t="str">
        <f t="shared" si="353"/>
        <v>113572</v>
      </c>
      <c r="C5383" t="str">
        <f t="shared" si="354"/>
        <v>69310</v>
      </c>
      <c r="D5383" t="s">
        <v>716</v>
      </c>
      <c r="E5383">
        <v>69.290000000000006</v>
      </c>
      <c r="F5383">
        <v>20140108</v>
      </c>
      <c r="G5383" t="s">
        <v>718</v>
      </c>
      <c r="H5383" t="s">
        <v>488</v>
      </c>
      <c r="I5383" t="s">
        <v>21</v>
      </c>
    </row>
    <row r="5384" spans="1:9" x14ac:dyDescent="0.25">
      <c r="A5384">
        <v>20140109</v>
      </c>
      <c r="B5384" t="str">
        <f t="shared" si="353"/>
        <v>113572</v>
      </c>
      <c r="C5384" t="str">
        <f t="shared" si="354"/>
        <v>69310</v>
      </c>
      <c r="D5384" t="s">
        <v>716</v>
      </c>
      <c r="E5384">
        <v>61.72</v>
      </c>
      <c r="F5384">
        <v>20140108</v>
      </c>
      <c r="G5384" t="s">
        <v>718</v>
      </c>
      <c r="H5384" t="s">
        <v>488</v>
      </c>
      <c r="I5384" t="s">
        <v>21</v>
      </c>
    </row>
    <row r="5385" spans="1:9" x14ac:dyDescent="0.25">
      <c r="A5385">
        <v>20140109</v>
      </c>
      <c r="B5385" t="str">
        <f t="shared" si="353"/>
        <v>113572</v>
      </c>
      <c r="C5385" t="str">
        <f t="shared" si="354"/>
        <v>69310</v>
      </c>
      <c r="D5385" t="s">
        <v>716</v>
      </c>
      <c r="E5385" s="1">
        <v>10620.63</v>
      </c>
      <c r="F5385">
        <v>20140108</v>
      </c>
      <c r="G5385" t="s">
        <v>719</v>
      </c>
      <c r="H5385" t="s">
        <v>488</v>
      </c>
      <c r="I5385" t="s">
        <v>21</v>
      </c>
    </row>
    <row r="5386" spans="1:9" x14ac:dyDescent="0.25">
      <c r="A5386">
        <v>20140109</v>
      </c>
      <c r="B5386" t="str">
        <f t="shared" si="353"/>
        <v>113572</v>
      </c>
      <c r="C5386" t="str">
        <f t="shared" si="354"/>
        <v>69310</v>
      </c>
      <c r="D5386" t="s">
        <v>716</v>
      </c>
      <c r="E5386">
        <v>279.12</v>
      </c>
      <c r="F5386">
        <v>20140108</v>
      </c>
      <c r="G5386" t="s">
        <v>720</v>
      </c>
      <c r="H5386" t="s">
        <v>488</v>
      </c>
      <c r="I5386" t="s">
        <v>21</v>
      </c>
    </row>
    <row r="5387" spans="1:9" x14ac:dyDescent="0.25">
      <c r="A5387">
        <v>20140109</v>
      </c>
      <c r="B5387" t="str">
        <f t="shared" si="353"/>
        <v>113572</v>
      </c>
      <c r="C5387" t="str">
        <f t="shared" si="354"/>
        <v>69310</v>
      </c>
      <c r="D5387" t="s">
        <v>716</v>
      </c>
      <c r="E5387" s="1">
        <v>8007.64</v>
      </c>
      <c r="F5387">
        <v>20140108</v>
      </c>
      <c r="G5387" t="s">
        <v>720</v>
      </c>
      <c r="H5387" t="s">
        <v>488</v>
      </c>
      <c r="I5387" t="s">
        <v>21</v>
      </c>
    </row>
    <row r="5388" spans="1:9" x14ac:dyDescent="0.25">
      <c r="A5388">
        <v>20140109</v>
      </c>
      <c r="B5388" t="str">
        <f t="shared" si="353"/>
        <v>113572</v>
      </c>
      <c r="C5388" t="str">
        <f t="shared" si="354"/>
        <v>69310</v>
      </c>
      <c r="D5388" t="s">
        <v>716</v>
      </c>
      <c r="E5388" s="1">
        <v>8224.82</v>
      </c>
      <c r="F5388">
        <v>20140108</v>
      </c>
      <c r="G5388" t="s">
        <v>721</v>
      </c>
      <c r="H5388" t="s">
        <v>488</v>
      </c>
      <c r="I5388" t="s">
        <v>21</v>
      </c>
    </row>
    <row r="5389" spans="1:9" x14ac:dyDescent="0.25">
      <c r="A5389">
        <v>20140109</v>
      </c>
      <c r="B5389" t="str">
        <f t="shared" si="353"/>
        <v>113572</v>
      </c>
      <c r="C5389" t="str">
        <f t="shared" si="354"/>
        <v>69310</v>
      </c>
      <c r="D5389" t="s">
        <v>716</v>
      </c>
      <c r="E5389" s="1">
        <v>9072.68</v>
      </c>
      <c r="F5389">
        <v>20140108</v>
      </c>
      <c r="G5389" t="s">
        <v>722</v>
      </c>
      <c r="H5389" t="s">
        <v>488</v>
      </c>
      <c r="I5389" t="s">
        <v>21</v>
      </c>
    </row>
    <row r="5390" spans="1:9" x14ac:dyDescent="0.25">
      <c r="A5390">
        <v>20140109</v>
      </c>
      <c r="B5390" t="str">
        <f t="shared" si="353"/>
        <v>113572</v>
      </c>
      <c r="C5390" t="str">
        <f t="shared" si="354"/>
        <v>69310</v>
      </c>
      <c r="D5390" t="s">
        <v>716</v>
      </c>
      <c r="E5390" s="1">
        <v>6727.68</v>
      </c>
      <c r="F5390">
        <v>20140108</v>
      </c>
      <c r="G5390" t="s">
        <v>723</v>
      </c>
      <c r="H5390" t="s">
        <v>488</v>
      </c>
      <c r="I5390" t="s">
        <v>21</v>
      </c>
    </row>
    <row r="5391" spans="1:9" x14ac:dyDescent="0.25">
      <c r="A5391">
        <v>20140109</v>
      </c>
      <c r="B5391" t="str">
        <f t="shared" si="353"/>
        <v>113572</v>
      </c>
      <c r="C5391" t="str">
        <f t="shared" si="354"/>
        <v>69310</v>
      </c>
      <c r="D5391" t="s">
        <v>716</v>
      </c>
      <c r="E5391" s="1">
        <v>4377.1899999999996</v>
      </c>
      <c r="F5391">
        <v>20140108</v>
      </c>
      <c r="G5391" t="s">
        <v>724</v>
      </c>
      <c r="H5391" t="s">
        <v>488</v>
      </c>
      <c r="I5391" t="s">
        <v>21</v>
      </c>
    </row>
    <row r="5392" spans="1:9" x14ac:dyDescent="0.25">
      <c r="A5392">
        <v>20140109</v>
      </c>
      <c r="B5392" t="str">
        <f t="shared" si="353"/>
        <v>113572</v>
      </c>
      <c r="C5392" t="str">
        <f t="shared" si="354"/>
        <v>69310</v>
      </c>
      <c r="D5392" t="s">
        <v>716</v>
      </c>
      <c r="E5392" s="1">
        <v>9111.33</v>
      </c>
      <c r="F5392">
        <v>20140108</v>
      </c>
      <c r="G5392" t="s">
        <v>725</v>
      </c>
      <c r="H5392" t="s">
        <v>488</v>
      </c>
      <c r="I5392" t="s">
        <v>21</v>
      </c>
    </row>
    <row r="5393" spans="1:9" x14ac:dyDescent="0.25">
      <c r="A5393">
        <v>20140109</v>
      </c>
      <c r="B5393" t="str">
        <f t="shared" si="353"/>
        <v>113572</v>
      </c>
      <c r="C5393" t="str">
        <f t="shared" si="354"/>
        <v>69310</v>
      </c>
      <c r="D5393" t="s">
        <v>716</v>
      </c>
      <c r="E5393" s="1">
        <v>2214.9299999999998</v>
      </c>
      <c r="F5393">
        <v>20140108</v>
      </c>
      <c r="G5393" t="s">
        <v>726</v>
      </c>
      <c r="H5393" t="s">
        <v>488</v>
      </c>
      <c r="I5393" t="s">
        <v>21</v>
      </c>
    </row>
    <row r="5394" spans="1:9" x14ac:dyDescent="0.25">
      <c r="A5394">
        <v>20140109</v>
      </c>
      <c r="B5394" t="str">
        <f t="shared" si="353"/>
        <v>113572</v>
      </c>
      <c r="C5394" t="str">
        <f t="shared" si="354"/>
        <v>69310</v>
      </c>
      <c r="D5394" t="s">
        <v>716</v>
      </c>
      <c r="E5394" s="1">
        <v>3973.39</v>
      </c>
      <c r="F5394">
        <v>20140108</v>
      </c>
      <c r="G5394" t="s">
        <v>727</v>
      </c>
      <c r="H5394" t="s">
        <v>488</v>
      </c>
      <c r="I5394" t="s">
        <v>21</v>
      </c>
    </row>
    <row r="5395" spans="1:9" x14ac:dyDescent="0.25">
      <c r="A5395">
        <v>20140109</v>
      </c>
      <c r="B5395" t="str">
        <f t="shared" si="353"/>
        <v>113572</v>
      </c>
      <c r="C5395" t="str">
        <f t="shared" si="354"/>
        <v>69310</v>
      </c>
      <c r="D5395" t="s">
        <v>716</v>
      </c>
      <c r="E5395" s="1">
        <v>2958.29</v>
      </c>
      <c r="F5395">
        <v>20140108</v>
      </c>
      <c r="G5395" t="s">
        <v>728</v>
      </c>
      <c r="H5395" t="s">
        <v>488</v>
      </c>
      <c r="I5395" t="s">
        <v>21</v>
      </c>
    </row>
    <row r="5396" spans="1:9" x14ac:dyDescent="0.25">
      <c r="A5396">
        <v>20140109</v>
      </c>
      <c r="B5396" t="str">
        <f t="shared" si="353"/>
        <v>113572</v>
      </c>
      <c r="C5396" t="str">
        <f t="shared" si="354"/>
        <v>69310</v>
      </c>
      <c r="D5396" t="s">
        <v>716</v>
      </c>
      <c r="E5396" s="1">
        <v>1358.49</v>
      </c>
      <c r="F5396">
        <v>20140108</v>
      </c>
      <c r="G5396" t="s">
        <v>729</v>
      </c>
      <c r="H5396" t="s">
        <v>488</v>
      </c>
      <c r="I5396" t="s">
        <v>21</v>
      </c>
    </row>
    <row r="5397" spans="1:9" x14ac:dyDescent="0.25">
      <c r="A5397">
        <v>20140109</v>
      </c>
      <c r="B5397" t="str">
        <f t="shared" si="353"/>
        <v>113572</v>
      </c>
      <c r="C5397" t="str">
        <f t="shared" si="354"/>
        <v>69310</v>
      </c>
      <c r="D5397" t="s">
        <v>716</v>
      </c>
      <c r="E5397">
        <v>507.18</v>
      </c>
      <c r="F5397">
        <v>20140108</v>
      </c>
      <c r="G5397" t="s">
        <v>467</v>
      </c>
      <c r="H5397" t="s">
        <v>488</v>
      </c>
      <c r="I5397" t="s">
        <v>21</v>
      </c>
    </row>
    <row r="5398" spans="1:9" x14ac:dyDescent="0.25">
      <c r="A5398">
        <v>20140109</v>
      </c>
      <c r="B5398" t="str">
        <f>"113573"</f>
        <v>113573</v>
      </c>
      <c r="C5398" t="str">
        <f>"84819"</f>
        <v>84819</v>
      </c>
      <c r="D5398" t="s">
        <v>2899</v>
      </c>
      <c r="E5398">
        <v>310</v>
      </c>
      <c r="F5398">
        <v>20140107</v>
      </c>
      <c r="G5398" t="s">
        <v>1153</v>
      </c>
      <c r="H5398" t="s">
        <v>2900</v>
      </c>
      <c r="I5398" t="s">
        <v>61</v>
      </c>
    </row>
    <row r="5399" spans="1:9" x14ac:dyDescent="0.25">
      <c r="A5399">
        <v>20140109</v>
      </c>
      <c r="B5399" t="str">
        <f>"113574"</f>
        <v>113574</v>
      </c>
      <c r="C5399" t="str">
        <f>"79400"</f>
        <v>79400</v>
      </c>
      <c r="D5399" t="s">
        <v>1328</v>
      </c>
      <c r="E5399" s="1">
        <v>19918.650000000001</v>
      </c>
      <c r="F5399">
        <v>20140108</v>
      </c>
      <c r="G5399" t="s">
        <v>1329</v>
      </c>
      <c r="H5399" t="s">
        <v>1330</v>
      </c>
      <c r="I5399" t="s">
        <v>21</v>
      </c>
    </row>
    <row r="5400" spans="1:9" x14ac:dyDescent="0.25">
      <c r="A5400">
        <v>20140109</v>
      </c>
      <c r="B5400" t="str">
        <f>"113575"</f>
        <v>113575</v>
      </c>
      <c r="C5400" t="str">
        <f>"79625"</f>
        <v>79625</v>
      </c>
      <c r="D5400" t="s">
        <v>1331</v>
      </c>
      <c r="E5400">
        <v>30.96</v>
      </c>
      <c r="F5400">
        <v>20140107</v>
      </c>
      <c r="G5400" t="s">
        <v>39</v>
      </c>
      <c r="H5400" t="s">
        <v>354</v>
      </c>
      <c r="I5400" t="s">
        <v>38</v>
      </c>
    </row>
    <row r="5401" spans="1:9" x14ac:dyDescent="0.25">
      <c r="A5401">
        <v>20140109</v>
      </c>
      <c r="B5401" t="str">
        <f>"113576"</f>
        <v>113576</v>
      </c>
      <c r="C5401" t="str">
        <f>"86410"</f>
        <v>86410</v>
      </c>
      <c r="D5401" t="s">
        <v>2069</v>
      </c>
      <c r="E5401" s="1">
        <v>2270</v>
      </c>
      <c r="F5401">
        <v>20140108</v>
      </c>
      <c r="G5401" t="s">
        <v>181</v>
      </c>
      <c r="H5401" t="s">
        <v>553</v>
      </c>
      <c r="I5401" t="s">
        <v>38</v>
      </c>
    </row>
    <row r="5402" spans="1:9" x14ac:dyDescent="0.25">
      <c r="A5402">
        <v>20140109</v>
      </c>
      <c r="B5402" t="str">
        <f>"113577"</f>
        <v>113577</v>
      </c>
      <c r="C5402" t="str">
        <f>"82324"</f>
        <v>82324</v>
      </c>
      <c r="D5402" t="s">
        <v>2901</v>
      </c>
      <c r="E5402">
        <v>218.56</v>
      </c>
      <c r="F5402">
        <v>20140108</v>
      </c>
      <c r="G5402" t="s">
        <v>579</v>
      </c>
      <c r="H5402" t="s">
        <v>2902</v>
      </c>
      <c r="I5402" t="s">
        <v>21</v>
      </c>
    </row>
    <row r="5403" spans="1:9" x14ac:dyDescent="0.25">
      <c r="A5403">
        <v>20140109</v>
      </c>
      <c r="B5403" t="str">
        <f>"113578"</f>
        <v>113578</v>
      </c>
      <c r="C5403" t="str">
        <f>"19200"</f>
        <v>19200</v>
      </c>
      <c r="D5403" t="s">
        <v>436</v>
      </c>
      <c r="E5403">
        <v>32.4</v>
      </c>
      <c r="F5403">
        <v>20140108</v>
      </c>
      <c r="G5403" t="s">
        <v>410</v>
      </c>
      <c r="H5403" t="s">
        <v>411</v>
      </c>
      <c r="I5403" t="s">
        <v>12</v>
      </c>
    </row>
    <row r="5404" spans="1:9" x14ac:dyDescent="0.25">
      <c r="A5404">
        <v>20140109</v>
      </c>
      <c r="B5404" t="str">
        <f>"113579"</f>
        <v>113579</v>
      </c>
      <c r="C5404" t="str">
        <f>"87141"</f>
        <v>87141</v>
      </c>
      <c r="D5404" t="s">
        <v>1332</v>
      </c>
      <c r="E5404">
        <v>610.37</v>
      </c>
      <c r="F5404">
        <v>20140108</v>
      </c>
      <c r="G5404" t="s">
        <v>637</v>
      </c>
      <c r="H5404" t="s">
        <v>2903</v>
      </c>
      <c r="I5404" t="s">
        <v>38</v>
      </c>
    </row>
    <row r="5405" spans="1:9" x14ac:dyDescent="0.25">
      <c r="A5405">
        <v>20140109</v>
      </c>
      <c r="B5405" t="str">
        <f>"113579"</f>
        <v>113579</v>
      </c>
      <c r="C5405" t="str">
        <f>"87141"</f>
        <v>87141</v>
      </c>
      <c r="D5405" t="s">
        <v>1332</v>
      </c>
      <c r="E5405" s="1">
        <v>1924.63</v>
      </c>
      <c r="F5405">
        <v>20140108</v>
      </c>
      <c r="G5405" t="s">
        <v>1804</v>
      </c>
      <c r="H5405" t="s">
        <v>2903</v>
      </c>
      <c r="I5405" t="s">
        <v>38</v>
      </c>
    </row>
    <row r="5406" spans="1:9" x14ac:dyDescent="0.25">
      <c r="A5406">
        <v>20140109</v>
      </c>
      <c r="B5406" t="str">
        <f t="shared" ref="B5406:B5447" si="355">"113580"</f>
        <v>113580</v>
      </c>
      <c r="C5406" t="str">
        <f t="shared" ref="C5406:C5447" si="356">"80825"</f>
        <v>80825</v>
      </c>
      <c r="D5406" t="s">
        <v>747</v>
      </c>
      <c r="E5406">
        <v>139.19</v>
      </c>
      <c r="F5406">
        <v>20140108</v>
      </c>
      <c r="G5406" t="s">
        <v>989</v>
      </c>
      <c r="H5406" t="s">
        <v>749</v>
      </c>
      <c r="I5406" t="s">
        <v>61</v>
      </c>
    </row>
    <row r="5407" spans="1:9" x14ac:dyDescent="0.25">
      <c r="A5407">
        <v>20140109</v>
      </c>
      <c r="B5407" t="str">
        <f t="shared" si="355"/>
        <v>113580</v>
      </c>
      <c r="C5407" t="str">
        <f t="shared" si="356"/>
        <v>80825</v>
      </c>
      <c r="D5407" t="s">
        <v>747</v>
      </c>
      <c r="E5407">
        <v>50</v>
      </c>
      <c r="F5407">
        <v>20140108</v>
      </c>
      <c r="G5407" t="s">
        <v>989</v>
      </c>
      <c r="H5407" t="s">
        <v>2904</v>
      </c>
      <c r="I5407" t="s">
        <v>61</v>
      </c>
    </row>
    <row r="5408" spans="1:9" x14ac:dyDescent="0.25">
      <c r="A5408">
        <v>20140109</v>
      </c>
      <c r="B5408" t="str">
        <f t="shared" si="355"/>
        <v>113580</v>
      </c>
      <c r="C5408" t="str">
        <f t="shared" si="356"/>
        <v>80825</v>
      </c>
      <c r="D5408" t="s">
        <v>747</v>
      </c>
      <c r="E5408">
        <v>42.13</v>
      </c>
      <c r="F5408">
        <v>20140108</v>
      </c>
      <c r="G5408" t="s">
        <v>989</v>
      </c>
      <c r="H5408" t="s">
        <v>2904</v>
      </c>
      <c r="I5408" t="s">
        <v>61</v>
      </c>
    </row>
    <row r="5409" spans="1:9" x14ac:dyDescent="0.25">
      <c r="A5409">
        <v>20140109</v>
      </c>
      <c r="B5409" t="str">
        <f t="shared" si="355"/>
        <v>113580</v>
      </c>
      <c r="C5409" t="str">
        <f t="shared" si="356"/>
        <v>80825</v>
      </c>
      <c r="D5409" t="s">
        <v>747</v>
      </c>
      <c r="E5409">
        <v>139.19</v>
      </c>
      <c r="F5409">
        <v>20140108</v>
      </c>
      <c r="G5409" t="s">
        <v>989</v>
      </c>
      <c r="H5409" t="s">
        <v>749</v>
      </c>
      <c r="I5409" t="s">
        <v>61</v>
      </c>
    </row>
    <row r="5410" spans="1:9" x14ac:dyDescent="0.25">
      <c r="A5410">
        <v>20140109</v>
      </c>
      <c r="B5410" t="str">
        <f t="shared" si="355"/>
        <v>113580</v>
      </c>
      <c r="C5410" t="str">
        <f t="shared" si="356"/>
        <v>80825</v>
      </c>
      <c r="D5410" t="s">
        <v>747</v>
      </c>
      <c r="E5410">
        <v>139.19</v>
      </c>
      <c r="F5410">
        <v>20140108</v>
      </c>
      <c r="G5410" t="s">
        <v>989</v>
      </c>
      <c r="H5410" t="s">
        <v>749</v>
      </c>
      <c r="I5410" t="s">
        <v>61</v>
      </c>
    </row>
    <row r="5411" spans="1:9" x14ac:dyDescent="0.25">
      <c r="A5411">
        <v>20140109</v>
      </c>
      <c r="B5411" t="str">
        <f t="shared" si="355"/>
        <v>113580</v>
      </c>
      <c r="C5411" t="str">
        <f t="shared" si="356"/>
        <v>80825</v>
      </c>
      <c r="D5411" t="s">
        <v>747</v>
      </c>
      <c r="E5411">
        <v>139.19</v>
      </c>
      <c r="F5411">
        <v>20140108</v>
      </c>
      <c r="G5411" t="s">
        <v>989</v>
      </c>
      <c r="H5411" t="s">
        <v>749</v>
      </c>
      <c r="I5411" t="s">
        <v>61</v>
      </c>
    </row>
    <row r="5412" spans="1:9" x14ac:dyDescent="0.25">
      <c r="A5412">
        <v>20140109</v>
      </c>
      <c r="B5412" t="str">
        <f t="shared" si="355"/>
        <v>113580</v>
      </c>
      <c r="C5412" t="str">
        <f t="shared" si="356"/>
        <v>80825</v>
      </c>
      <c r="D5412" t="s">
        <v>747</v>
      </c>
      <c r="E5412">
        <v>276.89999999999998</v>
      </c>
      <c r="F5412">
        <v>20140108</v>
      </c>
      <c r="G5412" t="s">
        <v>748</v>
      </c>
      <c r="H5412" t="s">
        <v>749</v>
      </c>
      <c r="I5412" t="s">
        <v>21</v>
      </c>
    </row>
    <row r="5413" spans="1:9" x14ac:dyDescent="0.25">
      <c r="A5413">
        <v>20140109</v>
      </c>
      <c r="B5413" t="str">
        <f t="shared" si="355"/>
        <v>113580</v>
      </c>
      <c r="C5413" t="str">
        <f t="shared" si="356"/>
        <v>80825</v>
      </c>
      <c r="D5413" t="s">
        <v>747</v>
      </c>
      <c r="E5413" s="1">
        <v>2093.38</v>
      </c>
      <c r="F5413">
        <v>20140108</v>
      </c>
      <c r="G5413" t="s">
        <v>748</v>
      </c>
      <c r="H5413" t="s">
        <v>749</v>
      </c>
      <c r="I5413" t="s">
        <v>21</v>
      </c>
    </row>
    <row r="5414" spans="1:9" x14ac:dyDescent="0.25">
      <c r="A5414">
        <v>20140109</v>
      </c>
      <c r="B5414" t="str">
        <f t="shared" si="355"/>
        <v>113580</v>
      </c>
      <c r="C5414" t="str">
        <f t="shared" si="356"/>
        <v>80825</v>
      </c>
      <c r="D5414" t="s">
        <v>747</v>
      </c>
      <c r="E5414">
        <v>641.76</v>
      </c>
      <c r="F5414">
        <v>20140108</v>
      </c>
      <c r="G5414" t="s">
        <v>748</v>
      </c>
      <c r="H5414" t="s">
        <v>749</v>
      </c>
      <c r="I5414" t="s">
        <v>21</v>
      </c>
    </row>
    <row r="5415" spans="1:9" x14ac:dyDescent="0.25">
      <c r="A5415">
        <v>20140109</v>
      </c>
      <c r="B5415" t="str">
        <f t="shared" si="355"/>
        <v>113580</v>
      </c>
      <c r="C5415" t="str">
        <f t="shared" si="356"/>
        <v>80825</v>
      </c>
      <c r="D5415" t="s">
        <v>747</v>
      </c>
      <c r="E5415">
        <v>196.46</v>
      </c>
      <c r="F5415">
        <v>20140108</v>
      </c>
      <c r="G5415" t="s">
        <v>1551</v>
      </c>
      <c r="H5415" t="s">
        <v>749</v>
      </c>
      <c r="I5415" t="s">
        <v>21</v>
      </c>
    </row>
    <row r="5416" spans="1:9" x14ac:dyDescent="0.25">
      <c r="A5416">
        <v>20140109</v>
      </c>
      <c r="B5416" t="str">
        <f t="shared" si="355"/>
        <v>113580</v>
      </c>
      <c r="C5416" t="str">
        <f t="shared" si="356"/>
        <v>80825</v>
      </c>
      <c r="D5416" t="s">
        <v>747</v>
      </c>
      <c r="E5416">
        <v>670.6</v>
      </c>
      <c r="F5416">
        <v>20140108</v>
      </c>
      <c r="G5416" t="s">
        <v>750</v>
      </c>
      <c r="H5416" t="s">
        <v>749</v>
      </c>
      <c r="I5416" t="s">
        <v>21</v>
      </c>
    </row>
    <row r="5417" spans="1:9" x14ac:dyDescent="0.25">
      <c r="A5417">
        <v>20140109</v>
      </c>
      <c r="B5417" t="str">
        <f t="shared" si="355"/>
        <v>113580</v>
      </c>
      <c r="C5417" t="str">
        <f t="shared" si="356"/>
        <v>80825</v>
      </c>
      <c r="D5417" t="s">
        <v>747</v>
      </c>
      <c r="E5417">
        <v>670.6</v>
      </c>
      <c r="F5417">
        <v>20140108</v>
      </c>
      <c r="G5417" t="s">
        <v>750</v>
      </c>
      <c r="H5417" t="s">
        <v>749</v>
      </c>
      <c r="I5417" t="s">
        <v>21</v>
      </c>
    </row>
    <row r="5418" spans="1:9" x14ac:dyDescent="0.25">
      <c r="A5418">
        <v>20140109</v>
      </c>
      <c r="B5418" t="str">
        <f t="shared" si="355"/>
        <v>113580</v>
      </c>
      <c r="C5418" t="str">
        <f t="shared" si="356"/>
        <v>80825</v>
      </c>
      <c r="D5418" t="s">
        <v>747</v>
      </c>
      <c r="E5418">
        <v>320.88</v>
      </c>
      <c r="F5418">
        <v>20140108</v>
      </c>
      <c r="G5418" t="s">
        <v>750</v>
      </c>
      <c r="H5418" t="s">
        <v>749</v>
      </c>
      <c r="I5418" t="s">
        <v>21</v>
      </c>
    </row>
    <row r="5419" spans="1:9" x14ac:dyDescent="0.25">
      <c r="A5419">
        <v>20140109</v>
      </c>
      <c r="B5419" t="str">
        <f t="shared" si="355"/>
        <v>113580</v>
      </c>
      <c r="C5419" t="str">
        <f t="shared" si="356"/>
        <v>80825</v>
      </c>
      <c r="D5419" t="s">
        <v>747</v>
      </c>
      <c r="E5419">
        <v>670.6</v>
      </c>
      <c r="F5419">
        <v>20140108</v>
      </c>
      <c r="G5419" t="s">
        <v>752</v>
      </c>
      <c r="H5419" t="s">
        <v>749</v>
      </c>
      <c r="I5419" t="s">
        <v>21</v>
      </c>
    </row>
    <row r="5420" spans="1:9" x14ac:dyDescent="0.25">
      <c r="A5420">
        <v>20140109</v>
      </c>
      <c r="B5420" t="str">
        <f t="shared" si="355"/>
        <v>113580</v>
      </c>
      <c r="C5420" t="str">
        <f t="shared" si="356"/>
        <v>80825</v>
      </c>
      <c r="D5420" t="s">
        <v>747</v>
      </c>
      <c r="E5420">
        <v>320.88</v>
      </c>
      <c r="F5420">
        <v>20140108</v>
      </c>
      <c r="G5420" t="s">
        <v>752</v>
      </c>
      <c r="H5420" t="s">
        <v>749</v>
      </c>
      <c r="I5420" t="s">
        <v>21</v>
      </c>
    </row>
    <row r="5421" spans="1:9" x14ac:dyDescent="0.25">
      <c r="A5421">
        <v>20140109</v>
      </c>
      <c r="B5421" t="str">
        <f t="shared" si="355"/>
        <v>113580</v>
      </c>
      <c r="C5421" t="str">
        <f t="shared" si="356"/>
        <v>80825</v>
      </c>
      <c r="D5421" t="s">
        <v>747</v>
      </c>
      <c r="E5421">
        <v>320.88</v>
      </c>
      <c r="F5421">
        <v>20140108</v>
      </c>
      <c r="G5421" t="s">
        <v>753</v>
      </c>
      <c r="H5421" t="s">
        <v>749</v>
      </c>
      <c r="I5421" t="s">
        <v>21</v>
      </c>
    </row>
    <row r="5422" spans="1:9" x14ac:dyDescent="0.25">
      <c r="A5422">
        <v>20140109</v>
      </c>
      <c r="B5422" t="str">
        <f t="shared" si="355"/>
        <v>113580</v>
      </c>
      <c r="C5422" t="str">
        <f t="shared" si="356"/>
        <v>80825</v>
      </c>
      <c r="D5422" t="s">
        <v>747</v>
      </c>
      <c r="E5422">
        <v>582.95000000000005</v>
      </c>
      <c r="F5422">
        <v>20140108</v>
      </c>
      <c r="G5422" t="s">
        <v>753</v>
      </c>
      <c r="H5422" t="s">
        <v>749</v>
      </c>
      <c r="I5422" t="s">
        <v>21</v>
      </c>
    </row>
    <row r="5423" spans="1:9" x14ac:dyDescent="0.25">
      <c r="A5423">
        <v>20140109</v>
      </c>
      <c r="B5423" t="str">
        <f t="shared" si="355"/>
        <v>113580</v>
      </c>
      <c r="C5423" t="str">
        <f t="shared" si="356"/>
        <v>80825</v>
      </c>
      <c r="D5423" t="s">
        <v>747</v>
      </c>
      <c r="E5423">
        <v>582.95000000000005</v>
      </c>
      <c r="F5423">
        <v>20140108</v>
      </c>
      <c r="G5423" t="s">
        <v>753</v>
      </c>
      <c r="H5423" t="s">
        <v>749</v>
      </c>
      <c r="I5423" t="s">
        <v>21</v>
      </c>
    </row>
    <row r="5424" spans="1:9" x14ac:dyDescent="0.25">
      <c r="A5424">
        <v>20140109</v>
      </c>
      <c r="B5424" t="str">
        <f t="shared" si="355"/>
        <v>113580</v>
      </c>
      <c r="C5424" t="str">
        <f t="shared" si="356"/>
        <v>80825</v>
      </c>
      <c r="D5424" t="s">
        <v>747</v>
      </c>
      <c r="E5424">
        <v>582.95000000000005</v>
      </c>
      <c r="F5424">
        <v>20140108</v>
      </c>
      <c r="G5424" t="s">
        <v>754</v>
      </c>
      <c r="H5424" t="s">
        <v>749</v>
      </c>
      <c r="I5424" t="s">
        <v>21</v>
      </c>
    </row>
    <row r="5425" spans="1:9" x14ac:dyDescent="0.25">
      <c r="A5425">
        <v>20140109</v>
      </c>
      <c r="B5425" t="str">
        <f t="shared" si="355"/>
        <v>113580</v>
      </c>
      <c r="C5425" t="str">
        <f t="shared" si="356"/>
        <v>80825</v>
      </c>
      <c r="D5425" t="s">
        <v>747</v>
      </c>
      <c r="E5425">
        <v>582.95000000000005</v>
      </c>
      <c r="F5425">
        <v>20140108</v>
      </c>
      <c r="G5425" t="s">
        <v>754</v>
      </c>
      <c r="H5425" t="s">
        <v>749</v>
      </c>
      <c r="I5425" t="s">
        <v>21</v>
      </c>
    </row>
    <row r="5426" spans="1:9" x14ac:dyDescent="0.25">
      <c r="A5426">
        <v>20140109</v>
      </c>
      <c r="B5426" t="str">
        <f t="shared" si="355"/>
        <v>113580</v>
      </c>
      <c r="C5426" t="str">
        <f t="shared" si="356"/>
        <v>80825</v>
      </c>
      <c r="D5426" t="s">
        <v>747</v>
      </c>
      <c r="E5426">
        <v>320.88</v>
      </c>
      <c r="F5426">
        <v>20140108</v>
      </c>
      <c r="G5426" t="s">
        <v>754</v>
      </c>
      <c r="H5426" t="s">
        <v>749</v>
      </c>
      <c r="I5426" t="s">
        <v>21</v>
      </c>
    </row>
    <row r="5427" spans="1:9" x14ac:dyDescent="0.25">
      <c r="A5427">
        <v>20140109</v>
      </c>
      <c r="B5427" t="str">
        <f t="shared" si="355"/>
        <v>113580</v>
      </c>
      <c r="C5427" t="str">
        <f t="shared" si="356"/>
        <v>80825</v>
      </c>
      <c r="D5427" t="s">
        <v>747</v>
      </c>
      <c r="E5427">
        <v>582.95000000000005</v>
      </c>
      <c r="F5427">
        <v>20140108</v>
      </c>
      <c r="G5427" t="s">
        <v>990</v>
      </c>
      <c r="H5427" t="s">
        <v>749</v>
      </c>
      <c r="I5427" t="s">
        <v>21</v>
      </c>
    </row>
    <row r="5428" spans="1:9" x14ac:dyDescent="0.25">
      <c r="A5428">
        <v>20140109</v>
      </c>
      <c r="B5428" t="str">
        <f t="shared" si="355"/>
        <v>113580</v>
      </c>
      <c r="C5428" t="str">
        <f t="shared" si="356"/>
        <v>80825</v>
      </c>
      <c r="D5428" t="s">
        <v>747</v>
      </c>
      <c r="E5428">
        <v>582.95000000000005</v>
      </c>
      <c r="F5428">
        <v>20140108</v>
      </c>
      <c r="G5428" t="s">
        <v>990</v>
      </c>
      <c r="H5428" t="s">
        <v>749</v>
      </c>
      <c r="I5428" t="s">
        <v>21</v>
      </c>
    </row>
    <row r="5429" spans="1:9" x14ac:dyDescent="0.25">
      <c r="A5429">
        <v>20140109</v>
      </c>
      <c r="B5429" t="str">
        <f t="shared" si="355"/>
        <v>113580</v>
      </c>
      <c r="C5429" t="str">
        <f t="shared" si="356"/>
        <v>80825</v>
      </c>
      <c r="D5429" t="s">
        <v>747</v>
      </c>
      <c r="E5429">
        <v>320.88</v>
      </c>
      <c r="F5429">
        <v>20140108</v>
      </c>
      <c r="G5429" t="s">
        <v>990</v>
      </c>
      <c r="H5429" t="s">
        <v>749</v>
      </c>
      <c r="I5429" t="s">
        <v>21</v>
      </c>
    </row>
    <row r="5430" spans="1:9" x14ac:dyDescent="0.25">
      <c r="A5430">
        <v>20140109</v>
      </c>
      <c r="B5430" t="str">
        <f t="shared" si="355"/>
        <v>113580</v>
      </c>
      <c r="C5430" t="str">
        <f t="shared" si="356"/>
        <v>80825</v>
      </c>
      <c r="D5430" t="s">
        <v>747</v>
      </c>
      <c r="E5430">
        <v>582.95000000000005</v>
      </c>
      <c r="F5430">
        <v>20140108</v>
      </c>
      <c r="G5430" t="s">
        <v>755</v>
      </c>
      <c r="H5430" t="s">
        <v>749</v>
      </c>
      <c r="I5430" t="s">
        <v>21</v>
      </c>
    </row>
    <row r="5431" spans="1:9" x14ac:dyDescent="0.25">
      <c r="A5431">
        <v>20140109</v>
      </c>
      <c r="B5431" t="str">
        <f t="shared" si="355"/>
        <v>113580</v>
      </c>
      <c r="C5431" t="str">
        <f t="shared" si="356"/>
        <v>80825</v>
      </c>
      <c r="D5431" t="s">
        <v>747</v>
      </c>
      <c r="E5431">
        <v>320.88</v>
      </c>
      <c r="F5431">
        <v>20140108</v>
      </c>
      <c r="G5431" t="s">
        <v>755</v>
      </c>
      <c r="H5431" t="s">
        <v>749</v>
      </c>
      <c r="I5431" t="s">
        <v>21</v>
      </c>
    </row>
    <row r="5432" spans="1:9" x14ac:dyDescent="0.25">
      <c r="A5432">
        <v>20140109</v>
      </c>
      <c r="B5432" t="str">
        <f t="shared" si="355"/>
        <v>113580</v>
      </c>
      <c r="C5432" t="str">
        <f t="shared" si="356"/>
        <v>80825</v>
      </c>
      <c r="D5432" t="s">
        <v>747</v>
      </c>
      <c r="E5432">
        <v>582.95000000000005</v>
      </c>
      <c r="F5432">
        <v>20140108</v>
      </c>
      <c r="G5432" t="s">
        <v>756</v>
      </c>
      <c r="H5432" t="s">
        <v>749</v>
      </c>
      <c r="I5432" t="s">
        <v>21</v>
      </c>
    </row>
    <row r="5433" spans="1:9" x14ac:dyDescent="0.25">
      <c r="A5433">
        <v>20140109</v>
      </c>
      <c r="B5433" t="str">
        <f t="shared" si="355"/>
        <v>113580</v>
      </c>
      <c r="C5433" t="str">
        <f t="shared" si="356"/>
        <v>80825</v>
      </c>
      <c r="D5433" t="s">
        <v>747</v>
      </c>
      <c r="E5433">
        <v>320.88</v>
      </c>
      <c r="F5433">
        <v>20140108</v>
      </c>
      <c r="G5433" t="s">
        <v>756</v>
      </c>
      <c r="H5433" t="s">
        <v>749</v>
      </c>
      <c r="I5433" t="s">
        <v>21</v>
      </c>
    </row>
    <row r="5434" spans="1:9" x14ac:dyDescent="0.25">
      <c r="A5434">
        <v>20140109</v>
      </c>
      <c r="B5434" t="str">
        <f t="shared" si="355"/>
        <v>113580</v>
      </c>
      <c r="C5434" t="str">
        <f t="shared" si="356"/>
        <v>80825</v>
      </c>
      <c r="D5434" t="s">
        <v>747</v>
      </c>
      <c r="E5434">
        <v>582.95000000000005</v>
      </c>
      <c r="F5434">
        <v>20140108</v>
      </c>
      <c r="G5434" t="s">
        <v>756</v>
      </c>
      <c r="H5434" t="s">
        <v>749</v>
      </c>
      <c r="I5434" t="s">
        <v>21</v>
      </c>
    </row>
    <row r="5435" spans="1:9" x14ac:dyDescent="0.25">
      <c r="A5435">
        <v>20140109</v>
      </c>
      <c r="B5435" t="str">
        <f t="shared" si="355"/>
        <v>113580</v>
      </c>
      <c r="C5435" t="str">
        <f t="shared" si="356"/>
        <v>80825</v>
      </c>
      <c r="D5435" t="s">
        <v>747</v>
      </c>
      <c r="E5435">
        <v>106.95</v>
      </c>
      <c r="F5435">
        <v>20140108</v>
      </c>
      <c r="G5435" t="s">
        <v>757</v>
      </c>
      <c r="H5435" t="s">
        <v>749</v>
      </c>
      <c r="I5435" t="s">
        <v>21</v>
      </c>
    </row>
    <row r="5436" spans="1:9" x14ac:dyDescent="0.25">
      <c r="A5436">
        <v>20140109</v>
      </c>
      <c r="B5436" t="str">
        <f t="shared" si="355"/>
        <v>113580</v>
      </c>
      <c r="C5436" t="str">
        <f t="shared" si="356"/>
        <v>80825</v>
      </c>
      <c r="D5436" t="s">
        <v>747</v>
      </c>
      <c r="E5436">
        <v>133.91</v>
      </c>
      <c r="F5436">
        <v>20140108</v>
      </c>
      <c r="G5436" t="s">
        <v>757</v>
      </c>
      <c r="H5436" t="s">
        <v>749</v>
      </c>
      <c r="I5436" t="s">
        <v>21</v>
      </c>
    </row>
    <row r="5437" spans="1:9" x14ac:dyDescent="0.25">
      <c r="A5437">
        <v>20140109</v>
      </c>
      <c r="B5437" t="str">
        <f t="shared" si="355"/>
        <v>113580</v>
      </c>
      <c r="C5437" t="str">
        <f t="shared" si="356"/>
        <v>80825</v>
      </c>
      <c r="D5437" t="s">
        <v>747</v>
      </c>
      <c r="E5437">
        <v>65.48</v>
      </c>
      <c r="F5437">
        <v>20140108</v>
      </c>
      <c r="G5437" t="s">
        <v>757</v>
      </c>
      <c r="H5437" t="s">
        <v>749</v>
      </c>
      <c r="I5437" t="s">
        <v>21</v>
      </c>
    </row>
    <row r="5438" spans="1:9" x14ac:dyDescent="0.25">
      <c r="A5438">
        <v>20140109</v>
      </c>
      <c r="B5438" t="str">
        <f t="shared" si="355"/>
        <v>113580</v>
      </c>
      <c r="C5438" t="str">
        <f t="shared" si="356"/>
        <v>80825</v>
      </c>
      <c r="D5438" t="s">
        <v>747</v>
      </c>
      <c r="E5438">
        <v>424.58</v>
      </c>
      <c r="F5438">
        <v>20140108</v>
      </c>
      <c r="G5438" t="s">
        <v>1175</v>
      </c>
      <c r="H5438" t="s">
        <v>749</v>
      </c>
      <c r="I5438" t="s">
        <v>21</v>
      </c>
    </row>
    <row r="5439" spans="1:9" x14ac:dyDescent="0.25">
      <c r="A5439">
        <v>20140109</v>
      </c>
      <c r="B5439" t="str">
        <f t="shared" si="355"/>
        <v>113580</v>
      </c>
      <c r="C5439" t="str">
        <f t="shared" si="356"/>
        <v>80825</v>
      </c>
      <c r="D5439" t="s">
        <v>747</v>
      </c>
      <c r="E5439">
        <v>82.75</v>
      </c>
      <c r="F5439">
        <v>20140108</v>
      </c>
      <c r="G5439" t="s">
        <v>758</v>
      </c>
      <c r="H5439" t="s">
        <v>749</v>
      </c>
      <c r="I5439" t="s">
        <v>21</v>
      </c>
    </row>
    <row r="5440" spans="1:9" x14ac:dyDescent="0.25">
      <c r="A5440">
        <v>20140109</v>
      </c>
      <c r="B5440" t="str">
        <f t="shared" si="355"/>
        <v>113580</v>
      </c>
      <c r="C5440" t="str">
        <f t="shared" si="356"/>
        <v>80825</v>
      </c>
      <c r="D5440" t="s">
        <v>747</v>
      </c>
      <c r="E5440">
        <v>106.95</v>
      </c>
      <c r="F5440">
        <v>20140108</v>
      </c>
      <c r="G5440" t="s">
        <v>544</v>
      </c>
      <c r="H5440" t="s">
        <v>749</v>
      </c>
      <c r="I5440" t="s">
        <v>21</v>
      </c>
    </row>
    <row r="5441" spans="1:9" x14ac:dyDescent="0.25">
      <c r="A5441">
        <v>20140109</v>
      </c>
      <c r="B5441" t="str">
        <f t="shared" si="355"/>
        <v>113580</v>
      </c>
      <c r="C5441" t="str">
        <f t="shared" si="356"/>
        <v>80825</v>
      </c>
      <c r="D5441" t="s">
        <v>747</v>
      </c>
      <c r="E5441">
        <v>133.9</v>
      </c>
      <c r="F5441">
        <v>20140108</v>
      </c>
      <c r="G5441" t="s">
        <v>544</v>
      </c>
      <c r="H5441" t="s">
        <v>749</v>
      </c>
      <c r="I5441" t="s">
        <v>21</v>
      </c>
    </row>
    <row r="5442" spans="1:9" x14ac:dyDescent="0.25">
      <c r="A5442">
        <v>20140109</v>
      </c>
      <c r="B5442" t="str">
        <f t="shared" si="355"/>
        <v>113580</v>
      </c>
      <c r="C5442" t="str">
        <f t="shared" si="356"/>
        <v>80825</v>
      </c>
      <c r="D5442" t="s">
        <v>747</v>
      </c>
      <c r="E5442">
        <v>65.5</v>
      </c>
      <c r="F5442">
        <v>20140108</v>
      </c>
      <c r="G5442" t="s">
        <v>544</v>
      </c>
      <c r="H5442" t="s">
        <v>749</v>
      </c>
      <c r="I5442" t="s">
        <v>21</v>
      </c>
    </row>
    <row r="5443" spans="1:9" x14ac:dyDescent="0.25">
      <c r="A5443">
        <v>20140109</v>
      </c>
      <c r="B5443" t="str">
        <f t="shared" si="355"/>
        <v>113580</v>
      </c>
      <c r="C5443" t="str">
        <f t="shared" si="356"/>
        <v>80825</v>
      </c>
      <c r="D5443" t="s">
        <v>747</v>
      </c>
      <c r="E5443">
        <v>106.95</v>
      </c>
      <c r="F5443">
        <v>20140108</v>
      </c>
      <c r="G5443" t="s">
        <v>545</v>
      </c>
      <c r="H5443" t="s">
        <v>749</v>
      </c>
      <c r="I5443" t="s">
        <v>21</v>
      </c>
    </row>
    <row r="5444" spans="1:9" x14ac:dyDescent="0.25">
      <c r="A5444">
        <v>20140109</v>
      </c>
      <c r="B5444" t="str">
        <f t="shared" si="355"/>
        <v>113580</v>
      </c>
      <c r="C5444" t="str">
        <f t="shared" si="356"/>
        <v>80825</v>
      </c>
      <c r="D5444" t="s">
        <v>747</v>
      </c>
      <c r="E5444">
        <v>133.9</v>
      </c>
      <c r="F5444">
        <v>20140108</v>
      </c>
      <c r="G5444" t="s">
        <v>545</v>
      </c>
      <c r="H5444" t="s">
        <v>749</v>
      </c>
      <c r="I5444" t="s">
        <v>21</v>
      </c>
    </row>
    <row r="5445" spans="1:9" x14ac:dyDescent="0.25">
      <c r="A5445">
        <v>20140109</v>
      </c>
      <c r="B5445" t="str">
        <f t="shared" si="355"/>
        <v>113580</v>
      </c>
      <c r="C5445" t="str">
        <f t="shared" si="356"/>
        <v>80825</v>
      </c>
      <c r="D5445" t="s">
        <v>747</v>
      </c>
      <c r="E5445">
        <v>65.48</v>
      </c>
      <c r="F5445">
        <v>20140108</v>
      </c>
      <c r="G5445" t="s">
        <v>545</v>
      </c>
      <c r="H5445" t="s">
        <v>749</v>
      </c>
      <c r="I5445" t="s">
        <v>21</v>
      </c>
    </row>
    <row r="5446" spans="1:9" x14ac:dyDescent="0.25">
      <c r="A5446">
        <v>20140109</v>
      </c>
      <c r="B5446" t="str">
        <f t="shared" si="355"/>
        <v>113580</v>
      </c>
      <c r="C5446" t="str">
        <f t="shared" si="356"/>
        <v>80825</v>
      </c>
      <c r="D5446" t="s">
        <v>747</v>
      </c>
      <c r="E5446">
        <v>345.9</v>
      </c>
      <c r="F5446">
        <v>20140108</v>
      </c>
      <c r="G5446" t="s">
        <v>1176</v>
      </c>
      <c r="H5446" t="s">
        <v>749</v>
      </c>
      <c r="I5446" t="s">
        <v>21</v>
      </c>
    </row>
    <row r="5447" spans="1:9" x14ac:dyDescent="0.25">
      <c r="A5447">
        <v>20140109</v>
      </c>
      <c r="B5447" t="str">
        <f t="shared" si="355"/>
        <v>113580</v>
      </c>
      <c r="C5447" t="str">
        <f t="shared" si="356"/>
        <v>80825</v>
      </c>
      <c r="D5447" t="s">
        <v>747</v>
      </c>
      <c r="E5447">
        <v>196.46</v>
      </c>
      <c r="F5447">
        <v>20140108</v>
      </c>
      <c r="G5447" t="s">
        <v>759</v>
      </c>
      <c r="H5447" t="s">
        <v>749</v>
      </c>
      <c r="I5447" t="s">
        <v>12</v>
      </c>
    </row>
    <row r="5448" spans="1:9" x14ac:dyDescent="0.25">
      <c r="A5448">
        <v>20140110</v>
      </c>
      <c r="B5448" t="str">
        <f>"113581"</f>
        <v>113581</v>
      </c>
      <c r="C5448" t="str">
        <f>"87694"</f>
        <v>87694</v>
      </c>
      <c r="D5448" t="s">
        <v>2905</v>
      </c>
      <c r="E5448" s="1">
        <v>4008.7</v>
      </c>
      <c r="F5448">
        <v>20140110</v>
      </c>
      <c r="G5448" t="s">
        <v>340</v>
      </c>
      <c r="H5448" t="s">
        <v>2906</v>
      </c>
      <c r="I5448" t="s">
        <v>21</v>
      </c>
    </row>
    <row r="5449" spans="1:9" x14ac:dyDescent="0.25">
      <c r="A5449">
        <v>20140116</v>
      </c>
      <c r="B5449" t="str">
        <f>"113582"</f>
        <v>113582</v>
      </c>
      <c r="C5449" t="str">
        <f>"86517"</f>
        <v>86517</v>
      </c>
      <c r="D5449" t="s">
        <v>2101</v>
      </c>
      <c r="E5449" s="1">
        <v>1102</v>
      </c>
      <c r="F5449">
        <v>20140114</v>
      </c>
      <c r="G5449" t="s">
        <v>404</v>
      </c>
      <c r="H5449" t="s">
        <v>2218</v>
      </c>
      <c r="I5449" t="s">
        <v>12</v>
      </c>
    </row>
    <row r="5450" spans="1:9" x14ac:dyDescent="0.25">
      <c r="A5450">
        <v>20140116</v>
      </c>
      <c r="B5450" t="str">
        <f>"113583"</f>
        <v>113583</v>
      </c>
      <c r="C5450" t="str">
        <f>"01890"</f>
        <v>01890</v>
      </c>
      <c r="D5450" t="s">
        <v>447</v>
      </c>
      <c r="E5450">
        <v>422.92</v>
      </c>
      <c r="F5450">
        <v>20140110</v>
      </c>
      <c r="G5450" t="s">
        <v>448</v>
      </c>
      <c r="H5450" t="s">
        <v>414</v>
      </c>
      <c r="I5450" t="s">
        <v>21</v>
      </c>
    </row>
    <row r="5451" spans="1:9" x14ac:dyDescent="0.25">
      <c r="A5451">
        <v>20140116</v>
      </c>
      <c r="B5451" t="str">
        <f>"113583"</f>
        <v>113583</v>
      </c>
      <c r="C5451" t="str">
        <f>"01890"</f>
        <v>01890</v>
      </c>
      <c r="D5451" t="s">
        <v>447</v>
      </c>
      <c r="E5451">
        <v>153.65</v>
      </c>
      <c r="F5451">
        <v>20140115</v>
      </c>
      <c r="G5451" t="s">
        <v>448</v>
      </c>
      <c r="H5451" t="s">
        <v>414</v>
      </c>
      <c r="I5451" t="s">
        <v>21</v>
      </c>
    </row>
    <row r="5452" spans="1:9" x14ac:dyDescent="0.25">
      <c r="A5452">
        <v>20140116</v>
      </c>
      <c r="B5452" t="str">
        <f>"113583"</f>
        <v>113583</v>
      </c>
      <c r="C5452" t="str">
        <f>"01890"</f>
        <v>01890</v>
      </c>
      <c r="D5452" t="s">
        <v>447</v>
      </c>
      <c r="E5452">
        <v>40.6</v>
      </c>
      <c r="F5452">
        <v>20140115</v>
      </c>
      <c r="G5452" t="s">
        <v>448</v>
      </c>
      <c r="H5452" t="s">
        <v>414</v>
      </c>
      <c r="I5452" t="s">
        <v>21</v>
      </c>
    </row>
    <row r="5453" spans="1:9" x14ac:dyDescent="0.25">
      <c r="A5453">
        <v>20140116</v>
      </c>
      <c r="B5453" t="str">
        <f>"113583"</f>
        <v>113583</v>
      </c>
      <c r="C5453" t="str">
        <f>"01890"</f>
        <v>01890</v>
      </c>
      <c r="D5453" t="s">
        <v>447</v>
      </c>
      <c r="E5453">
        <v>39.42</v>
      </c>
      <c r="F5453">
        <v>20140115</v>
      </c>
      <c r="G5453" t="s">
        <v>448</v>
      </c>
      <c r="H5453" t="s">
        <v>414</v>
      </c>
      <c r="I5453" t="s">
        <v>21</v>
      </c>
    </row>
    <row r="5454" spans="1:9" x14ac:dyDescent="0.25">
      <c r="A5454">
        <v>20140116</v>
      </c>
      <c r="B5454" t="str">
        <f>"113584"</f>
        <v>113584</v>
      </c>
      <c r="C5454" t="str">
        <f>"52460"</f>
        <v>52460</v>
      </c>
      <c r="D5454" t="s">
        <v>452</v>
      </c>
      <c r="E5454">
        <v>29.48</v>
      </c>
      <c r="F5454">
        <v>20140114</v>
      </c>
      <c r="G5454" t="s">
        <v>145</v>
      </c>
      <c r="H5454" t="s">
        <v>2907</v>
      </c>
      <c r="I5454" t="s">
        <v>38</v>
      </c>
    </row>
    <row r="5455" spans="1:9" x14ac:dyDescent="0.25">
      <c r="A5455">
        <v>20140116</v>
      </c>
      <c r="B5455" t="str">
        <f>"113585"</f>
        <v>113585</v>
      </c>
      <c r="C5455" t="str">
        <f>"83123"</f>
        <v>83123</v>
      </c>
      <c r="D5455" t="s">
        <v>2908</v>
      </c>
      <c r="E5455">
        <v>100</v>
      </c>
      <c r="F5455">
        <v>20140114</v>
      </c>
      <c r="G5455" t="s">
        <v>1772</v>
      </c>
      <c r="H5455" t="s">
        <v>2909</v>
      </c>
      <c r="I5455" t="s">
        <v>21</v>
      </c>
    </row>
    <row r="5456" spans="1:9" x14ac:dyDescent="0.25">
      <c r="A5456">
        <v>20140116</v>
      </c>
      <c r="B5456" t="str">
        <f>"113586"</f>
        <v>113586</v>
      </c>
      <c r="C5456" t="str">
        <f>"00255"</f>
        <v>00255</v>
      </c>
      <c r="D5456" t="s">
        <v>489</v>
      </c>
      <c r="E5456" s="1">
        <v>2098.94</v>
      </c>
      <c r="F5456">
        <v>20140110</v>
      </c>
      <c r="G5456" t="s">
        <v>493</v>
      </c>
      <c r="H5456" t="s">
        <v>488</v>
      </c>
      <c r="I5456" t="s">
        <v>21</v>
      </c>
    </row>
    <row r="5457" spans="1:9" x14ac:dyDescent="0.25">
      <c r="A5457">
        <v>20140116</v>
      </c>
      <c r="B5457" t="str">
        <f>"113587"</f>
        <v>113587</v>
      </c>
      <c r="C5457" t="str">
        <f>"00042"</f>
        <v>00042</v>
      </c>
      <c r="D5457" t="s">
        <v>2617</v>
      </c>
      <c r="E5457">
        <v>607.5</v>
      </c>
      <c r="F5457">
        <v>20140114</v>
      </c>
      <c r="G5457" t="s">
        <v>2910</v>
      </c>
      <c r="H5457" t="s">
        <v>2911</v>
      </c>
      <c r="I5457" t="s">
        <v>61</v>
      </c>
    </row>
    <row r="5458" spans="1:9" x14ac:dyDescent="0.25">
      <c r="A5458">
        <v>20140116</v>
      </c>
      <c r="B5458" t="str">
        <f>"113588"</f>
        <v>113588</v>
      </c>
      <c r="C5458" t="str">
        <f>"87555"</f>
        <v>87555</v>
      </c>
      <c r="D5458" t="s">
        <v>1560</v>
      </c>
      <c r="E5458">
        <v>20.25</v>
      </c>
      <c r="F5458">
        <v>20140115</v>
      </c>
      <c r="G5458" t="s">
        <v>562</v>
      </c>
      <c r="H5458" t="s">
        <v>563</v>
      </c>
      <c r="I5458" t="s">
        <v>21</v>
      </c>
    </row>
    <row r="5459" spans="1:9" x14ac:dyDescent="0.25">
      <c r="A5459">
        <v>20140116</v>
      </c>
      <c r="B5459" t="str">
        <f>"113589"</f>
        <v>113589</v>
      </c>
      <c r="C5459" t="str">
        <f>"11535"</f>
        <v>11535</v>
      </c>
      <c r="D5459" t="s">
        <v>502</v>
      </c>
      <c r="E5459">
        <v>226.27</v>
      </c>
      <c r="F5459">
        <v>20140114</v>
      </c>
      <c r="G5459" t="s">
        <v>1969</v>
      </c>
      <c r="H5459" t="s">
        <v>921</v>
      </c>
      <c r="I5459" t="s">
        <v>21</v>
      </c>
    </row>
    <row r="5460" spans="1:9" x14ac:dyDescent="0.25">
      <c r="A5460">
        <v>20140116</v>
      </c>
      <c r="B5460" t="str">
        <f>"113590"</f>
        <v>113590</v>
      </c>
      <c r="C5460" t="str">
        <f>"11570"</f>
        <v>11570</v>
      </c>
      <c r="D5460" t="s">
        <v>1354</v>
      </c>
      <c r="E5460">
        <v>85</v>
      </c>
      <c r="F5460">
        <v>20140110</v>
      </c>
      <c r="G5460" t="s">
        <v>624</v>
      </c>
      <c r="H5460" t="s">
        <v>1355</v>
      </c>
      <c r="I5460" t="s">
        <v>21</v>
      </c>
    </row>
    <row r="5461" spans="1:9" x14ac:dyDescent="0.25">
      <c r="A5461">
        <v>20140116</v>
      </c>
      <c r="B5461" t="str">
        <f>"113591"</f>
        <v>113591</v>
      </c>
      <c r="C5461" t="str">
        <f>"81301"</f>
        <v>81301</v>
      </c>
      <c r="D5461" t="s">
        <v>779</v>
      </c>
      <c r="E5461">
        <v>24.3</v>
      </c>
      <c r="F5461">
        <v>20140114</v>
      </c>
      <c r="G5461" t="s">
        <v>2211</v>
      </c>
      <c r="H5461" t="s">
        <v>563</v>
      </c>
      <c r="I5461" t="s">
        <v>2212</v>
      </c>
    </row>
    <row r="5462" spans="1:9" x14ac:dyDescent="0.25">
      <c r="A5462">
        <v>20140116</v>
      </c>
      <c r="B5462" t="str">
        <f>"113592"</f>
        <v>113592</v>
      </c>
      <c r="C5462" t="str">
        <f>"83193"</f>
        <v>83193</v>
      </c>
      <c r="D5462" t="s">
        <v>1008</v>
      </c>
      <c r="E5462" s="1">
        <v>2250</v>
      </c>
      <c r="F5462">
        <v>20140114</v>
      </c>
      <c r="G5462" t="s">
        <v>1731</v>
      </c>
      <c r="H5462" t="s">
        <v>2912</v>
      </c>
      <c r="I5462" t="s">
        <v>38</v>
      </c>
    </row>
    <row r="5463" spans="1:9" x14ac:dyDescent="0.25">
      <c r="A5463">
        <v>20140116</v>
      </c>
      <c r="B5463" t="str">
        <f>"113593"</f>
        <v>113593</v>
      </c>
      <c r="C5463" t="str">
        <f>"82560"</f>
        <v>82560</v>
      </c>
      <c r="D5463" t="s">
        <v>403</v>
      </c>
      <c r="E5463" s="1">
        <v>2667.01</v>
      </c>
      <c r="F5463">
        <v>20140114</v>
      </c>
      <c r="G5463" t="s">
        <v>404</v>
      </c>
      <c r="H5463" t="s">
        <v>405</v>
      </c>
      <c r="I5463" t="s">
        <v>12</v>
      </c>
    </row>
    <row r="5464" spans="1:9" x14ac:dyDescent="0.25">
      <c r="A5464">
        <v>20140116</v>
      </c>
      <c r="B5464" t="str">
        <f>"113594"</f>
        <v>113594</v>
      </c>
      <c r="C5464" t="str">
        <f>"11851"</f>
        <v>11851</v>
      </c>
      <c r="D5464" t="s">
        <v>342</v>
      </c>
      <c r="E5464">
        <v>80</v>
      </c>
      <c r="F5464">
        <v>20140115</v>
      </c>
      <c r="G5464" t="s">
        <v>171</v>
      </c>
      <c r="H5464" t="s">
        <v>784</v>
      </c>
      <c r="I5464" t="s">
        <v>38</v>
      </c>
    </row>
    <row r="5465" spans="1:9" x14ac:dyDescent="0.25">
      <c r="A5465">
        <v>20140116</v>
      </c>
      <c r="B5465" t="str">
        <f>"113594"</f>
        <v>113594</v>
      </c>
      <c r="C5465" t="str">
        <f>"11851"</f>
        <v>11851</v>
      </c>
      <c r="D5465" t="s">
        <v>342</v>
      </c>
      <c r="E5465">
        <v>40</v>
      </c>
      <c r="F5465">
        <v>20140113</v>
      </c>
      <c r="G5465" t="s">
        <v>181</v>
      </c>
      <c r="H5465" t="s">
        <v>1357</v>
      </c>
      <c r="I5465" t="s">
        <v>38</v>
      </c>
    </row>
    <row r="5466" spans="1:9" x14ac:dyDescent="0.25">
      <c r="A5466">
        <v>20140116</v>
      </c>
      <c r="B5466" t="str">
        <f>"113595"</f>
        <v>113595</v>
      </c>
      <c r="C5466" t="str">
        <f>"11805"</f>
        <v>11805</v>
      </c>
      <c r="D5466" t="s">
        <v>1358</v>
      </c>
      <c r="E5466" s="1">
        <v>3311.73</v>
      </c>
      <c r="F5466">
        <v>20140114</v>
      </c>
      <c r="G5466" t="s">
        <v>404</v>
      </c>
      <c r="H5466" t="s">
        <v>133</v>
      </c>
      <c r="I5466" t="s">
        <v>12</v>
      </c>
    </row>
    <row r="5467" spans="1:9" x14ac:dyDescent="0.25">
      <c r="A5467">
        <v>20140116</v>
      </c>
      <c r="B5467" t="str">
        <f>"113596"</f>
        <v>113596</v>
      </c>
      <c r="C5467" t="str">
        <f>"12140"</f>
        <v>12140</v>
      </c>
      <c r="D5467" t="s">
        <v>406</v>
      </c>
      <c r="E5467" s="1">
        <v>27150.9</v>
      </c>
      <c r="F5467">
        <v>20140114</v>
      </c>
      <c r="G5467" t="s">
        <v>404</v>
      </c>
      <c r="H5467" t="s">
        <v>408</v>
      </c>
      <c r="I5467" t="s">
        <v>12</v>
      </c>
    </row>
    <row r="5468" spans="1:9" x14ac:dyDescent="0.25">
      <c r="A5468">
        <v>20140116</v>
      </c>
      <c r="B5468" t="str">
        <f>"113597"</f>
        <v>113597</v>
      </c>
      <c r="C5468" t="str">
        <f>"87695"</f>
        <v>87695</v>
      </c>
      <c r="D5468" t="s">
        <v>2913</v>
      </c>
      <c r="E5468" s="1">
        <v>1300</v>
      </c>
      <c r="F5468">
        <v>20140110</v>
      </c>
      <c r="G5468" t="s">
        <v>413</v>
      </c>
      <c r="H5468" t="s">
        <v>2914</v>
      </c>
      <c r="I5468" t="s">
        <v>21</v>
      </c>
    </row>
    <row r="5469" spans="1:9" x14ac:dyDescent="0.25">
      <c r="A5469">
        <v>20140116</v>
      </c>
      <c r="B5469" t="str">
        <f>"113598"</f>
        <v>113598</v>
      </c>
      <c r="C5469" t="str">
        <f>"87228"</f>
        <v>87228</v>
      </c>
      <c r="D5469" t="s">
        <v>792</v>
      </c>
      <c r="E5469">
        <v>25</v>
      </c>
      <c r="F5469">
        <v>20140114</v>
      </c>
      <c r="G5469" t="s">
        <v>793</v>
      </c>
      <c r="H5469" t="s">
        <v>357</v>
      </c>
      <c r="I5469" t="s">
        <v>21</v>
      </c>
    </row>
    <row r="5470" spans="1:9" x14ac:dyDescent="0.25">
      <c r="A5470">
        <v>20140116</v>
      </c>
      <c r="B5470" t="str">
        <f>"113599"</f>
        <v>113599</v>
      </c>
      <c r="C5470" t="str">
        <f>"84575"</f>
        <v>84575</v>
      </c>
      <c r="D5470" t="s">
        <v>1568</v>
      </c>
      <c r="E5470">
        <v>194.4</v>
      </c>
      <c r="F5470">
        <v>20140114</v>
      </c>
      <c r="G5470" t="s">
        <v>562</v>
      </c>
      <c r="H5470" t="s">
        <v>563</v>
      </c>
      <c r="I5470" t="s">
        <v>21</v>
      </c>
    </row>
    <row r="5471" spans="1:9" x14ac:dyDescent="0.25">
      <c r="A5471">
        <v>20140116</v>
      </c>
      <c r="B5471" t="str">
        <f>"113600"</f>
        <v>113600</v>
      </c>
      <c r="C5471" t="str">
        <f>"16920"</f>
        <v>16920</v>
      </c>
      <c r="D5471" t="s">
        <v>2915</v>
      </c>
      <c r="E5471">
        <v>74.28</v>
      </c>
      <c r="F5471">
        <v>20140113</v>
      </c>
      <c r="G5471" t="s">
        <v>1426</v>
      </c>
      <c r="H5471" t="s">
        <v>414</v>
      </c>
      <c r="I5471" t="s">
        <v>38</v>
      </c>
    </row>
    <row r="5472" spans="1:9" x14ac:dyDescent="0.25">
      <c r="A5472">
        <v>20140116</v>
      </c>
      <c r="B5472" t="str">
        <f>"113601"</f>
        <v>113601</v>
      </c>
      <c r="C5472" t="str">
        <f>"16988"</f>
        <v>16988</v>
      </c>
      <c r="D5472" t="s">
        <v>510</v>
      </c>
      <c r="E5472">
        <v>725</v>
      </c>
      <c r="F5472">
        <v>20140110</v>
      </c>
      <c r="G5472" t="s">
        <v>511</v>
      </c>
      <c r="H5472" t="s">
        <v>1368</v>
      </c>
      <c r="I5472" t="s">
        <v>21</v>
      </c>
    </row>
    <row r="5473" spans="1:9" x14ac:dyDescent="0.25">
      <c r="A5473">
        <v>20140116</v>
      </c>
      <c r="B5473" t="str">
        <f>"113601"</f>
        <v>113601</v>
      </c>
      <c r="C5473" t="str">
        <f>"16988"</f>
        <v>16988</v>
      </c>
      <c r="D5473" t="s">
        <v>510</v>
      </c>
      <c r="E5473">
        <v>927.82</v>
      </c>
      <c r="F5473">
        <v>20140110</v>
      </c>
      <c r="G5473" t="s">
        <v>511</v>
      </c>
      <c r="H5473" t="s">
        <v>512</v>
      </c>
      <c r="I5473" t="s">
        <v>21</v>
      </c>
    </row>
    <row r="5474" spans="1:9" x14ac:dyDescent="0.25">
      <c r="A5474">
        <v>20140116</v>
      </c>
      <c r="B5474" t="str">
        <f>"113601"</f>
        <v>113601</v>
      </c>
      <c r="C5474" t="str">
        <f>"16988"</f>
        <v>16988</v>
      </c>
      <c r="D5474" t="s">
        <v>510</v>
      </c>
      <c r="E5474">
        <v>341.56</v>
      </c>
      <c r="F5474">
        <v>20140110</v>
      </c>
      <c r="G5474" t="s">
        <v>511</v>
      </c>
      <c r="H5474" t="s">
        <v>2916</v>
      </c>
      <c r="I5474" t="s">
        <v>21</v>
      </c>
    </row>
    <row r="5475" spans="1:9" x14ac:dyDescent="0.25">
      <c r="A5475">
        <v>20140116</v>
      </c>
      <c r="B5475" t="str">
        <f>"113602"</f>
        <v>113602</v>
      </c>
      <c r="C5475" t="str">
        <f>"18025"</f>
        <v>18025</v>
      </c>
      <c r="D5475" t="s">
        <v>514</v>
      </c>
      <c r="E5475">
        <v>116.5</v>
      </c>
      <c r="F5475">
        <v>20140115</v>
      </c>
      <c r="G5475" t="s">
        <v>143</v>
      </c>
      <c r="H5475" t="s">
        <v>553</v>
      </c>
      <c r="I5475" t="s">
        <v>25</v>
      </c>
    </row>
    <row r="5476" spans="1:9" x14ac:dyDescent="0.25">
      <c r="A5476">
        <v>20140116</v>
      </c>
      <c r="B5476" t="str">
        <f>"113603"</f>
        <v>113603</v>
      </c>
      <c r="C5476" t="str">
        <f>"83876"</f>
        <v>83876</v>
      </c>
      <c r="D5476" t="s">
        <v>1211</v>
      </c>
      <c r="E5476">
        <v>69.39</v>
      </c>
      <c r="F5476">
        <v>20140110</v>
      </c>
      <c r="G5476" t="s">
        <v>473</v>
      </c>
      <c r="H5476" t="s">
        <v>414</v>
      </c>
      <c r="I5476" t="s">
        <v>21</v>
      </c>
    </row>
    <row r="5477" spans="1:9" x14ac:dyDescent="0.25">
      <c r="A5477">
        <v>20140116</v>
      </c>
      <c r="B5477" t="str">
        <f>"113604"</f>
        <v>113604</v>
      </c>
      <c r="C5477" t="str">
        <f>"87566"</f>
        <v>87566</v>
      </c>
      <c r="D5477" t="s">
        <v>2139</v>
      </c>
      <c r="E5477">
        <v>59.81</v>
      </c>
      <c r="F5477">
        <v>20140110</v>
      </c>
      <c r="G5477" t="s">
        <v>629</v>
      </c>
      <c r="H5477" t="s">
        <v>414</v>
      </c>
      <c r="I5477" t="s">
        <v>21</v>
      </c>
    </row>
    <row r="5478" spans="1:9" x14ac:dyDescent="0.25">
      <c r="A5478">
        <v>20140116</v>
      </c>
      <c r="B5478" t="str">
        <f>"113604"</f>
        <v>113604</v>
      </c>
      <c r="C5478" t="str">
        <f>"87566"</f>
        <v>87566</v>
      </c>
      <c r="D5478" t="s">
        <v>2139</v>
      </c>
      <c r="E5478">
        <v>123.2</v>
      </c>
      <c r="F5478">
        <v>20140110</v>
      </c>
      <c r="G5478" t="s">
        <v>392</v>
      </c>
      <c r="H5478" t="s">
        <v>414</v>
      </c>
      <c r="I5478" t="s">
        <v>21</v>
      </c>
    </row>
    <row r="5479" spans="1:9" x14ac:dyDescent="0.25">
      <c r="A5479">
        <v>20140116</v>
      </c>
      <c r="B5479" t="str">
        <f>"113605"</f>
        <v>113605</v>
      </c>
      <c r="C5479" t="str">
        <f>"19750"</f>
        <v>19750</v>
      </c>
      <c r="D5479" t="s">
        <v>2445</v>
      </c>
      <c r="E5479">
        <v>330</v>
      </c>
      <c r="F5479">
        <v>20140114</v>
      </c>
      <c r="G5479" t="s">
        <v>356</v>
      </c>
      <c r="H5479" t="s">
        <v>357</v>
      </c>
      <c r="I5479" t="s">
        <v>61</v>
      </c>
    </row>
    <row r="5480" spans="1:9" x14ac:dyDescent="0.25">
      <c r="A5480">
        <v>20140116</v>
      </c>
      <c r="B5480" t="str">
        <f>"113606"</f>
        <v>113606</v>
      </c>
      <c r="C5480" t="str">
        <f>"19750"</f>
        <v>19750</v>
      </c>
      <c r="D5480" t="s">
        <v>2445</v>
      </c>
      <c r="E5480">
        <v>300</v>
      </c>
      <c r="F5480">
        <v>20140114</v>
      </c>
      <c r="G5480" t="s">
        <v>356</v>
      </c>
      <c r="H5480" t="s">
        <v>357</v>
      </c>
      <c r="I5480" t="s">
        <v>61</v>
      </c>
    </row>
    <row r="5481" spans="1:9" x14ac:dyDescent="0.25">
      <c r="A5481">
        <v>20140116</v>
      </c>
      <c r="B5481" t="str">
        <f>"113607"</f>
        <v>113607</v>
      </c>
      <c r="C5481" t="str">
        <f>"19750"</f>
        <v>19750</v>
      </c>
      <c r="D5481" t="s">
        <v>2445</v>
      </c>
      <c r="E5481">
        <v>175</v>
      </c>
      <c r="F5481">
        <v>20140114</v>
      </c>
      <c r="G5481" t="s">
        <v>356</v>
      </c>
      <c r="H5481" t="s">
        <v>357</v>
      </c>
      <c r="I5481" t="s">
        <v>61</v>
      </c>
    </row>
    <row r="5482" spans="1:9" x14ac:dyDescent="0.25">
      <c r="A5482">
        <v>20140116</v>
      </c>
      <c r="B5482" t="str">
        <f>"113608"</f>
        <v>113608</v>
      </c>
      <c r="C5482" t="str">
        <f>"19750"</f>
        <v>19750</v>
      </c>
      <c r="D5482" t="s">
        <v>2445</v>
      </c>
      <c r="E5482">
        <v>100</v>
      </c>
      <c r="F5482">
        <v>20140114</v>
      </c>
      <c r="G5482" t="s">
        <v>356</v>
      </c>
      <c r="H5482" t="s">
        <v>357</v>
      </c>
      <c r="I5482" t="s">
        <v>61</v>
      </c>
    </row>
    <row r="5483" spans="1:9" x14ac:dyDescent="0.25">
      <c r="A5483">
        <v>20140116</v>
      </c>
      <c r="B5483" t="str">
        <f>"113609"</f>
        <v>113609</v>
      </c>
      <c r="C5483" t="str">
        <f>"19750"</f>
        <v>19750</v>
      </c>
      <c r="D5483" t="s">
        <v>2445</v>
      </c>
      <c r="E5483">
        <v>90</v>
      </c>
      <c r="F5483">
        <v>20140114</v>
      </c>
      <c r="G5483" t="s">
        <v>356</v>
      </c>
      <c r="H5483" t="s">
        <v>357</v>
      </c>
      <c r="I5483" t="s">
        <v>61</v>
      </c>
    </row>
    <row r="5484" spans="1:9" x14ac:dyDescent="0.25">
      <c r="A5484">
        <v>20140116</v>
      </c>
      <c r="B5484" t="str">
        <f>"113610"</f>
        <v>113610</v>
      </c>
      <c r="C5484" t="str">
        <f>"87150"</f>
        <v>87150</v>
      </c>
      <c r="D5484" t="s">
        <v>1386</v>
      </c>
      <c r="E5484" s="1">
        <v>2079.04</v>
      </c>
      <c r="F5484">
        <v>20140114</v>
      </c>
      <c r="G5484" t="s">
        <v>404</v>
      </c>
      <c r="H5484" t="s">
        <v>913</v>
      </c>
      <c r="I5484" t="s">
        <v>12</v>
      </c>
    </row>
    <row r="5485" spans="1:9" x14ac:dyDescent="0.25">
      <c r="A5485">
        <v>20140116</v>
      </c>
      <c r="B5485" t="str">
        <f>"113610"</f>
        <v>113610</v>
      </c>
      <c r="C5485" t="str">
        <f>"87150"</f>
        <v>87150</v>
      </c>
      <c r="D5485" t="s">
        <v>1386</v>
      </c>
      <c r="E5485">
        <v>37</v>
      </c>
      <c r="F5485">
        <v>20140114</v>
      </c>
      <c r="G5485" t="s">
        <v>202</v>
      </c>
      <c r="H5485" t="s">
        <v>2917</v>
      </c>
      <c r="I5485" t="s">
        <v>12</v>
      </c>
    </row>
    <row r="5486" spans="1:9" x14ac:dyDescent="0.25">
      <c r="A5486">
        <v>20140116</v>
      </c>
      <c r="B5486" t="str">
        <f>"113611"</f>
        <v>113611</v>
      </c>
      <c r="C5486" t="str">
        <f>"21325"</f>
        <v>21325</v>
      </c>
      <c r="D5486" t="s">
        <v>1216</v>
      </c>
      <c r="E5486">
        <v>51.9</v>
      </c>
      <c r="F5486">
        <v>20140114</v>
      </c>
      <c r="G5486" t="s">
        <v>2918</v>
      </c>
      <c r="H5486" t="s">
        <v>2919</v>
      </c>
      <c r="I5486" t="s">
        <v>21</v>
      </c>
    </row>
    <row r="5487" spans="1:9" x14ac:dyDescent="0.25">
      <c r="A5487">
        <v>20140116</v>
      </c>
      <c r="B5487" t="str">
        <f>"113611"</f>
        <v>113611</v>
      </c>
      <c r="C5487" t="str">
        <f>"21325"</f>
        <v>21325</v>
      </c>
      <c r="D5487" t="s">
        <v>1216</v>
      </c>
      <c r="E5487">
        <v>29.99</v>
      </c>
      <c r="F5487">
        <v>20140110</v>
      </c>
      <c r="G5487" t="s">
        <v>496</v>
      </c>
      <c r="H5487" t="s">
        <v>2920</v>
      </c>
      <c r="I5487" t="s">
        <v>21</v>
      </c>
    </row>
    <row r="5488" spans="1:9" x14ac:dyDescent="0.25">
      <c r="A5488">
        <v>20140116</v>
      </c>
      <c r="B5488" t="str">
        <f>"113612"</f>
        <v>113612</v>
      </c>
      <c r="C5488" t="str">
        <f>"23122"</f>
        <v>23122</v>
      </c>
      <c r="D5488" t="s">
        <v>2337</v>
      </c>
      <c r="E5488">
        <v>113.1</v>
      </c>
      <c r="F5488">
        <v>20140113</v>
      </c>
      <c r="G5488" t="s">
        <v>1426</v>
      </c>
      <c r="H5488" t="s">
        <v>2921</v>
      </c>
      <c r="I5488" t="s">
        <v>38</v>
      </c>
    </row>
    <row r="5489" spans="1:9" x14ac:dyDescent="0.25">
      <c r="A5489">
        <v>20140116</v>
      </c>
      <c r="B5489" t="str">
        <f>"113613"</f>
        <v>113613</v>
      </c>
      <c r="C5489" t="str">
        <f>"22200"</f>
        <v>22200</v>
      </c>
      <c r="D5489" t="s">
        <v>519</v>
      </c>
      <c r="E5489">
        <v>227.5</v>
      </c>
      <c r="F5489">
        <v>20140114</v>
      </c>
      <c r="G5489" t="s">
        <v>202</v>
      </c>
      <c r="H5489" t="s">
        <v>1394</v>
      </c>
      <c r="I5489" t="s">
        <v>12</v>
      </c>
    </row>
    <row r="5490" spans="1:9" x14ac:dyDescent="0.25">
      <c r="A5490">
        <v>20140116</v>
      </c>
      <c r="B5490" t="str">
        <f>"113614"</f>
        <v>113614</v>
      </c>
      <c r="C5490" t="str">
        <f>"22220"</f>
        <v>22220</v>
      </c>
      <c r="D5490" t="s">
        <v>521</v>
      </c>
      <c r="E5490">
        <v>187.5</v>
      </c>
      <c r="F5490">
        <v>20140115</v>
      </c>
      <c r="G5490" t="s">
        <v>174</v>
      </c>
      <c r="H5490" t="s">
        <v>2922</v>
      </c>
      <c r="I5490" t="s">
        <v>25</v>
      </c>
    </row>
    <row r="5491" spans="1:9" x14ac:dyDescent="0.25">
      <c r="A5491">
        <v>20140116</v>
      </c>
      <c r="B5491" t="str">
        <f>"113615"</f>
        <v>113615</v>
      </c>
      <c r="C5491" t="str">
        <f>"81026"</f>
        <v>81026</v>
      </c>
      <c r="D5491" t="s">
        <v>2923</v>
      </c>
      <c r="E5491">
        <v>222.56</v>
      </c>
      <c r="F5491">
        <v>20140114</v>
      </c>
      <c r="G5491" t="s">
        <v>1145</v>
      </c>
      <c r="H5491" t="s">
        <v>921</v>
      </c>
      <c r="I5491" t="s">
        <v>73</v>
      </c>
    </row>
    <row r="5492" spans="1:9" x14ac:dyDescent="0.25">
      <c r="A5492">
        <v>20140116</v>
      </c>
      <c r="B5492" t="str">
        <f t="shared" ref="B5492:B5497" si="357">"113616"</f>
        <v>113616</v>
      </c>
      <c r="C5492" t="str">
        <f t="shared" ref="C5492:C5497" si="358">"23827"</f>
        <v>23827</v>
      </c>
      <c r="D5492" t="s">
        <v>528</v>
      </c>
      <c r="E5492">
        <v>103.2</v>
      </c>
      <c r="F5492">
        <v>20140114</v>
      </c>
      <c r="G5492" t="s">
        <v>2669</v>
      </c>
      <c r="H5492" t="s">
        <v>513</v>
      </c>
      <c r="I5492" t="s">
        <v>21</v>
      </c>
    </row>
    <row r="5493" spans="1:9" x14ac:dyDescent="0.25">
      <c r="A5493">
        <v>20140116</v>
      </c>
      <c r="B5493" t="str">
        <f t="shared" si="357"/>
        <v>113616</v>
      </c>
      <c r="C5493" t="str">
        <f t="shared" si="358"/>
        <v>23827</v>
      </c>
      <c r="D5493" t="s">
        <v>528</v>
      </c>
      <c r="E5493">
        <v>338.4</v>
      </c>
      <c r="F5493">
        <v>20140114</v>
      </c>
      <c r="G5493" t="s">
        <v>145</v>
      </c>
      <c r="H5493" t="s">
        <v>513</v>
      </c>
      <c r="I5493" t="s">
        <v>38</v>
      </c>
    </row>
    <row r="5494" spans="1:9" x14ac:dyDescent="0.25">
      <c r="A5494">
        <v>20140116</v>
      </c>
      <c r="B5494" t="str">
        <f t="shared" si="357"/>
        <v>113616</v>
      </c>
      <c r="C5494" t="str">
        <f t="shared" si="358"/>
        <v>23827</v>
      </c>
      <c r="D5494" t="s">
        <v>528</v>
      </c>
      <c r="E5494">
        <v>20</v>
      </c>
      <c r="F5494">
        <v>20140114</v>
      </c>
      <c r="G5494" t="s">
        <v>39</v>
      </c>
      <c r="H5494" t="s">
        <v>513</v>
      </c>
      <c r="I5494" t="s">
        <v>38</v>
      </c>
    </row>
    <row r="5495" spans="1:9" x14ac:dyDescent="0.25">
      <c r="A5495">
        <v>20140116</v>
      </c>
      <c r="B5495" t="str">
        <f t="shared" si="357"/>
        <v>113616</v>
      </c>
      <c r="C5495" t="str">
        <f t="shared" si="358"/>
        <v>23827</v>
      </c>
      <c r="D5495" t="s">
        <v>528</v>
      </c>
      <c r="E5495">
        <v>-501.44</v>
      </c>
      <c r="F5495">
        <v>20140116</v>
      </c>
      <c r="G5495" t="s">
        <v>48</v>
      </c>
      <c r="H5495" t="s">
        <v>2924</v>
      </c>
      <c r="I5495" t="s">
        <v>25</v>
      </c>
    </row>
    <row r="5496" spans="1:9" x14ac:dyDescent="0.25">
      <c r="A5496">
        <v>20140116</v>
      </c>
      <c r="B5496" t="str">
        <f t="shared" si="357"/>
        <v>113616</v>
      </c>
      <c r="C5496" t="str">
        <f t="shared" si="358"/>
        <v>23827</v>
      </c>
      <c r="D5496" t="s">
        <v>528</v>
      </c>
      <c r="E5496">
        <v>350.65</v>
      </c>
      <c r="F5496">
        <v>20140115</v>
      </c>
      <c r="G5496" t="s">
        <v>327</v>
      </c>
      <c r="H5496" t="s">
        <v>513</v>
      </c>
      <c r="I5496" t="s">
        <v>25</v>
      </c>
    </row>
    <row r="5497" spans="1:9" x14ac:dyDescent="0.25">
      <c r="A5497">
        <v>20140116</v>
      </c>
      <c r="B5497" t="str">
        <f t="shared" si="357"/>
        <v>113616</v>
      </c>
      <c r="C5497" t="str">
        <f t="shared" si="358"/>
        <v>23827</v>
      </c>
      <c r="D5497" t="s">
        <v>528</v>
      </c>
      <c r="E5497">
        <v>243.8</v>
      </c>
      <c r="F5497">
        <v>20140114</v>
      </c>
      <c r="G5497" t="s">
        <v>812</v>
      </c>
      <c r="H5497" t="s">
        <v>513</v>
      </c>
      <c r="I5497" t="s">
        <v>25</v>
      </c>
    </row>
    <row r="5498" spans="1:9" x14ac:dyDescent="0.25">
      <c r="A5498">
        <v>20140116</v>
      </c>
      <c r="B5498" t="str">
        <f>"113617"</f>
        <v>113617</v>
      </c>
      <c r="C5498" t="str">
        <f>"87599"</f>
        <v>87599</v>
      </c>
      <c r="D5498" t="s">
        <v>2154</v>
      </c>
      <c r="E5498">
        <v>10.8</v>
      </c>
      <c r="F5498">
        <v>20140114</v>
      </c>
      <c r="G5498" t="s">
        <v>410</v>
      </c>
      <c r="H5498" t="s">
        <v>411</v>
      </c>
      <c r="I5498" t="s">
        <v>12</v>
      </c>
    </row>
    <row r="5499" spans="1:9" x14ac:dyDescent="0.25">
      <c r="A5499">
        <v>20140116</v>
      </c>
      <c r="B5499" t="str">
        <f>"113618"</f>
        <v>113618</v>
      </c>
      <c r="C5499" t="str">
        <f>"84625"</f>
        <v>84625</v>
      </c>
      <c r="D5499" t="s">
        <v>1580</v>
      </c>
      <c r="E5499">
        <v>546.04</v>
      </c>
      <c r="F5499">
        <v>20140110</v>
      </c>
      <c r="G5499" t="s">
        <v>585</v>
      </c>
      <c r="H5499" t="s">
        <v>2925</v>
      </c>
      <c r="I5499" t="s">
        <v>21</v>
      </c>
    </row>
    <row r="5500" spans="1:9" x14ac:dyDescent="0.25">
      <c r="A5500">
        <v>20140116</v>
      </c>
      <c r="B5500" t="str">
        <f>"113618"</f>
        <v>113618</v>
      </c>
      <c r="C5500" t="str">
        <f>"84625"</f>
        <v>84625</v>
      </c>
      <c r="D5500" t="s">
        <v>1580</v>
      </c>
      <c r="E5500">
        <v>610.36</v>
      </c>
      <c r="F5500">
        <v>20140110</v>
      </c>
      <c r="G5500" t="s">
        <v>837</v>
      </c>
      <c r="H5500" t="s">
        <v>2926</v>
      </c>
      <c r="I5500" t="s">
        <v>21</v>
      </c>
    </row>
    <row r="5501" spans="1:9" x14ac:dyDescent="0.25">
      <c r="A5501">
        <v>20140116</v>
      </c>
      <c r="B5501" t="str">
        <f>"113618"</f>
        <v>113618</v>
      </c>
      <c r="C5501" t="str">
        <f>"84625"</f>
        <v>84625</v>
      </c>
      <c r="D5501" t="s">
        <v>1580</v>
      </c>
      <c r="E5501">
        <v>136.55000000000001</v>
      </c>
      <c r="F5501">
        <v>20140110</v>
      </c>
      <c r="G5501" t="s">
        <v>704</v>
      </c>
      <c r="H5501" t="s">
        <v>2925</v>
      </c>
      <c r="I5501" t="s">
        <v>21</v>
      </c>
    </row>
    <row r="5502" spans="1:9" x14ac:dyDescent="0.25">
      <c r="A5502">
        <v>20140116</v>
      </c>
      <c r="B5502" t="str">
        <f>"113619"</f>
        <v>113619</v>
      </c>
      <c r="C5502" t="str">
        <f>"24700"</f>
        <v>24700</v>
      </c>
      <c r="D5502" t="s">
        <v>2157</v>
      </c>
      <c r="E5502">
        <v>165.38</v>
      </c>
      <c r="F5502">
        <v>20140115</v>
      </c>
      <c r="G5502" t="s">
        <v>583</v>
      </c>
      <c r="H5502" t="s">
        <v>2927</v>
      </c>
      <c r="I5502" t="s">
        <v>21</v>
      </c>
    </row>
    <row r="5503" spans="1:9" x14ac:dyDescent="0.25">
      <c r="A5503">
        <v>20140116</v>
      </c>
      <c r="B5503" t="str">
        <f t="shared" ref="B5503:B5508" si="359">"113620"</f>
        <v>113620</v>
      </c>
      <c r="C5503" t="str">
        <f t="shared" ref="C5503:C5508" si="360">"87699"</f>
        <v>87699</v>
      </c>
      <c r="D5503" t="s">
        <v>2928</v>
      </c>
      <c r="E5503">
        <v>80</v>
      </c>
      <c r="F5503">
        <v>20140115</v>
      </c>
      <c r="G5503" t="s">
        <v>1722</v>
      </c>
      <c r="H5503" t="s">
        <v>954</v>
      </c>
      <c r="I5503" t="s">
        <v>66</v>
      </c>
    </row>
    <row r="5504" spans="1:9" x14ac:dyDescent="0.25">
      <c r="A5504">
        <v>20140116</v>
      </c>
      <c r="B5504" t="str">
        <f t="shared" si="359"/>
        <v>113620</v>
      </c>
      <c r="C5504" t="str">
        <f t="shared" si="360"/>
        <v>87699</v>
      </c>
      <c r="D5504" t="s">
        <v>2928</v>
      </c>
      <c r="E5504">
        <v>30</v>
      </c>
      <c r="F5504">
        <v>20140115</v>
      </c>
      <c r="G5504" t="s">
        <v>1112</v>
      </c>
      <c r="H5504" t="s">
        <v>954</v>
      </c>
      <c r="I5504" t="s">
        <v>66</v>
      </c>
    </row>
    <row r="5505" spans="1:9" x14ac:dyDescent="0.25">
      <c r="A5505">
        <v>20140116</v>
      </c>
      <c r="B5505" t="str">
        <f t="shared" si="359"/>
        <v>113620</v>
      </c>
      <c r="C5505" t="str">
        <f t="shared" si="360"/>
        <v>87699</v>
      </c>
      <c r="D5505" t="s">
        <v>2928</v>
      </c>
      <c r="E5505">
        <v>60</v>
      </c>
      <c r="F5505">
        <v>20140115</v>
      </c>
      <c r="G5505" t="s">
        <v>440</v>
      </c>
      <c r="H5505" t="s">
        <v>954</v>
      </c>
      <c r="I5505" t="s">
        <v>66</v>
      </c>
    </row>
    <row r="5506" spans="1:9" x14ac:dyDescent="0.25">
      <c r="A5506">
        <v>20140116</v>
      </c>
      <c r="B5506" t="str">
        <f t="shared" si="359"/>
        <v>113620</v>
      </c>
      <c r="C5506" t="str">
        <f t="shared" si="360"/>
        <v>87699</v>
      </c>
      <c r="D5506" t="s">
        <v>2928</v>
      </c>
      <c r="E5506">
        <v>75</v>
      </c>
      <c r="F5506">
        <v>20140115</v>
      </c>
      <c r="G5506" t="s">
        <v>441</v>
      </c>
      <c r="H5506" t="s">
        <v>954</v>
      </c>
      <c r="I5506" t="s">
        <v>66</v>
      </c>
    </row>
    <row r="5507" spans="1:9" x14ac:dyDescent="0.25">
      <c r="A5507">
        <v>20140116</v>
      </c>
      <c r="B5507" t="str">
        <f t="shared" si="359"/>
        <v>113620</v>
      </c>
      <c r="C5507" t="str">
        <f t="shared" si="360"/>
        <v>87699</v>
      </c>
      <c r="D5507" t="s">
        <v>2928</v>
      </c>
      <c r="E5507">
        <v>25</v>
      </c>
      <c r="F5507">
        <v>20140115</v>
      </c>
      <c r="G5507" t="s">
        <v>1723</v>
      </c>
      <c r="H5507" t="s">
        <v>954</v>
      </c>
      <c r="I5507" t="s">
        <v>66</v>
      </c>
    </row>
    <row r="5508" spans="1:9" x14ac:dyDescent="0.25">
      <c r="A5508">
        <v>20140116</v>
      </c>
      <c r="B5508" t="str">
        <f t="shared" si="359"/>
        <v>113620</v>
      </c>
      <c r="C5508" t="str">
        <f t="shared" si="360"/>
        <v>87699</v>
      </c>
      <c r="D5508" t="s">
        <v>2928</v>
      </c>
      <c r="E5508">
        <v>25</v>
      </c>
      <c r="F5508">
        <v>20140115</v>
      </c>
      <c r="G5508" t="s">
        <v>442</v>
      </c>
      <c r="H5508" t="s">
        <v>954</v>
      </c>
      <c r="I5508" t="s">
        <v>66</v>
      </c>
    </row>
    <row r="5509" spans="1:9" x14ac:dyDescent="0.25">
      <c r="A5509">
        <v>20140116</v>
      </c>
      <c r="B5509" t="str">
        <f>"113621"</f>
        <v>113621</v>
      </c>
      <c r="C5509" t="str">
        <f>"25516"</f>
        <v>25516</v>
      </c>
      <c r="D5509" t="s">
        <v>529</v>
      </c>
      <c r="E5509">
        <v>955.82</v>
      </c>
      <c r="F5509">
        <v>20140114</v>
      </c>
      <c r="G5509" t="s">
        <v>331</v>
      </c>
      <c r="H5509" t="s">
        <v>2929</v>
      </c>
      <c r="I5509" t="s">
        <v>12</v>
      </c>
    </row>
    <row r="5510" spans="1:9" x14ac:dyDescent="0.25">
      <c r="A5510">
        <v>20140116</v>
      </c>
      <c r="B5510" t="str">
        <f>"113622"</f>
        <v>113622</v>
      </c>
      <c r="C5510" t="str">
        <f>"25575"</f>
        <v>25575</v>
      </c>
      <c r="D5510" t="s">
        <v>2930</v>
      </c>
      <c r="E5510">
        <v>420</v>
      </c>
      <c r="F5510">
        <v>20140114</v>
      </c>
      <c r="G5510" t="s">
        <v>965</v>
      </c>
      <c r="H5510" t="s">
        <v>357</v>
      </c>
      <c r="I5510" t="s">
        <v>21</v>
      </c>
    </row>
    <row r="5511" spans="1:9" x14ac:dyDescent="0.25">
      <c r="A5511">
        <v>20140116</v>
      </c>
      <c r="B5511" t="str">
        <f>"113623"</f>
        <v>113623</v>
      </c>
      <c r="C5511" t="str">
        <f>"87698"</f>
        <v>87698</v>
      </c>
      <c r="D5511" t="s">
        <v>2931</v>
      </c>
      <c r="E5511">
        <v>173.08</v>
      </c>
      <c r="F5511">
        <v>20140115</v>
      </c>
      <c r="G5511" t="s">
        <v>2932</v>
      </c>
      <c r="H5511" t="s">
        <v>1546</v>
      </c>
      <c r="I5511" t="s">
        <v>21</v>
      </c>
    </row>
    <row r="5512" spans="1:9" x14ac:dyDescent="0.25">
      <c r="A5512">
        <v>20140116</v>
      </c>
      <c r="B5512" t="str">
        <f t="shared" ref="B5512:B5520" si="361">"113624"</f>
        <v>113624</v>
      </c>
      <c r="C5512" t="str">
        <f t="shared" ref="C5512:C5520" si="362">"26180"</f>
        <v>26180</v>
      </c>
      <c r="D5512" t="s">
        <v>2933</v>
      </c>
      <c r="E5512">
        <v>539.25</v>
      </c>
      <c r="F5512">
        <v>20140110</v>
      </c>
      <c r="G5512" t="s">
        <v>511</v>
      </c>
      <c r="H5512" t="s">
        <v>2934</v>
      </c>
      <c r="I5512" t="s">
        <v>21</v>
      </c>
    </row>
    <row r="5513" spans="1:9" x14ac:dyDescent="0.25">
      <c r="A5513">
        <v>20140116</v>
      </c>
      <c r="B5513" t="str">
        <f t="shared" si="361"/>
        <v>113624</v>
      </c>
      <c r="C5513" t="str">
        <f t="shared" si="362"/>
        <v>26180</v>
      </c>
      <c r="D5513" t="s">
        <v>2933</v>
      </c>
      <c r="E5513">
        <v>221.25</v>
      </c>
      <c r="F5513">
        <v>20140110</v>
      </c>
      <c r="G5513" t="s">
        <v>621</v>
      </c>
      <c r="H5513" t="s">
        <v>2934</v>
      </c>
      <c r="I5513" t="s">
        <v>21</v>
      </c>
    </row>
    <row r="5514" spans="1:9" x14ac:dyDescent="0.25">
      <c r="A5514">
        <v>20140116</v>
      </c>
      <c r="B5514" t="str">
        <f t="shared" si="361"/>
        <v>113624</v>
      </c>
      <c r="C5514" t="str">
        <f t="shared" si="362"/>
        <v>26180</v>
      </c>
      <c r="D5514" t="s">
        <v>2933</v>
      </c>
      <c r="E5514">
        <v>185.75</v>
      </c>
      <c r="F5514">
        <v>20140110</v>
      </c>
      <c r="G5514" t="s">
        <v>1270</v>
      </c>
      <c r="H5514" t="s">
        <v>2934</v>
      </c>
      <c r="I5514" t="s">
        <v>21</v>
      </c>
    </row>
    <row r="5515" spans="1:9" x14ac:dyDescent="0.25">
      <c r="A5515">
        <v>20140116</v>
      </c>
      <c r="B5515" t="str">
        <f t="shared" si="361"/>
        <v>113624</v>
      </c>
      <c r="C5515" t="str">
        <f t="shared" si="362"/>
        <v>26180</v>
      </c>
      <c r="D5515" t="s">
        <v>2933</v>
      </c>
      <c r="E5515">
        <v>178.5</v>
      </c>
      <c r="F5515">
        <v>20140110</v>
      </c>
      <c r="G5515" t="s">
        <v>950</v>
      </c>
      <c r="H5515" t="s">
        <v>2934</v>
      </c>
      <c r="I5515" t="s">
        <v>21</v>
      </c>
    </row>
    <row r="5516" spans="1:9" x14ac:dyDescent="0.25">
      <c r="A5516">
        <v>20140116</v>
      </c>
      <c r="B5516" t="str">
        <f t="shared" si="361"/>
        <v>113624</v>
      </c>
      <c r="C5516" t="str">
        <f t="shared" si="362"/>
        <v>26180</v>
      </c>
      <c r="D5516" t="s">
        <v>2933</v>
      </c>
      <c r="E5516">
        <v>165.75</v>
      </c>
      <c r="F5516">
        <v>20140110</v>
      </c>
      <c r="G5516" t="s">
        <v>524</v>
      </c>
      <c r="H5516" t="s">
        <v>2934</v>
      </c>
      <c r="I5516" t="s">
        <v>21</v>
      </c>
    </row>
    <row r="5517" spans="1:9" x14ac:dyDescent="0.25">
      <c r="A5517">
        <v>20140116</v>
      </c>
      <c r="B5517" t="str">
        <f t="shared" si="361"/>
        <v>113624</v>
      </c>
      <c r="C5517" t="str">
        <f t="shared" si="362"/>
        <v>26180</v>
      </c>
      <c r="D5517" t="s">
        <v>2933</v>
      </c>
      <c r="E5517">
        <v>185.75</v>
      </c>
      <c r="F5517">
        <v>20140110</v>
      </c>
      <c r="G5517" t="s">
        <v>526</v>
      </c>
      <c r="H5517" t="s">
        <v>2934</v>
      </c>
      <c r="I5517" t="s">
        <v>21</v>
      </c>
    </row>
    <row r="5518" spans="1:9" x14ac:dyDescent="0.25">
      <c r="A5518">
        <v>20140116</v>
      </c>
      <c r="B5518" t="str">
        <f t="shared" si="361"/>
        <v>113624</v>
      </c>
      <c r="C5518" t="str">
        <f t="shared" si="362"/>
        <v>26180</v>
      </c>
      <c r="D5518" t="s">
        <v>2933</v>
      </c>
      <c r="E5518">
        <v>175.75</v>
      </c>
      <c r="F5518">
        <v>20140110</v>
      </c>
      <c r="G5518" t="s">
        <v>450</v>
      </c>
      <c r="H5518" t="s">
        <v>2934</v>
      </c>
      <c r="I5518" t="s">
        <v>21</v>
      </c>
    </row>
    <row r="5519" spans="1:9" x14ac:dyDescent="0.25">
      <c r="A5519">
        <v>20140116</v>
      </c>
      <c r="B5519" t="str">
        <f t="shared" si="361"/>
        <v>113624</v>
      </c>
      <c r="C5519" t="str">
        <f t="shared" si="362"/>
        <v>26180</v>
      </c>
      <c r="D5519" t="s">
        <v>2933</v>
      </c>
      <c r="E5519">
        <v>165.75</v>
      </c>
      <c r="F5519">
        <v>20140110</v>
      </c>
      <c r="G5519" t="s">
        <v>1273</v>
      </c>
      <c r="H5519" t="s">
        <v>2934</v>
      </c>
      <c r="I5519" t="s">
        <v>21</v>
      </c>
    </row>
    <row r="5520" spans="1:9" x14ac:dyDescent="0.25">
      <c r="A5520">
        <v>20140116</v>
      </c>
      <c r="B5520" t="str">
        <f t="shared" si="361"/>
        <v>113624</v>
      </c>
      <c r="C5520" t="str">
        <f t="shared" si="362"/>
        <v>26180</v>
      </c>
      <c r="D5520" t="s">
        <v>2933</v>
      </c>
      <c r="E5520">
        <v>325</v>
      </c>
      <c r="F5520">
        <v>20140110</v>
      </c>
      <c r="G5520" t="s">
        <v>1464</v>
      </c>
      <c r="H5520" t="s">
        <v>2934</v>
      </c>
      <c r="I5520" t="s">
        <v>21</v>
      </c>
    </row>
    <row r="5521" spans="1:9" x14ac:dyDescent="0.25">
      <c r="A5521">
        <v>20140116</v>
      </c>
      <c r="B5521" t="str">
        <f>"113625"</f>
        <v>113625</v>
      </c>
      <c r="C5521" t="str">
        <f>"26425"</f>
        <v>26425</v>
      </c>
      <c r="D5521" t="s">
        <v>822</v>
      </c>
      <c r="E5521" s="1">
        <v>1002.32</v>
      </c>
      <c r="F5521">
        <v>20140114</v>
      </c>
      <c r="G5521" t="s">
        <v>1408</v>
      </c>
      <c r="H5521" t="s">
        <v>2935</v>
      </c>
      <c r="I5521" t="s">
        <v>12</v>
      </c>
    </row>
    <row r="5522" spans="1:9" x14ac:dyDescent="0.25">
      <c r="A5522">
        <v>20140116</v>
      </c>
      <c r="B5522" t="str">
        <f>"113626"</f>
        <v>113626</v>
      </c>
      <c r="C5522" t="str">
        <f>"27981"</f>
        <v>27981</v>
      </c>
      <c r="D5522" t="s">
        <v>551</v>
      </c>
      <c r="E5522">
        <v>19.510000000000002</v>
      </c>
      <c r="F5522">
        <v>20140110</v>
      </c>
      <c r="G5522" t="s">
        <v>628</v>
      </c>
      <c r="H5522" t="s">
        <v>414</v>
      </c>
      <c r="I5522" t="s">
        <v>21</v>
      </c>
    </row>
    <row r="5523" spans="1:9" x14ac:dyDescent="0.25">
      <c r="A5523">
        <v>20140116</v>
      </c>
      <c r="B5523" t="str">
        <f>"113626"</f>
        <v>113626</v>
      </c>
      <c r="C5523" t="str">
        <f>"27981"</f>
        <v>27981</v>
      </c>
      <c r="D5523" t="s">
        <v>551</v>
      </c>
      <c r="E5523">
        <v>78.599999999999994</v>
      </c>
      <c r="F5523">
        <v>20140110</v>
      </c>
      <c r="G5523" t="s">
        <v>1224</v>
      </c>
      <c r="H5523" t="s">
        <v>414</v>
      </c>
      <c r="I5523" t="s">
        <v>21</v>
      </c>
    </row>
    <row r="5524" spans="1:9" x14ac:dyDescent="0.25">
      <c r="A5524">
        <v>20140116</v>
      </c>
      <c r="B5524" t="str">
        <f>"113626"</f>
        <v>113626</v>
      </c>
      <c r="C5524" t="str">
        <f>"27981"</f>
        <v>27981</v>
      </c>
      <c r="D5524" t="s">
        <v>551</v>
      </c>
      <c r="E5524">
        <v>212.56</v>
      </c>
      <c r="F5524">
        <v>20140110</v>
      </c>
      <c r="G5524" t="s">
        <v>1224</v>
      </c>
      <c r="H5524" t="s">
        <v>414</v>
      </c>
      <c r="I5524" t="s">
        <v>21</v>
      </c>
    </row>
    <row r="5525" spans="1:9" x14ac:dyDescent="0.25">
      <c r="A5525">
        <v>20140116</v>
      </c>
      <c r="B5525" t="str">
        <f>"113626"</f>
        <v>113626</v>
      </c>
      <c r="C5525" t="str">
        <f>"27981"</f>
        <v>27981</v>
      </c>
      <c r="D5525" t="s">
        <v>551</v>
      </c>
      <c r="E5525">
        <v>236.12</v>
      </c>
      <c r="F5525">
        <v>20140110</v>
      </c>
      <c r="G5525" t="s">
        <v>1224</v>
      </c>
      <c r="H5525" t="s">
        <v>414</v>
      </c>
      <c r="I5525" t="s">
        <v>21</v>
      </c>
    </row>
    <row r="5526" spans="1:9" x14ac:dyDescent="0.25">
      <c r="A5526">
        <v>20140116</v>
      </c>
      <c r="B5526" t="str">
        <f>"113627"</f>
        <v>113627</v>
      </c>
      <c r="C5526" t="str">
        <f>"28100"</f>
        <v>28100</v>
      </c>
      <c r="D5526" t="s">
        <v>2936</v>
      </c>
      <c r="E5526">
        <v>500</v>
      </c>
      <c r="F5526">
        <v>20140114</v>
      </c>
      <c r="G5526" t="s">
        <v>347</v>
      </c>
      <c r="H5526" t="s">
        <v>1360</v>
      </c>
      <c r="I5526" t="s">
        <v>61</v>
      </c>
    </row>
    <row r="5527" spans="1:9" x14ac:dyDescent="0.25">
      <c r="A5527">
        <v>20140116</v>
      </c>
      <c r="B5527" t="str">
        <f>"113628"</f>
        <v>113628</v>
      </c>
      <c r="C5527" t="str">
        <f>"84866"</f>
        <v>84866</v>
      </c>
      <c r="D5527" t="s">
        <v>1060</v>
      </c>
      <c r="E5527">
        <v>126</v>
      </c>
      <c r="F5527">
        <v>20140115</v>
      </c>
      <c r="G5527" t="s">
        <v>171</v>
      </c>
      <c r="H5527" t="s">
        <v>1741</v>
      </c>
      <c r="I5527" t="s">
        <v>38</v>
      </c>
    </row>
    <row r="5528" spans="1:9" x14ac:dyDescent="0.25">
      <c r="A5528">
        <v>20140116</v>
      </c>
      <c r="B5528" t="str">
        <f t="shared" ref="B5528:B5533" si="363">"113629"</f>
        <v>113629</v>
      </c>
      <c r="C5528" t="str">
        <f t="shared" ref="C5528:C5533" si="364">"81054"</f>
        <v>81054</v>
      </c>
      <c r="D5528" t="s">
        <v>554</v>
      </c>
      <c r="E5528">
        <v>374.5</v>
      </c>
      <c r="F5528">
        <v>20140110</v>
      </c>
      <c r="G5528" t="s">
        <v>746</v>
      </c>
      <c r="H5528" t="s">
        <v>555</v>
      </c>
      <c r="I5528" t="s">
        <v>21</v>
      </c>
    </row>
    <row r="5529" spans="1:9" x14ac:dyDescent="0.25">
      <c r="A5529">
        <v>20140116</v>
      </c>
      <c r="B5529" t="str">
        <f t="shared" si="363"/>
        <v>113629</v>
      </c>
      <c r="C5529" t="str">
        <f t="shared" si="364"/>
        <v>81054</v>
      </c>
      <c r="D5529" t="s">
        <v>554</v>
      </c>
      <c r="E5529">
        <v>327.5</v>
      </c>
      <c r="F5529">
        <v>20140110</v>
      </c>
      <c r="G5529" t="s">
        <v>746</v>
      </c>
      <c r="H5529" t="s">
        <v>555</v>
      </c>
      <c r="I5529" t="s">
        <v>21</v>
      </c>
    </row>
    <row r="5530" spans="1:9" x14ac:dyDescent="0.25">
      <c r="A5530">
        <v>20140116</v>
      </c>
      <c r="B5530" t="str">
        <f t="shared" si="363"/>
        <v>113629</v>
      </c>
      <c r="C5530" t="str">
        <f t="shared" si="364"/>
        <v>81054</v>
      </c>
      <c r="D5530" t="s">
        <v>554</v>
      </c>
      <c r="E5530">
        <v>374.5</v>
      </c>
      <c r="F5530">
        <v>20140110</v>
      </c>
      <c r="G5530" t="s">
        <v>746</v>
      </c>
      <c r="H5530" t="s">
        <v>555</v>
      </c>
      <c r="I5530" t="s">
        <v>21</v>
      </c>
    </row>
    <row r="5531" spans="1:9" x14ac:dyDescent="0.25">
      <c r="A5531">
        <v>20140116</v>
      </c>
      <c r="B5531" t="str">
        <f t="shared" si="363"/>
        <v>113629</v>
      </c>
      <c r="C5531" t="str">
        <f t="shared" si="364"/>
        <v>81054</v>
      </c>
      <c r="D5531" t="s">
        <v>554</v>
      </c>
      <c r="E5531">
        <v>327.5</v>
      </c>
      <c r="F5531">
        <v>20140110</v>
      </c>
      <c r="G5531" t="s">
        <v>746</v>
      </c>
      <c r="H5531" t="s">
        <v>555</v>
      </c>
      <c r="I5531" t="s">
        <v>21</v>
      </c>
    </row>
    <row r="5532" spans="1:9" x14ac:dyDescent="0.25">
      <c r="A5532">
        <v>20140116</v>
      </c>
      <c r="B5532" t="str">
        <f t="shared" si="363"/>
        <v>113629</v>
      </c>
      <c r="C5532" t="str">
        <f t="shared" si="364"/>
        <v>81054</v>
      </c>
      <c r="D5532" t="s">
        <v>554</v>
      </c>
      <c r="E5532">
        <v>284.5</v>
      </c>
      <c r="F5532">
        <v>20140110</v>
      </c>
      <c r="G5532" t="s">
        <v>746</v>
      </c>
      <c r="H5532" t="s">
        <v>555</v>
      </c>
      <c r="I5532" t="s">
        <v>21</v>
      </c>
    </row>
    <row r="5533" spans="1:9" x14ac:dyDescent="0.25">
      <c r="A5533">
        <v>20140116</v>
      </c>
      <c r="B5533" t="str">
        <f t="shared" si="363"/>
        <v>113629</v>
      </c>
      <c r="C5533" t="str">
        <f t="shared" si="364"/>
        <v>81054</v>
      </c>
      <c r="D5533" t="s">
        <v>554</v>
      </c>
      <c r="E5533">
        <v>327.5</v>
      </c>
      <c r="F5533">
        <v>20140110</v>
      </c>
      <c r="G5533" t="s">
        <v>746</v>
      </c>
      <c r="H5533" t="s">
        <v>555</v>
      </c>
      <c r="I5533" t="s">
        <v>21</v>
      </c>
    </row>
    <row r="5534" spans="1:9" x14ac:dyDescent="0.25">
      <c r="A5534">
        <v>20140116</v>
      </c>
      <c r="B5534" t="str">
        <f>"113630"</f>
        <v>113630</v>
      </c>
      <c r="C5534" t="str">
        <f>"30000"</f>
        <v>30000</v>
      </c>
      <c r="D5534" t="s">
        <v>556</v>
      </c>
      <c r="E5534">
        <v>34.26</v>
      </c>
      <c r="F5534">
        <v>20140115</v>
      </c>
      <c r="G5534" t="s">
        <v>583</v>
      </c>
      <c r="H5534" t="s">
        <v>2937</v>
      </c>
      <c r="I5534" t="s">
        <v>21</v>
      </c>
    </row>
    <row r="5535" spans="1:9" x14ac:dyDescent="0.25">
      <c r="A5535">
        <v>20140116</v>
      </c>
      <c r="B5535" t="str">
        <f>"113630"</f>
        <v>113630</v>
      </c>
      <c r="C5535" t="str">
        <f>"30000"</f>
        <v>30000</v>
      </c>
      <c r="D5535" t="s">
        <v>556</v>
      </c>
      <c r="E5535">
        <v>549.99</v>
      </c>
      <c r="F5535">
        <v>20140114</v>
      </c>
      <c r="G5535" t="s">
        <v>2938</v>
      </c>
      <c r="H5535" t="s">
        <v>2939</v>
      </c>
      <c r="I5535" t="s">
        <v>21</v>
      </c>
    </row>
    <row r="5536" spans="1:9" x14ac:dyDescent="0.25">
      <c r="A5536">
        <v>20140116</v>
      </c>
      <c r="B5536" t="str">
        <f>"113630"</f>
        <v>113630</v>
      </c>
      <c r="C5536" t="str">
        <f>"30000"</f>
        <v>30000</v>
      </c>
      <c r="D5536" t="s">
        <v>556</v>
      </c>
      <c r="E5536">
        <v>261.60000000000002</v>
      </c>
      <c r="F5536">
        <v>20140114</v>
      </c>
      <c r="G5536" t="s">
        <v>2940</v>
      </c>
      <c r="H5536" t="s">
        <v>2941</v>
      </c>
      <c r="I5536" t="s">
        <v>21</v>
      </c>
    </row>
    <row r="5537" spans="1:9" x14ac:dyDescent="0.25">
      <c r="A5537">
        <v>20140116</v>
      </c>
      <c r="B5537" t="str">
        <f>"113630"</f>
        <v>113630</v>
      </c>
      <c r="C5537" t="str">
        <f>"30000"</f>
        <v>30000</v>
      </c>
      <c r="D5537" t="s">
        <v>556</v>
      </c>
      <c r="E5537">
        <v>69.14</v>
      </c>
      <c r="F5537">
        <v>20140114</v>
      </c>
      <c r="G5537" t="s">
        <v>1079</v>
      </c>
      <c r="H5537" t="s">
        <v>2942</v>
      </c>
      <c r="I5537" t="s">
        <v>21</v>
      </c>
    </row>
    <row r="5538" spans="1:9" x14ac:dyDescent="0.25">
      <c r="A5538">
        <v>20140116</v>
      </c>
      <c r="B5538" t="str">
        <f>"113630"</f>
        <v>113630</v>
      </c>
      <c r="C5538" t="str">
        <f>"30000"</f>
        <v>30000</v>
      </c>
      <c r="D5538" t="s">
        <v>556</v>
      </c>
      <c r="E5538">
        <v>207.48</v>
      </c>
      <c r="F5538">
        <v>20140114</v>
      </c>
      <c r="G5538" t="s">
        <v>840</v>
      </c>
      <c r="H5538" t="s">
        <v>2943</v>
      </c>
      <c r="I5538" t="s">
        <v>21</v>
      </c>
    </row>
    <row r="5539" spans="1:9" x14ac:dyDescent="0.25">
      <c r="A5539">
        <v>20140116</v>
      </c>
      <c r="B5539" t="str">
        <f>"113631"</f>
        <v>113631</v>
      </c>
      <c r="C5539" t="str">
        <f>"30125"</f>
        <v>30125</v>
      </c>
      <c r="D5539" t="s">
        <v>2509</v>
      </c>
      <c r="E5539">
        <v>210.39</v>
      </c>
      <c r="F5539">
        <v>20140114</v>
      </c>
      <c r="G5539" t="s">
        <v>1619</v>
      </c>
      <c r="H5539" t="s">
        <v>2944</v>
      </c>
      <c r="I5539" t="s">
        <v>21</v>
      </c>
    </row>
    <row r="5540" spans="1:9" x14ac:dyDescent="0.25">
      <c r="A5540">
        <v>20140116</v>
      </c>
      <c r="B5540" t="str">
        <f>"113632"</f>
        <v>113632</v>
      </c>
      <c r="C5540" t="str">
        <f>"85333"</f>
        <v>85333</v>
      </c>
      <c r="D5540" t="s">
        <v>561</v>
      </c>
      <c r="E5540">
        <v>17.600000000000001</v>
      </c>
      <c r="F5540">
        <v>20140110</v>
      </c>
      <c r="G5540" t="s">
        <v>562</v>
      </c>
      <c r="H5540" t="s">
        <v>563</v>
      </c>
      <c r="I5540" t="s">
        <v>21</v>
      </c>
    </row>
    <row r="5541" spans="1:9" x14ac:dyDescent="0.25">
      <c r="A5541">
        <v>20140116</v>
      </c>
      <c r="B5541" t="str">
        <f>"113633"</f>
        <v>113633</v>
      </c>
      <c r="C5541" t="str">
        <f>"84251"</f>
        <v>84251</v>
      </c>
      <c r="D5541" t="s">
        <v>2945</v>
      </c>
      <c r="E5541">
        <v>45</v>
      </c>
      <c r="F5541">
        <v>20140115</v>
      </c>
      <c r="G5541" t="s">
        <v>2277</v>
      </c>
      <c r="H5541" t="s">
        <v>354</v>
      </c>
      <c r="I5541" t="s">
        <v>21</v>
      </c>
    </row>
    <row r="5542" spans="1:9" x14ac:dyDescent="0.25">
      <c r="A5542">
        <v>20140116</v>
      </c>
      <c r="B5542" t="str">
        <f>"113634"</f>
        <v>113634</v>
      </c>
      <c r="C5542" t="str">
        <f>"87103"</f>
        <v>87103</v>
      </c>
      <c r="D5542" t="s">
        <v>2946</v>
      </c>
      <c r="E5542">
        <v>135</v>
      </c>
      <c r="F5542">
        <v>20140110</v>
      </c>
      <c r="G5542" t="s">
        <v>1304</v>
      </c>
      <c r="H5542" t="s">
        <v>2947</v>
      </c>
      <c r="I5542" t="s">
        <v>21</v>
      </c>
    </row>
    <row r="5543" spans="1:9" x14ac:dyDescent="0.25">
      <c r="A5543">
        <v>20140116</v>
      </c>
      <c r="B5543" t="str">
        <f>"113635"</f>
        <v>113635</v>
      </c>
      <c r="C5543" t="str">
        <f>"30480"</f>
        <v>30480</v>
      </c>
      <c r="D5543" t="s">
        <v>570</v>
      </c>
      <c r="E5543" s="1">
        <v>5442</v>
      </c>
      <c r="F5543">
        <v>20140114</v>
      </c>
      <c r="G5543" t="s">
        <v>571</v>
      </c>
      <c r="H5543" t="s">
        <v>572</v>
      </c>
      <c r="I5543" t="s">
        <v>21</v>
      </c>
    </row>
    <row r="5544" spans="1:9" x14ac:dyDescent="0.25">
      <c r="A5544">
        <v>20140116</v>
      </c>
      <c r="B5544" t="str">
        <f>"113636"</f>
        <v>113636</v>
      </c>
      <c r="C5544" t="str">
        <f>"30500"</f>
        <v>30500</v>
      </c>
      <c r="D5544" t="s">
        <v>2682</v>
      </c>
      <c r="E5544">
        <v>206.37</v>
      </c>
      <c r="F5544">
        <v>20140109</v>
      </c>
      <c r="G5544" t="s">
        <v>2801</v>
      </c>
      <c r="H5544" t="s">
        <v>2948</v>
      </c>
      <c r="I5544" t="s">
        <v>21</v>
      </c>
    </row>
    <row r="5545" spans="1:9" x14ac:dyDescent="0.25">
      <c r="A5545">
        <v>20140116</v>
      </c>
      <c r="B5545" t="str">
        <f>"113637"</f>
        <v>113637</v>
      </c>
      <c r="C5545" t="str">
        <f>"87209"</f>
        <v>87209</v>
      </c>
      <c r="D5545" t="s">
        <v>2949</v>
      </c>
      <c r="E5545">
        <v>55.8</v>
      </c>
      <c r="F5545">
        <v>20140115</v>
      </c>
      <c r="G5545" t="s">
        <v>327</v>
      </c>
      <c r="H5545" t="s">
        <v>553</v>
      </c>
      <c r="I5545" t="s">
        <v>25</v>
      </c>
    </row>
    <row r="5546" spans="1:9" x14ac:dyDescent="0.25">
      <c r="A5546">
        <v>20140116</v>
      </c>
      <c r="B5546" t="str">
        <f>"113637"</f>
        <v>113637</v>
      </c>
      <c r="C5546" t="str">
        <f>"87209"</f>
        <v>87209</v>
      </c>
      <c r="D5546" t="s">
        <v>2949</v>
      </c>
      <c r="E5546" s="1">
        <v>1044.4000000000001</v>
      </c>
      <c r="F5546">
        <v>20140115</v>
      </c>
      <c r="G5546" t="s">
        <v>327</v>
      </c>
      <c r="H5546" t="s">
        <v>553</v>
      </c>
      <c r="I5546" t="s">
        <v>25</v>
      </c>
    </row>
    <row r="5547" spans="1:9" x14ac:dyDescent="0.25">
      <c r="A5547">
        <v>20140116</v>
      </c>
      <c r="B5547" t="str">
        <f>"113638"</f>
        <v>113638</v>
      </c>
      <c r="C5547" t="str">
        <f>"31570"</f>
        <v>31570</v>
      </c>
      <c r="D5547" t="s">
        <v>1244</v>
      </c>
      <c r="E5547">
        <v>204.38</v>
      </c>
      <c r="F5547">
        <v>20140113</v>
      </c>
      <c r="G5547" t="s">
        <v>1338</v>
      </c>
      <c r="H5547" t="s">
        <v>414</v>
      </c>
      <c r="I5547" t="s">
        <v>21</v>
      </c>
    </row>
    <row r="5548" spans="1:9" x14ac:dyDescent="0.25">
      <c r="A5548">
        <v>20140116</v>
      </c>
      <c r="B5548" t="str">
        <f>"113638"</f>
        <v>113638</v>
      </c>
      <c r="C5548" t="str">
        <f>"31570"</f>
        <v>31570</v>
      </c>
      <c r="D5548" t="s">
        <v>1244</v>
      </c>
      <c r="E5548">
        <v>197.82</v>
      </c>
      <c r="F5548">
        <v>20140113</v>
      </c>
      <c r="G5548" t="s">
        <v>1486</v>
      </c>
      <c r="H5548" t="s">
        <v>414</v>
      </c>
      <c r="I5548" t="s">
        <v>38</v>
      </c>
    </row>
    <row r="5549" spans="1:9" x14ac:dyDescent="0.25">
      <c r="A5549">
        <v>20140116</v>
      </c>
      <c r="B5549" t="str">
        <f>"113638"</f>
        <v>113638</v>
      </c>
      <c r="C5549" t="str">
        <f>"31570"</f>
        <v>31570</v>
      </c>
      <c r="D5549" t="s">
        <v>1244</v>
      </c>
      <c r="E5549">
        <v>190.46</v>
      </c>
      <c r="F5549">
        <v>20140113</v>
      </c>
      <c r="G5549" t="s">
        <v>1426</v>
      </c>
      <c r="H5549" t="s">
        <v>414</v>
      </c>
      <c r="I5549" t="s">
        <v>38</v>
      </c>
    </row>
    <row r="5550" spans="1:9" x14ac:dyDescent="0.25">
      <c r="A5550">
        <v>20140116</v>
      </c>
      <c r="B5550" t="str">
        <f>"113639"</f>
        <v>113639</v>
      </c>
      <c r="C5550" t="str">
        <f>"31570"</f>
        <v>31570</v>
      </c>
      <c r="D5550" t="s">
        <v>1244</v>
      </c>
      <c r="E5550">
        <v>57.79</v>
      </c>
      <c r="F5550">
        <v>20140115</v>
      </c>
      <c r="G5550" t="s">
        <v>140</v>
      </c>
      <c r="H5550" t="s">
        <v>414</v>
      </c>
      <c r="I5550" t="s">
        <v>25</v>
      </c>
    </row>
    <row r="5551" spans="1:9" x14ac:dyDescent="0.25">
      <c r="A5551">
        <v>20140116</v>
      </c>
      <c r="B5551" t="str">
        <f>"113640"</f>
        <v>113640</v>
      </c>
      <c r="C5551" t="str">
        <f>"32475"</f>
        <v>32475</v>
      </c>
      <c r="D5551" t="s">
        <v>2950</v>
      </c>
      <c r="E5551">
        <v>490.39</v>
      </c>
      <c r="F5551">
        <v>20140115</v>
      </c>
      <c r="G5551" t="s">
        <v>2951</v>
      </c>
      <c r="H5551" t="s">
        <v>2952</v>
      </c>
      <c r="I5551" t="s">
        <v>21</v>
      </c>
    </row>
    <row r="5552" spans="1:9" x14ac:dyDescent="0.25">
      <c r="A5552">
        <v>20140116</v>
      </c>
      <c r="B5552" t="str">
        <f>"113641"</f>
        <v>113641</v>
      </c>
      <c r="C5552" t="str">
        <f>"84980"</f>
        <v>84980</v>
      </c>
      <c r="D5552" t="s">
        <v>591</v>
      </c>
      <c r="E5552">
        <v>225.36</v>
      </c>
      <c r="F5552">
        <v>20140115</v>
      </c>
      <c r="G5552" t="s">
        <v>174</v>
      </c>
      <c r="H5552" t="s">
        <v>2953</v>
      </c>
      <c r="I5552" t="s">
        <v>25</v>
      </c>
    </row>
    <row r="5553" spans="1:9" x14ac:dyDescent="0.25">
      <c r="A5553">
        <v>20140116</v>
      </c>
      <c r="B5553" t="str">
        <f>"113642"</f>
        <v>113642</v>
      </c>
      <c r="C5553" t="str">
        <f>"30650"</f>
        <v>30650</v>
      </c>
      <c r="D5553" t="s">
        <v>596</v>
      </c>
      <c r="E5553">
        <v>810</v>
      </c>
      <c r="F5553">
        <v>20140110</v>
      </c>
      <c r="G5553" t="s">
        <v>630</v>
      </c>
      <c r="H5553" t="s">
        <v>597</v>
      </c>
      <c r="I5553" t="s">
        <v>21</v>
      </c>
    </row>
    <row r="5554" spans="1:9" x14ac:dyDescent="0.25">
      <c r="A5554">
        <v>20140116</v>
      </c>
      <c r="B5554" t="str">
        <f>"113642"</f>
        <v>113642</v>
      </c>
      <c r="C5554" t="str">
        <f>"30650"</f>
        <v>30650</v>
      </c>
      <c r="D5554" t="s">
        <v>596</v>
      </c>
      <c r="E5554">
        <v>270</v>
      </c>
      <c r="F5554">
        <v>20140110</v>
      </c>
      <c r="G5554" t="s">
        <v>1224</v>
      </c>
      <c r="H5554" t="s">
        <v>597</v>
      </c>
      <c r="I5554" t="s">
        <v>21</v>
      </c>
    </row>
    <row r="5555" spans="1:9" x14ac:dyDescent="0.25">
      <c r="A5555">
        <v>20140116</v>
      </c>
      <c r="B5555" t="str">
        <f>"113643"</f>
        <v>113643</v>
      </c>
      <c r="C5555" t="str">
        <f>"81072"</f>
        <v>81072</v>
      </c>
      <c r="D5555" t="s">
        <v>598</v>
      </c>
      <c r="E5555" s="1">
        <v>1275</v>
      </c>
      <c r="F5555">
        <v>20140110</v>
      </c>
      <c r="G5555" t="s">
        <v>746</v>
      </c>
      <c r="H5555" t="s">
        <v>555</v>
      </c>
      <c r="I5555" t="s">
        <v>21</v>
      </c>
    </row>
    <row r="5556" spans="1:9" x14ac:dyDescent="0.25">
      <c r="A5556">
        <v>20140116</v>
      </c>
      <c r="B5556" t="str">
        <f>"113644"</f>
        <v>113644</v>
      </c>
      <c r="C5556" t="str">
        <f>"87385"</f>
        <v>87385</v>
      </c>
      <c r="D5556" t="s">
        <v>1089</v>
      </c>
      <c r="E5556">
        <v>747.3</v>
      </c>
      <c r="F5556">
        <v>20140110</v>
      </c>
      <c r="G5556" t="s">
        <v>415</v>
      </c>
      <c r="H5556" t="s">
        <v>414</v>
      </c>
      <c r="I5556" t="s">
        <v>21</v>
      </c>
    </row>
    <row r="5557" spans="1:9" x14ac:dyDescent="0.25">
      <c r="A5557">
        <v>20140116</v>
      </c>
      <c r="B5557" t="str">
        <f>"113645"</f>
        <v>113645</v>
      </c>
      <c r="C5557" t="str">
        <f>"33200"</f>
        <v>33200</v>
      </c>
      <c r="D5557" t="s">
        <v>863</v>
      </c>
      <c r="E5557">
        <v>23.76</v>
      </c>
      <c r="F5557">
        <v>20140113</v>
      </c>
      <c r="G5557" t="s">
        <v>864</v>
      </c>
      <c r="H5557" t="s">
        <v>354</v>
      </c>
      <c r="I5557" t="s">
        <v>21</v>
      </c>
    </row>
    <row r="5558" spans="1:9" x14ac:dyDescent="0.25">
      <c r="A5558">
        <v>20140116</v>
      </c>
      <c r="B5558" t="str">
        <f>"113646"</f>
        <v>113646</v>
      </c>
      <c r="C5558" t="str">
        <f>"83880"</f>
        <v>83880</v>
      </c>
      <c r="D5558" t="s">
        <v>865</v>
      </c>
      <c r="E5558">
        <v>118.11</v>
      </c>
      <c r="F5558">
        <v>20140115</v>
      </c>
      <c r="G5558" t="s">
        <v>41</v>
      </c>
      <c r="H5558" t="s">
        <v>354</v>
      </c>
      <c r="I5558" t="s">
        <v>38</v>
      </c>
    </row>
    <row r="5559" spans="1:9" x14ac:dyDescent="0.25">
      <c r="A5559">
        <v>20140116</v>
      </c>
      <c r="B5559" t="str">
        <f>"113647"</f>
        <v>113647</v>
      </c>
      <c r="C5559" t="str">
        <f>"35337"</f>
        <v>35337</v>
      </c>
      <c r="D5559" t="s">
        <v>599</v>
      </c>
      <c r="E5559">
        <v>309.83</v>
      </c>
      <c r="F5559">
        <v>20140110</v>
      </c>
      <c r="G5559" t="s">
        <v>498</v>
      </c>
      <c r="H5559" t="s">
        <v>499</v>
      </c>
      <c r="I5559" t="s">
        <v>21</v>
      </c>
    </row>
    <row r="5560" spans="1:9" x14ac:dyDescent="0.25">
      <c r="A5560">
        <v>20140116</v>
      </c>
      <c r="B5560" t="str">
        <f>"113647"</f>
        <v>113647</v>
      </c>
      <c r="C5560" t="str">
        <f>"35337"</f>
        <v>35337</v>
      </c>
      <c r="D5560" t="s">
        <v>599</v>
      </c>
      <c r="E5560">
        <v>167.11</v>
      </c>
      <c r="F5560">
        <v>20140110</v>
      </c>
      <c r="G5560" t="s">
        <v>498</v>
      </c>
      <c r="H5560" t="s">
        <v>499</v>
      </c>
      <c r="I5560" t="s">
        <v>21</v>
      </c>
    </row>
    <row r="5561" spans="1:9" x14ac:dyDescent="0.25">
      <c r="A5561">
        <v>20140116</v>
      </c>
      <c r="B5561" t="str">
        <f>"113648"</f>
        <v>113648</v>
      </c>
      <c r="C5561" t="str">
        <f>"36960"</f>
        <v>36960</v>
      </c>
      <c r="D5561" t="s">
        <v>871</v>
      </c>
      <c r="E5561">
        <v>782</v>
      </c>
      <c r="F5561">
        <v>20140114</v>
      </c>
      <c r="G5561" t="s">
        <v>1408</v>
      </c>
      <c r="H5561" t="s">
        <v>525</v>
      </c>
      <c r="I5561" t="s">
        <v>12</v>
      </c>
    </row>
    <row r="5562" spans="1:9" x14ac:dyDescent="0.25">
      <c r="A5562">
        <v>20140116</v>
      </c>
      <c r="B5562" t="str">
        <f>"113649"</f>
        <v>113649</v>
      </c>
      <c r="C5562" t="str">
        <f>"36970"</f>
        <v>36970</v>
      </c>
      <c r="D5562" t="s">
        <v>1253</v>
      </c>
      <c r="E5562">
        <v>59.04</v>
      </c>
      <c r="F5562">
        <v>20140114</v>
      </c>
      <c r="G5562" t="s">
        <v>2211</v>
      </c>
      <c r="H5562" t="s">
        <v>563</v>
      </c>
      <c r="I5562" t="s">
        <v>2212</v>
      </c>
    </row>
    <row r="5563" spans="1:9" x14ac:dyDescent="0.25">
      <c r="A5563">
        <v>20140116</v>
      </c>
      <c r="B5563" t="str">
        <f>"113650"</f>
        <v>113650</v>
      </c>
      <c r="C5563" t="str">
        <f>"37565"</f>
        <v>37565</v>
      </c>
      <c r="D5563" t="s">
        <v>609</v>
      </c>
      <c r="E5563">
        <v>57.81</v>
      </c>
      <c r="F5563">
        <v>20140110</v>
      </c>
      <c r="G5563" t="s">
        <v>480</v>
      </c>
      <c r="H5563" t="s">
        <v>610</v>
      </c>
      <c r="I5563" t="s">
        <v>21</v>
      </c>
    </row>
    <row r="5564" spans="1:9" x14ac:dyDescent="0.25">
      <c r="A5564">
        <v>20140116</v>
      </c>
      <c r="B5564" t="str">
        <f>"113651"</f>
        <v>113651</v>
      </c>
      <c r="C5564" t="str">
        <f>"37900"</f>
        <v>37900</v>
      </c>
      <c r="D5564" t="s">
        <v>878</v>
      </c>
      <c r="E5564">
        <v>92.8</v>
      </c>
      <c r="F5564">
        <v>20140115</v>
      </c>
      <c r="G5564" t="s">
        <v>174</v>
      </c>
      <c r="H5564" t="s">
        <v>414</v>
      </c>
      <c r="I5564" t="s">
        <v>25</v>
      </c>
    </row>
    <row r="5565" spans="1:9" x14ac:dyDescent="0.25">
      <c r="A5565">
        <v>20140116</v>
      </c>
      <c r="B5565" t="str">
        <f>"113652"</f>
        <v>113652</v>
      </c>
      <c r="C5565" t="str">
        <f>"84904"</f>
        <v>84904</v>
      </c>
      <c r="D5565" t="s">
        <v>2855</v>
      </c>
      <c r="E5565">
        <v>390</v>
      </c>
      <c r="F5565">
        <v>20140114</v>
      </c>
      <c r="G5565" t="s">
        <v>356</v>
      </c>
      <c r="H5565" t="s">
        <v>357</v>
      </c>
      <c r="I5565" t="s">
        <v>61</v>
      </c>
    </row>
    <row r="5566" spans="1:9" x14ac:dyDescent="0.25">
      <c r="A5566">
        <v>20140116</v>
      </c>
      <c r="B5566" t="str">
        <f>"113653"</f>
        <v>113653</v>
      </c>
      <c r="C5566" t="str">
        <f>"84904"</f>
        <v>84904</v>
      </c>
      <c r="D5566" t="s">
        <v>2855</v>
      </c>
      <c r="E5566">
        <v>375</v>
      </c>
      <c r="F5566">
        <v>20140114</v>
      </c>
      <c r="G5566" t="s">
        <v>356</v>
      </c>
      <c r="H5566" t="s">
        <v>357</v>
      </c>
      <c r="I5566" t="s">
        <v>61</v>
      </c>
    </row>
    <row r="5567" spans="1:9" x14ac:dyDescent="0.25">
      <c r="A5567">
        <v>20140116</v>
      </c>
      <c r="B5567" t="str">
        <f>"113654"</f>
        <v>113654</v>
      </c>
      <c r="C5567" t="str">
        <f>"84904"</f>
        <v>84904</v>
      </c>
      <c r="D5567" t="s">
        <v>2855</v>
      </c>
      <c r="E5567">
        <v>225</v>
      </c>
      <c r="F5567">
        <v>20140114</v>
      </c>
      <c r="G5567" t="s">
        <v>356</v>
      </c>
      <c r="H5567" t="s">
        <v>357</v>
      </c>
      <c r="I5567" t="s">
        <v>61</v>
      </c>
    </row>
    <row r="5568" spans="1:9" x14ac:dyDescent="0.25">
      <c r="A5568">
        <v>20140116</v>
      </c>
      <c r="B5568" t="str">
        <f>"113655"</f>
        <v>113655</v>
      </c>
      <c r="C5568" t="str">
        <f>"81295"</f>
        <v>81295</v>
      </c>
      <c r="D5568" t="s">
        <v>1617</v>
      </c>
      <c r="E5568" s="1">
        <v>1585.32</v>
      </c>
      <c r="F5568">
        <v>20140114</v>
      </c>
      <c r="G5568" t="s">
        <v>1776</v>
      </c>
      <c r="H5568" t="s">
        <v>607</v>
      </c>
      <c r="I5568" t="s">
        <v>21</v>
      </c>
    </row>
    <row r="5569" spans="1:9" x14ac:dyDescent="0.25">
      <c r="A5569">
        <v>20140116</v>
      </c>
      <c r="B5569" t="str">
        <f>"113655"</f>
        <v>113655</v>
      </c>
      <c r="C5569" t="str">
        <f>"81295"</f>
        <v>81295</v>
      </c>
      <c r="D5569" t="s">
        <v>1617</v>
      </c>
      <c r="E5569">
        <v>392.43</v>
      </c>
      <c r="F5569">
        <v>20140114</v>
      </c>
      <c r="G5569" t="s">
        <v>39</v>
      </c>
      <c r="H5569" t="s">
        <v>607</v>
      </c>
      <c r="I5569" t="s">
        <v>38</v>
      </c>
    </row>
    <row r="5570" spans="1:9" x14ac:dyDescent="0.25">
      <c r="A5570">
        <v>20140116</v>
      </c>
      <c r="B5570" t="str">
        <f>"113655"</f>
        <v>113655</v>
      </c>
      <c r="C5570" t="str">
        <f>"81295"</f>
        <v>81295</v>
      </c>
      <c r="D5570" t="s">
        <v>1617</v>
      </c>
      <c r="E5570">
        <v>302</v>
      </c>
      <c r="F5570">
        <v>20140114</v>
      </c>
      <c r="G5570" t="s">
        <v>1725</v>
      </c>
      <c r="H5570" t="s">
        <v>607</v>
      </c>
      <c r="I5570" t="s">
        <v>1726</v>
      </c>
    </row>
    <row r="5571" spans="1:9" x14ac:dyDescent="0.25">
      <c r="A5571">
        <v>20140116</v>
      </c>
      <c r="B5571" t="str">
        <f>"113656"</f>
        <v>113656</v>
      </c>
      <c r="C5571" t="str">
        <f>"40910"</f>
        <v>40910</v>
      </c>
      <c r="D5571" t="s">
        <v>1886</v>
      </c>
      <c r="E5571">
        <v>972</v>
      </c>
      <c r="F5571">
        <v>20140114</v>
      </c>
      <c r="G5571" t="s">
        <v>331</v>
      </c>
      <c r="H5571" t="s">
        <v>414</v>
      </c>
      <c r="I5571" t="s">
        <v>12</v>
      </c>
    </row>
    <row r="5572" spans="1:9" x14ac:dyDescent="0.25">
      <c r="A5572">
        <v>20140116</v>
      </c>
      <c r="B5572" t="str">
        <f>"113657"</f>
        <v>113657</v>
      </c>
      <c r="C5572" t="str">
        <f>"87696"</f>
        <v>87696</v>
      </c>
      <c r="D5572" t="s">
        <v>2954</v>
      </c>
      <c r="E5572">
        <v>435</v>
      </c>
      <c r="F5572">
        <v>20140113</v>
      </c>
      <c r="G5572" t="s">
        <v>1112</v>
      </c>
      <c r="H5572" t="s">
        <v>921</v>
      </c>
      <c r="I5572" t="s">
        <v>66</v>
      </c>
    </row>
    <row r="5573" spans="1:9" x14ac:dyDescent="0.25">
      <c r="A5573">
        <v>20140116</v>
      </c>
      <c r="B5573" t="str">
        <f>"113658"</f>
        <v>113658</v>
      </c>
      <c r="C5573" t="str">
        <f>"41253"</f>
        <v>41253</v>
      </c>
      <c r="D5573" t="s">
        <v>421</v>
      </c>
      <c r="E5573" s="1">
        <v>81647.45</v>
      </c>
      <c r="F5573">
        <v>20140114</v>
      </c>
      <c r="G5573" t="s">
        <v>404</v>
      </c>
      <c r="H5573" t="s">
        <v>913</v>
      </c>
      <c r="I5573" t="s">
        <v>12</v>
      </c>
    </row>
    <row r="5574" spans="1:9" x14ac:dyDescent="0.25">
      <c r="A5574">
        <v>20140116</v>
      </c>
      <c r="B5574" t="str">
        <f>"113658"</f>
        <v>113658</v>
      </c>
      <c r="C5574" t="str">
        <f>"41253"</f>
        <v>41253</v>
      </c>
      <c r="D5574" t="s">
        <v>421</v>
      </c>
      <c r="E5574" s="1">
        <v>7921.72</v>
      </c>
      <c r="F5574">
        <v>20140114</v>
      </c>
      <c r="G5574" t="s">
        <v>1404</v>
      </c>
      <c r="H5574" t="s">
        <v>1456</v>
      </c>
      <c r="I5574" t="s">
        <v>12</v>
      </c>
    </row>
    <row r="5575" spans="1:9" x14ac:dyDescent="0.25">
      <c r="A5575">
        <v>20140116</v>
      </c>
      <c r="B5575" t="str">
        <f>"113659"</f>
        <v>113659</v>
      </c>
      <c r="C5575" t="str">
        <f>"83430"</f>
        <v>83430</v>
      </c>
      <c r="D5575" t="s">
        <v>423</v>
      </c>
      <c r="E5575">
        <v>10</v>
      </c>
      <c r="F5575">
        <v>20140114</v>
      </c>
      <c r="G5575" t="s">
        <v>202</v>
      </c>
      <c r="H5575" t="s">
        <v>2955</v>
      </c>
      <c r="I5575" t="s">
        <v>12</v>
      </c>
    </row>
    <row r="5576" spans="1:9" x14ac:dyDescent="0.25">
      <c r="A5576">
        <v>20140116</v>
      </c>
      <c r="B5576" t="str">
        <f t="shared" ref="B5576:B5581" si="365">"113660"</f>
        <v>113660</v>
      </c>
      <c r="C5576" t="str">
        <f t="shared" ref="C5576:C5581" si="366">"43798"</f>
        <v>43798</v>
      </c>
      <c r="D5576" t="s">
        <v>620</v>
      </c>
      <c r="E5576">
        <v>576</v>
      </c>
      <c r="F5576">
        <v>20140110</v>
      </c>
      <c r="G5576" t="s">
        <v>511</v>
      </c>
      <c r="H5576" t="s">
        <v>2956</v>
      </c>
      <c r="I5576" t="s">
        <v>21</v>
      </c>
    </row>
    <row r="5577" spans="1:9" x14ac:dyDescent="0.25">
      <c r="A5577">
        <v>20140116</v>
      </c>
      <c r="B5577" t="str">
        <f t="shared" si="365"/>
        <v>113660</v>
      </c>
      <c r="C5577" t="str">
        <f t="shared" si="366"/>
        <v>43798</v>
      </c>
      <c r="D5577" t="s">
        <v>620</v>
      </c>
      <c r="E5577">
        <v>324</v>
      </c>
      <c r="F5577">
        <v>20140110</v>
      </c>
      <c r="G5577" t="s">
        <v>1270</v>
      </c>
      <c r="H5577" t="s">
        <v>623</v>
      </c>
      <c r="I5577" t="s">
        <v>21</v>
      </c>
    </row>
    <row r="5578" spans="1:9" x14ac:dyDescent="0.25">
      <c r="A5578">
        <v>20140116</v>
      </c>
      <c r="B5578" t="str">
        <f t="shared" si="365"/>
        <v>113660</v>
      </c>
      <c r="C5578" t="str">
        <f t="shared" si="366"/>
        <v>43798</v>
      </c>
      <c r="D5578" t="s">
        <v>620</v>
      </c>
      <c r="E5578">
        <v>674.34</v>
      </c>
      <c r="F5578">
        <v>20140110</v>
      </c>
      <c r="G5578" t="s">
        <v>524</v>
      </c>
      <c r="H5578" t="s">
        <v>2956</v>
      </c>
      <c r="I5578" t="s">
        <v>21</v>
      </c>
    </row>
    <row r="5579" spans="1:9" x14ac:dyDescent="0.25">
      <c r="A5579">
        <v>20140116</v>
      </c>
      <c r="B5579" t="str">
        <f t="shared" si="365"/>
        <v>113660</v>
      </c>
      <c r="C5579" t="str">
        <f t="shared" si="366"/>
        <v>43798</v>
      </c>
      <c r="D5579" t="s">
        <v>620</v>
      </c>
      <c r="E5579">
        <v>324</v>
      </c>
      <c r="F5579">
        <v>20140110</v>
      </c>
      <c r="G5579" t="s">
        <v>1273</v>
      </c>
      <c r="H5579" t="s">
        <v>2956</v>
      </c>
      <c r="I5579" t="s">
        <v>21</v>
      </c>
    </row>
    <row r="5580" spans="1:9" x14ac:dyDescent="0.25">
      <c r="A5580">
        <v>20140116</v>
      </c>
      <c r="B5580" t="str">
        <f t="shared" si="365"/>
        <v>113660</v>
      </c>
      <c r="C5580" t="str">
        <f t="shared" si="366"/>
        <v>43798</v>
      </c>
      <c r="D5580" t="s">
        <v>620</v>
      </c>
      <c r="E5580">
        <v>324</v>
      </c>
      <c r="F5580">
        <v>20140110</v>
      </c>
      <c r="G5580" t="s">
        <v>1273</v>
      </c>
      <c r="H5580" t="s">
        <v>2956</v>
      </c>
      <c r="I5580" t="s">
        <v>21</v>
      </c>
    </row>
    <row r="5581" spans="1:9" x14ac:dyDescent="0.25">
      <c r="A5581">
        <v>20140116</v>
      </c>
      <c r="B5581" t="str">
        <f t="shared" si="365"/>
        <v>113660</v>
      </c>
      <c r="C5581" t="str">
        <f t="shared" si="366"/>
        <v>43798</v>
      </c>
      <c r="D5581" t="s">
        <v>620</v>
      </c>
      <c r="E5581">
        <v>324</v>
      </c>
      <c r="F5581">
        <v>20140110</v>
      </c>
      <c r="G5581" t="s">
        <v>1464</v>
      </c>
      <c r="H5581" t="s">
        <v>2956</v>
      </c>
      <c r="I5581" t="s">
        <v>21</v>
      </c>
    </row>
    <row r="5582" spans="1:9" x14ac:dyDescent="0.25">
      <c r="A5582">
        <v>20140116</v>
      </c>
      <c r="B5582" t="str">
        <f>"113661"</f>
        <v>113661</v>
      </c>
      <c r="C5582" t="str">
        <f>"85987"</f>
        <v>85987</v>
      </c>
      <c r="D5582" t="s">
        <v>2957</v>
      </c>
      <c r="E5582">
        <v>175</v>
      </c>
      <c r="F5582">
        <v>20140114</v>
      </c>
      <c r="G5582" t="s">
        <v>347</v>
      </c>
      <c r="H5582" t="s">
        <v>361</v>
      </c>
      <c r="I5582" t="s">
        <v>61</v>
      </c>
    </row>
    <row r="5583" spans="1:9" x14ac:dyDescent="0.25">
      <c r="A5583">
        <v>20140116</v>
      </c>
      <c r="B5583" t="str">
        <f>"113662"</f>
        <v>113662</v>
      </c>
      <c r="C5583" t="str">
        <f>"45605"</f>
        <v>45605</v>
      </c>
      <c r="D5583" t="s">
        <v>1474</v>
      </c>
      <c r="E5583">
        <v>58.19</v>
      </c>
      <c r="F5583">
        <v>20140115</v>
      </c>
      <c r="G5583" t="s">
        <v>413</v>
      </c>
      <c r="H5583" t="s">
        <v>414</v>
      </c>
      <c r="I5583" t="s">
        <v>21</v>
      </c>
    </row>
    <row r="5584" spans="1:9" x14ac:dyDescent="0.25">
      <c r="A5584">
        <v>20140116</v>
      </c>
      <c r="B5584" t="str">
        <f>"113662"</f>
        <v>113662</v>
      </c>
      <c r="C5584" t="str">
        <f>"45605"</f>
        <v>45605</v>
      </c>
      <c r="D5584" t="s">
        <v>1474</v>
      </c>
      <c r="E5584">
        <v>153.24</v>
      </c>
      <c r="F5584">
        <v>20140115</v>
      </c>
      <c r="G5584" t="s">
        <v>413</v>
      </c>
      <c r="H5584" t="s">
        <v>414</v>
      </c>
      <c r="I5584" t="s">
        <v>21</v>
      </c>
    </row>
    <row r="5585" spans="1:9" x14ac:dyDescent="0.25">
      <c r="A5585">
        <v>20140116</v>
      </c>
      <c r="B5585" t="str">
        <f>"113663"</f>
        <v>113663</v>
      </c>
      <c r="C5585" t="str">
        <f>"87473"</f>
        <v>87473</v>
      </c>
      <c r="D5585" t="s">
        <v>160</v>
      </c>
      <c r="E5585">
        <v>179.95</v>
      </c>
      <c r="F5585">
        <v>20140114</v>
      </c>
      <c r="G5585" t="s">
        <v>2801</v>
      </c>
      <c r="H5585" t="s">
        <v>354</v>
      </c>
      <c r="I5585" t="s">
        <v>21</v>
      </c>
    </row>
    <row r="5586" spans="1:9" x14ac:dyDescent="0.25">
      <c r="A5586">
        <v>20140116</v>
      </c>
      <c r="B5586" t="str">
        <f>"113664"</f>
        <v>113664</v>
      </c>
      <c r="C5586" t="str">
        <f>"87557"</f>
        <v>87557</v>
      </c>
      <c r="D5586" t="s">
        <v>1629</v>
      </c>
      <c r="E5586">
        <v>60.57</v>
      </c>
      <c r="F5586">
        <v>20140115</v>
      </c>
      <c r="G5586" t="s">
        <v>1630</v>
      </c>
      <c r="H5586" t="s">
        <v>563</v>
      </c>
      <c r="I5586" t="s">
        <v>21</v>
      </c>
    </row>
    <row r="5587" spans="1:9" x14ac:dyDescent="0.25">
      <c r="A5587">
        <v>20140116</v>
      </c>
      <c r="B5587" t="str">
        <f>"113665"</f>
        <v>113665</v>
      </c>
      <c r="C5587" t="str">
        <f>"48820"</f>
        <v>48820</v>
      </c>
      <c r="D5587" t="s">
        <v>1106</v>
      </c>
      <c r="E5587">
        <v>345.52</v>
      </c>
      <c r="F5587">
        <v>20140115</v>
      </c>
      <c r="G5587" t="s">
        <v>209</v>
      </c>
      <c r="H5587" t="s">
        <v>354</v>
      </c>
      <c r="I5587" t="s">
        <v>25</v>
      </c>
    </row>
    <row r="5588" spans="1:9" x14ac:dyDescent="0.25">
      <c r="A5588">
        <v>20140116</v>
      </c>
      <c r="B5588" t="str">
        <f>"113665"</f>
        <v>113665</v>
      </c>
      <c r="C5588" t="str">
        <f>"48820"</f>
        <v>48820</v>
      </c>
      <c r="D5588" t="s">
        <v>1106</v>
      </c>
      <c r="E5588">
        <v>65.08</v>
      </c>
      <c r="F5588">
        <v>20140115</v>
      </c>
      <c r="G5588" t="s">
        <v>209</v>
      </c>
      <c r="H5588" t="s">
        <v>354</v>
      </c>
      <c r="I5588" t="s">
        <v>25</v>
      </c>
    </row>
    <row r="5589" spans="1:9" x14ac:dyDescent="0.25">
      <c r="A5589">
        <v>20140116</v>
      </c>
      <c r="B5589" t="str">
        <f>"113666"</f>
        <v>113666</v>
      </c>
      <c r="C5589" t="str">
        <f>"87489"</f>
        <v>87489</v>
      </c>
      <c r="D5589" t="s">
        <v>912</v>
      </c>
      <c r="E5589">
        <v>583.20000000000005</v>
      </c>
      <c r="F5589">
        <v>20140114</v>
      </c>
      <c r="G5589" t="s">
        <v>404</v>
      </c>
      <c r="H5589" t="s">
        <v>913</v>
      </c>
      <c r="I5589" t="s">
        <v>12</v>
      </c>
    </row>
    <row r="5590" spans="1:9" x14ac:dyDescent="0.25">
      <c r="A5590">
        <v>20140116</v>
      </c>
      <c r="B5590" t="str">
        <f>"113667"</f>
        <v>113667</v>
      </c>
      <c r="C5590" t="str">
        <f>"81638"</f>
        <v>81638</v>
      </c>
      <c r="D5590" t="s">
        <v>2958</v>
      </c>
      <c r="E5590" s="1">
        <v>1530</v>
      </c>
      <c r="F5590">
        <v>20140115</v>
      </c>
      <c r="G5590" t="s">
        <v>327</v>
      </c>
      <c r="H5590" t="s">
        <v>1360</v>
      </c>
      <c r="I5590" t="s">
        <v>25</v>
      </c>
    </row>
    <row r="5591" spans="1:9" x14ac:dyDescent="0.25">
      <c r="A5591">
        <v>20140116</v>
      </c>
      <c r="B5591" t="str">
        <f>"113668"</f>
        <v>113668</v>
      </c>
      <c r="C5591" t="str">
        <f>"85760"</f>
        <v>85760</v>
      </c>
      <c r="D5591" t="s">
        <v>1485</v>
      </c>
      <c r="E5591">
        <v>133.38</v>
      </c>
      <c r="F5591">
        <v>20140115</v>
      </c>
      <c r="G5591" t="s">
        <v>140</v>
      </c>
      <c r="H5591" t="s">
        <v>414</v>
      </c>
      <c r="I5591" t="s">
        <v>25</v>
      </c>
    </row>
    <row r="5592" spans="1:9" x14ac:dyDescent="0.25">
      <c r="A5592">
        <v>20140116</v>
      </c>
      <c r="B5592" t="str">
        <f>"113669"</f>
        <v>113669</v>
      </c>
      <c r="C5592" t="str">
        <f>"49845"</f>
        <v>49845</v>
      </c>
      <c r="D5592" t="s">
        <v>644</v>
      </c>
      <c r="E5592">
        <v>40</v>
      </c>
      <c r="F5592">
        <v>20140110</v>
      </c>
      <c r="G5592" t="s">
        <v>392</v>
      </c>
      <c r="H5592" t="s">
        <v>2959</v>
      </c>
      <c r="I5592" t="s">
        <v>21</v>
      </c>
    </row>
    <row r="5593" spans="1:9" x14ac:dyDescent="0.25">
      <c r="A5593">
        <v>20140116</v>
      </c>
      <c r="B5593" t="str">
        <f>"113670"</f>
        <v>113670</v>
      </c>
      <c r="C5593" t="str">
        <f>"84193"</f>
        <v>84193</v>
      </c>
      <c r="D5593" t="s">
        <v>1110</v>
      </c>
      <c r="E5593">
        <v>24.35</v>
      </c>
      <c r="F5593">
        <v>20140114</v>
      </c>
      <c r="G5593" t="s">
        <v>562</v>
      </c>
      <c r="H5593" t="s">
        <v>563</v>
      </c>
      <c r="I5593" t="s">
        <v>21</v>
      </c>
    </row>
    <row r="5594" spans="1:9" x14ac:dyDescent="0.25">
      <c r="A5594">
        <v>20140116</v>
      </c>
      <c r="B5594" t="str">
        <f>"113671"</f>
        <v>113671</v>
      </c>
      <c r="C5594" t="str">
        <f>"50015"</f>
        <v>50015</v>
      </c>
      <c r="D5594" t="s">
        <v>2544</v>
      </c>
      <c r="E5594">
        <v>28.5</v>
      </c>
      <c r="F5594">
        <v>20140110</v>
      </c>
      <c r="G5594" t="s">
        <v>482</v>
      </c>
      <c r="H5594" t="s">
        <v>2545</v>
      </c>
      <c r="I5594" t="s">
        <v>21</v>
      </c>
    </row>
    <row r="5595" spans="1:9" x14ac:dyDescent="0.25">
      <c r="A5595">
        <v>20140116</v>
      </c>
      <c r="B5595" t="str">
        <f>"113672"</f>
        <v>113672</v>
      </c>
      <c r="C5595" t="str">
        <f>"82205"</f>
        <v>82205</v>
      </c>
      <c r="D5595" t="s">
        <v>2960</v>
      </c>
      <c r="E5595" s="1">
        <v>1895</v>
      </c>
      <c r="F5595">
        <v>20140110</v>
      </c>
      <c r="G5595" t="s">
        <v>627</v>
      </c>
      <c r="H5595" t="s">
        <v>2961</v>
      </c>
      <c r="I5595" t="s">
        <v>21</v>
      </c>
    </row>
    <row r="5596" spans="1:9" x14ac:dyDescent="0.25">
      <c r="A5596">
        <v>20140116</v>
      </c>
      <c r="B5596" t="str">
        <f>"113673"</f>
        <v>113673</v>
      </c>
      <c r="C5596" t="str">
        <f>"00760"</f>
        <v>00760</v>
      </c>
      <c r="D5596" t="s">
        <v>920</v>
      </c>
      <c r="E5596">
        <v>222</v>
      </c>
      <c r="F5596">
        <v>20140114</v>
      </c>
      <c r="G5596" t="s">
        <v>926</v>
      </c>
      <c r="H5596" t="s">
        <v>921</v>
      </c>
      <c r="I5596" t="s">
        <v>21</v>
      </c>
    </row>
    <row r="5597" spans="1:9" x14ac:dyDescent="0.25">
      <c r="A5597">
        <v>20140116</v>
      </c>
      <c r="B5597" t="str">
        <f>"113674"</f>
        <v>113674</v>
      </c>
      <c r="C5597" t="str">
        <f>"52518"</f>
        <v>52518</v>
      </c>
      <c r="D5597" t="s">
        <v>647</v>
      </c>
      <c r="E5597" s="1">
        <v>1069.6199999999999</v>
      </c>
      <c r="F5597">
        <v>20140110</v>
      </c>
      <c r="G5597" t="s">
        <v>498</v>
      </c>
      <c r="H5597" t="s">
        <v>499</v>
      </c>
      <c r="I5597" t="s">
        <v>21</v>
      </c>
    </row>
    <row r="5598" spans="1:9" x14ac:dyDescent="0.25">
      <c r="A5598">
        <v>20140116</v>
      </c>
      <c r="B5598" t="str">
        <f>"113674"</f>
        <v>113674</v>
      </c>
      <c r="C5598" t="str">
        <f>"52518"</f>
        <v>52518</v>
      </c>
      <c r="D5598" t="s">
        <v>647</v>
      </c>
      <c r="E5598">
        <v>150.34</v>
      </c>
      <c r="F5598">
        <v>20140110</v>
      </c>
      <c r="G5598" t="s">
        <v>496</v>
      </c>
      <c r="H5598" t="s">
        <v>414</v>
      </c>
      <c r="I5598" t="s">
        <v>21</v>
      </c>
    </row>
    <row r="5599" spans="1:9" x14ac:dyDescent="0.25">
      <c r="A5599">
        <v>20140116</v>
      </c>
      <c r="B5599" t="str">
        <f>"113674"</f>
        <v>113674</v>
      </c>
      <c r="C5599" t="str">
        <f>"52518"</f>
        <v>52518</v>
      </c>
      <c r="D5599" t="s">
        <v>647</v>
      </c>
      <c r="E5599">
        <v>16.399999999999999</v>
      </c>
      <c r="F5599">
        <v>20140110</v>
      </c>
      <c r="G5599" t="s">
        <v>413</v>
      </c>
      <c r="H5599" t="s">
        <v>414</v>
      </c>
      <c r="I5599" t="s">
        <v>21</v>
      </c>
    </row>
    <row r="5600" spans="1:9" x14ac:dyDescent="0.25">
      <c r="A5600">
        <v>20140116</v>
      </c>
      <c r="B5600" t="str">
        <f>"113675"</f>
        <v>113675</v>
      </c>
      <c r="C5600" t="str">
        <f>"52525"</f>
        <v>52525</v>
      </c>
      <c r="D5600" t="s">
        <v>1113</v>
      </c>
      <c r="E5600">
        <v>43.98</v>
      </c>
      <c r="F5600">
        <v>20140115</v>
      </c>
      <c r="G5600" t="s">
        <v>581</v>
      </c>
      <c r="H5600" t="s">
        <v>2962</v>
      </c>
      <c r="I5600" t="s">
        <v>21</v>
      </c>
    </row>
    <row r="5601" spans="1:9" x14ac:dyDescent="0.25">
      <c r="A5601">
        <v>20140116</v>
      </c>
      <c r="B5601" t="str">
        <f>"113676"</f>
        <v>113676</v>
      </c>
      <c r="C5601" t="str">
        <f>"85249"</f>
        <v>85249</v>
      </c>
      <c r="D5601" t="s">
        <v>2963</v>
      </c>
      <c r="E5601">
        <v>150</v>
      </c>
      <c r="F5601">
        <v>20140114</v>
      </c>
      <c r="G5601" t="s">
        <v>1969</v>
      </c>
      <c r="H5601" t="s">
        <v>357</v>
      </c>
      <c r="I5601" t="s">
        <v>21</v>
      </c>
    </row>
    <row r="5602" spans="1:9" x14ac:dyDescent="0.25">
      <c r="A5602">
        <v>20140116</v>
      </c>
      <c r="B5602" t="str">
        <f>"113677"</f>
        <v>113677</v>
      </c>
      <c r="C5602" t="str">
        <f>"55625"</f>
        <v>55625</v>
      </c>
      <c r="D5602" t="s">
        <v>1639</v>
      </c>
      <c r="E5602">
        <v>463.64</v>
      </c>
      <c r="F5602">
        <v>20140110</v>
      </c>
      <c r="G5602" t="s">
        <v>1640</v>
      </c>
      <c r="H5602" t="s">
        <v>1788</v>
      </c>
      <c r="I5602" t="s">
        <v>21</v>
      </c>
    </row>
    <row r="5603" spans="1:9" x14ac:dyDescent="0.25">
      <c r="A5603">
        <v>20140116</v>
      </c>
      <c r="B5603" t="str">
        <f>"113678"</f>
        <v>113678</v>
      </c>
      <c r="C5603" t="str">
        <f>"55675"</f>
        <v>55675</v>
      </c>
      <c r="D5603" t="s">
        <v>1114</v>
      </c>
      <c r="E5603">
        <v>26.99</v>
      </c>
      <c r="F5603">
        <v>20140114</v>
      </c>
      <c r="G5603" t="s">
        <v>2122</v>
      </c>
      <c r="H5603" t="s">
        <v>414</v>
      </c>
      <c r="I5603" t="s">
        <v>21</v>
      </c>
    </row>
    <row r="5604" spans="1:9" x14ac:dyDescent="0.25">
      <c r="A5604">
        <v>20140116</v>
      </c>
      <c r="B5604" t="str">
        <f>"113679"</f>
        <v>113679</v>
      </c>
      <c r="C5604" t="str">
        <f>"58570"</f>
        <v>58570</v>
      </c>
      <c r="D5604" t="s">
        <v>655</v>
      </c>
      <c r="E5604">
        <v>213</v>
      </c>
      <c r="F5604">
        <v>20140110</v>
      </c>
      <c r="G5604" t="s">
        <v>340</v>
      </c>
      <c r="H5604" t="s">
        <v>2964</v>
      </c>
      <c r="I5604" t="s">
        <v>21</v>
      </c>
    </row>
    <row r="5605" spans="1:9" x14ac:dyDescent="0.25">
      <c r="A5605">
        <v>20140116</v>
      </c>
      <c r="B5605" t="str">
        <f>"113680"</f>
        <v>113680</v>
      </c>
      <c r="C5605" t="str">
        <f>"85467"</f>
        <v>85467</v>
      </c>
      <c r="D5605" t="s">
        <v>2965</v>
      </c>
      <c r="E5605" s="1">
        <v>5000</v>
      </c>
      <c r="F5605">
        <v>20140115</v>
      </c>
      <c r="G5605" t="s">
        <v>2966</v>
      </c>
      <c r="H5605" t="s">
        <v>654</v>
      </c>
      <c r="I5605" t="s">
        <v>73</v>
      </c>
    </row>
    <row r="5606" spans="1:9" x14ac:dyDescent="0.25">
      <c r="A5606">
        <v>20140116</v>
      </c>
      <c r="B5606" t="str">
        <f>"113681"</f>
        <v>113681</v>
      </c>
      <c r="C5606" t="str">
        <f>"86964"</f>
        <v>86964</v>
      </c>
      <c r="D5606" t="s">
        <v>1280</v>
      </c>
      <c r="E5606" s="1">
        <v>1582.88</v>
      </c>
      <c r="F5606">
        <v>20140114</v>
      </c>
      <c r="G5606" t="s">
        <v>2147</v>
      </c>
      <c r="H5606" t="s">
        <v>2967</v>
      </c>
      <c r="I5606" t="s">
        <v>21</v>
      </c>
    </row>
    <row r="5607" spans="1:9" x14ac:dyDescent="0.25">
      <c r="A5607">
        <v>20140116</v>
      </c>
      <c r="B5607" t="str">
        <f>"113682"</f>
        <v>113682</v>
      </c>
      <c r="C5607" t="str">
        <f>"58675"</f>
        <v>58675</v>
      </c>
      <c r="D5607" t="s">
        <v>657</v>
      </c>
      <c r="E5607">
        <v>639.87</v>
      </c>
      <c r="F5607">
        <v>20140110</v>
      </c>
      <c r="G5607" t="s">
        <v>498</v>
      </c>
      <c r="H5607" t="s">
        <v>499</v>
      </c>
      <c r="I5607" t="s">
        <v>21</v>
      </c>
    </row>
    <row r="5608" spans="1:9" x14ac:dyDescent="0.25">
      <c r="A5608">
        <v>20140116</v>
      </c>
      <c r="B5608" t="str">
        <f>"113683"</f>
        <v>113683</v>
      </c>
      <c r="C5608" t="str">
        <f>"59500"</f>
        <v>59500</v>
      </c>
      <c r="D5608" t="s">
        <v>670</v>
      </c>
      <c r="E5608">
        <v>17.899999999999999</v>
      </c>
      <c r="F5608">
        <v>20140114</v>
      </c>
      <c r="G5608" t="s">
        <v>137</v>
      </c>
      <c r="H5608" t="s">
        <v>414</v>
      </c>
      <c r="I5608" t="s">
        <v>21</v>
      </c>
    </row>
    <row r="5609" spans="1:9" x14ac:dyDescent="0.25">
      <c r="A5609">
        <v>20140116</v>
      </c>
      <c r="B5609" t="str">
        <f>"113683"</f>
        <v>113683</v>
      </c>
      <c r="C5609" t="str">
        <f>"59500"</f>
        <v>59500</v>
      </c>
      <c r="D5609" t="s">
        <v>670</v>
      </c>
      <c r="E5609">
        <v>24.24</v>
      </c>
      <c r="F5609">
        <v>20140114</v>
      </c>
      <c r="G5609" t="s">
        <v>137</v>
      </c>
      <c r="H5609" t="s">
        <v>414</v>
      </c>
      <c r="I5609" t="s">
        <v>21</v>
      </c>
    </row>
    <row r="5610" spans="1:9" x14ac:dyDescent="0.25">
      <c r="A5610">
        <v>20140116</v>
      </c>
      <c r="B5610" t="str">
        <f>"113684"</f>
        <v>113684</v>
      </c>
      <c r="C5610" t="str">
        <f>"59725"</f>
        <v>59725</v>
      </c>
      <c r="D5610" t="s">
        <v>674</v>
      </c>
      <c r="E5610">
        <v>19.989999999999998</v>
      </c>
      <c r="F5610">
        <v>20140110</v>
      </c>
      <c r="G5610" t="s">
        <v>392</v>
      </c>
      <c r="H5610" t="s">
        <v>414</v>
      </c>
      <c r="I5610" t="s">
        <v>21</v>
      </c>
    </row>
    <row r="5611" spans="1:9" x14ac:dyDescent="0.25">
      <c r="A5611">
        <v>20140116</v>
      </c>
      <c r="B5611" t="str">
        <f>"113685"</f>
        <v>113685</v>
      </c>
      <c r="C5611" t="str">
        <f>"59695"</f>
        <v>59695</v>
      </c>
      <c r="D5611" t="s">
        <v>371</v>
      </c>
      <c r="E5611">
        <v>810</v>
      </c>
      <c r="F5611">
        <v>20140110</v>
      </c>
      <c r="G5611" t="s">
        <v>372</v>
      </c>
      <c r="H5611" t="s">
        <v>373</v>
      </c>
      <c r="I5611" t="s">
        <v>21</v>
      </c>
    </row>
    <row r="5612" spans="1:9" x14ac:dyDescent="0.25">
      <c r="A5612">
        <v>20140116</v>
      </c>
      <c r="B5612" t="str">
        <f>"113685"</f>
        <v>113685</v>
      </c>
      <c r="C5612" t="str">
        <f>"59695"</f>
        <v>59695</v>
      </c>
      <c r="D5612" t="s">
        <v>371</v>
      </c>
      <c r="E5612">
        <v>405</v>
      </c>
      <c r="F5612">
        <v>20140110</v>
      </c>
      <c r="G5612" t="s">
        <v>374</v>
      </c>
      <c r="H5612" t="s">
        <v>373</v>
      </c>
      <c r="I5612" t="s">
        <v>21</v>
      </c>
    </row>
    <row r="5613" spans="1:9" x14ac:dyDescent="0.25">
      <c r="A5613">
        <v>20140116</v>
      </c>
      <c r="B5613" t="str">
        <f>"113685"</f>
        <v>113685</v>
      </c>
      <c r="C5613" t="str">
        <f>"59695"</f>
        <v>59695</v>
      </c>
      <c r="D5613" t="s">
        <v>371</v>
      </c>
      <c r="E5613">
        <v>100</v>
      </c>
      <c r="F5613">
        <v>20140110</v>
      </c>
      <c r="G5613" t="s">
        <v>375</v>
      </c>
      <c r="H5613" t="s">
        <v>373</v>
      </c>
      <c r="I5613" t="s">
        <v>21</v>
      </c>
    </row>
    <row r="5614" spans="1:9" x14ac:dyDescent="0.25">
      <c r="A5614">
        <v>20140116</v>
      </c>
      <c r="B5614" t="str">
        <f>"113685"</f>
        <v>113685</v>
      </c>
      <c r="C5614" t="str">
        <f>"59695"</f>
        <v>59695</v>
      </c>
      <c r="D5614" t="s">
        <v>371</v>
      </c>
      <c r="E5614">
        <v>620</v>
      </c>
      <c r="F5614">
        <v>20140110</v>
      </c>
      <c r="G5614" t="s">
        <v>376</v>
      </c>
      <c r="H5614" t="s">
        <v>373</v>
      </c>
      <c r="I5614" t="s">
        <v>21</v>
      </c>
    </row>
    <row r="5615" spans="1:9" x14ac:dyDescent="0.25">
      <c r="A5615">
        <v>20140116</v>
      </c>
      <c r="B5615" t="str">
        <f>"113686"</f>
        <v>113686</v>
      </c>
      <c r="C5615" t="str">
        <f>"81563"</f>
        <v>81563</v>
      </c>
      <c r="D5615" t="s">
        <v>2968</v>
      </c>
      <c r="E5615">
        <v>300</v>
      </c>
      <c r="F5615">
        <v>20140114</v>
      </c>
      <c r="G5615" t="s">
        <v>347</v>
      </c>
      <c r="H5615" t="s">
        <v>1360</v>
      </c>
      <c r="I5615" t="s">
        <v>61</v>
      </c>
    </row>
    <row r="5616" spans="1:9" x14ac:dyDescent="0.25">
      <c r="A5616">
        <v>20140116</v>
      </c>
      <c r="B5616" t="str">
        <f>"113687"</f>
        <v>113687</v>
      </c>
      <c r="C5616" t="str">
        <f>"87337"</f>
        <v>87337</v>
      </c>
      <c r="D5616" t="s">
        <v>2269</v>
      </c>
      <c r="E5616" s="1">
        <v>1475</v>
      </c>
      <c r="F5616">
        <v>20140110</v>
      </c>
      <c r="G5616" t="s">
        <v>340</v>
      </c>
      <c r="H5616" t="s">
        <v>656</v>
      </c>
      <c r="I5616" t="s">
        <v>21</v>
      </c>
    </row>
    <row r="5617" spans="1:9" x14ac:dyDescent="0.25">
      <c r="A5617">
        <v>20140116</v>
      </c>
      <c r="B5617" t="str">
        <f>"113688"</f>
        <v>113688</v>
      </c>
      <c r="C5617" t="str">
        <f>"61410"</f>
        <v>61410</v>
      </c>
      <c r="D5617" t="s">
        <v>2969</v>
      </c>
      <c r="E5617" s="1">
        <v>4016.75</v>
      </c>
      <c r="F5617">
        <v>20140115</v>
      </c>
      <c r="G5617" t="s">
        <v>327</v>
      </c>
      <c r="H5617" t="s">
        <v>553</v>
      </c>
      <c r="I5617" t="s">
        <v>25</v>
      </c>
    </row>
    <row r="5618" spans="1:9" x14ac:dyDescent="0.25">
      <c r="A5618">
        <v>20140116</v>
      </c>
      <c r="B5618" t="str">
        <f>"113688"</f>
        <v>113688</v>
      </c>
      <c r="C5618" t="str">
        <f>"61410"</f>
        <v>61410</v>
      </c>
      <c r="D5618" t="s">
        <v>2969</v>
      </c>
      <c r="E5618" s="1">
        <v>5657.75</v>
      </c>
      <c r="F5618">
        <v>20140115</v>
      </c>
      <c r="G5618" t="s">
        <v>327</v>
      </c>
      <c r="H5618" t="s">
        <v>553</v>
      </c>
      <c r="I5618" t="s">
        <v>25</v>
      </c>
    </row>
    <row r="5619" spans="1:9" x14ac:dyDescent="0.25">
      <c r="A5619">
        <v>20140116</v>
      </c>
      <c r="B5619" t="str">
        <f>"113689"</f>
        <v>113689</v>
      </c>
      <c r="C5619" t="str">
        <f>"85248"</f>
        <v>85248</v>
      </c>
      <c r="D5619" t="s">
        <v>2970</v>
      </c>
      <c r="E5619">
        <v>330</v>
      </c>
      <c r="F5619">
        <v>20140115</v>
      </c>
      <c r="G5619" t="s">
        <v>356</v>
      </c>
      <c r="H5619" t="s">
        <v>357</v>
      </c>
      <c r="I5619" t="s">
        <v>61</v>
      </c>
    </row>
    <row r="5620" spans="1:9" x14ac:dyDescent="0.25">
      <c r="A5620">
        <v>20140116</v>
      </c>
      <c r="B5620" t="str">
        <f>"113690"</f>
        <v>113690</v>
      </c>
      <c r="C5620" t="str">
        <f>"83448"</f>
        <v>83448</v>
      </c>
      <c r="D5620" t="s">
        <v>2971</v>
      </c>
      <c r="E5620">
        <v>65</v>
      </c>
      <c r="F5620">
        <v>20140110</v>
      </c>
      <c r="G5620" t="s">
        <v>982</v>
      </c>
      <c r="H5620" t="s">
        <v>357</v>
      </c>
      <c r="I5620" t="s">
        <v>21</v>
      </c>
    </row>
    <row r="5621" spans="1:9" x14ac:dyDescent="0.25">
      <c r="A5621">
        <v>20140116</v>
      </c>
      <c r="B5621" t="str">
        <f>"113691"</f>
        <v>113691</v>
      </c>
      <c r="C5621" t="str">
        <f>"83448"</f>
        <v>83448</v>
      </c>
      <c r="D5621" t="s">
        <v>2971</v>
      </c>
      <c r="E5621">
        <v>60</v>
      </c>
      <c r="F5621">
        <v>20140110</v>
      </c>
      <c r="G5621" t="s">
        <v>982</v>
      </c>
      <c r="H5621" t="s">
        <v>357</v>
      </c>
      <c r="I5621" t="s">
        <v>21</v>
      </c>
    </row>
    <row r="5622" spans="1:9" x14ac:dyDescent="0.25">
      <c r="A5622">
        <v>20140116</v>
      </c>
      <c r="B5622" t="str">
        <f>"113692"</f>
        <v>113692</v>
      </c>
      <c r="C5622" t="str">
        <f>"83448"</f>
        <v>83448</v>
      </c>
      <c r="D5622" t="s">
        <v>2971</v>
      </c>
      <c r="E5622">
        <v>55</v>
      </c>
      <c r="F5622">
        <v>20140110</v>
      </c>
      <c r="G5622" t="s">
        <v>982</v>
      </c>
      <c r="H5622" t="s">
        <v>357</v>
      </c>
      <c r="I5622" t="s">
        <v>21</v>
      </c>
    </row>
    <row r="5623" spans="1:9" x14ac:dyDescent="0.25">
      <c r="A5623">
        <v>20140116</v>
      </c>
      <c r="B5623" t="str">
        <f>"113693"</f>
        <v>113693</v>
      </c>
      <c r="C5623" t="str">
        <f>"81933"</f>
        <v>81933</v>
      </c>
      <c r="D5623" t="s">
        <v>432</v>
      </c>
      <c r="E5623">
        <v>45.9</v>
      </c>
      <c r="F5623">
        <v>20140114</v>
      </c>
      <c r="G5623" t="s">
        <v>410</v>
      </c>
      <c r="H5623" t="s">
        <v>411</v>
      </c>
      <c r="I5623" t="s">
        <v>12</v>
      </c>
    </row>
    <row r="5624" spans="1:9" x14ac:dyDescent="0.25">
      <c r="A5624">
        <v>20140116</v>
      </c>
      <c r="B5624" t="str">
        <f>"113694"</f>
        <v>113694</v>
      </c>
      <c r="C5624" t="str">
        <f>"84582"</f>
        <v>84582</v>
      </c>
      <c r="D5624" t="s">
        <v>2972</v>
      </c>
      <c r="E5624">
        <v>200</v>
      </c>
      <c r="F5624">
        <v>20140114</v>
      </c>
      <c r="G5624" t="s">
        <v>347</v>
      </c>
      <c r="H5624" t="s">
        <v>1360</v>
      </c>
      <c r="I5624" t="s">
        <v>61</v>
      </c>
    </row>
    <row r="5625" spans="1:9" x14ac:dyDescent="0.25">
      <c r="A5625">
        <v>20140116</v>
      </c>
      <c r="B5625" t="str">
        <f>"113695"</f>
        <v>113695</v>
      </c>
      <c r="C5625" t="str">
        <f>"81382"</f>
        <v>81382</v>
      </c>
      <c r="D5625" t="s">
        <v>1655</v>
      </c>
      <c r="E5625">
        <v>429.69</v>
      </c>
      <c r="F5625">
        <v>20140114</v>
      </c>
      <c r="G5625" t="s">
        <v>2973</v>
      </c>
      <c r="H5625" t="s">
        <v>2974</v>
      </c>
      <c r="I5625" t="s">
        <v>38</v>
      </c>
    </row>
    <row r="5626" spans="1:9" x14ac:dyDescent="0.25">
      <c r="A5626">
        <v>20140116</v>
      </c>
      <c r="B5626" t="str">
        <f>"113696"</f>
        <v>113696</v>
      </c>
      <c r="C5626" t="str">
        <f>"62900"</f>
        <v>62900</v>
      </c>
      <c r="D5626" t="s">
        <v>1293</v>
      </c>
      <c r="E5626">
        <v>171.23</v>
      </c>
      <c r="F5626">
        <v>20140114</v>
      </c>
      <c r="G5626" t="s">
        <v>1071</v>
      </c>
      <c r="H5626" t="s">
        <v>2975</v>
      </c>
      <c r="I5626" t="s">
        <v>21</v>
      </c>
    </row>
    <row r="5627" spans="1:9" x14ac:dyDescent="0.25">
      <c r="A5627">
        <v>20140116</v>
      </c>
      <c r="B5627" t="str">
        <f>"113697"</f>
        <v>113697</v>
      </c>
      <c r="C5627" t="str">
        <f>"63900"</f>
        <v>63900</v>
      </c>
      <c r="D5627" t="s">
        <v>2976</v>
      </c>
      <c r="E5627" s="1">
        <v>1017.25</v>
      </c>
      <c r="F5627">
        <v>20140115</v>
      </c>
      <c r="G5627" t="s">
        <v>327</v>
      </c>
      <c r="H5627" t="s">
        <v>553</v>
      </c>
      <c r="I5627" t="s">
        <v>25</v>
      </c>
    </row>
    <row r="5628" spans="1:9" x14ac:dyDescent="0.25">
      <c r="A5628">
        <v>20140116</v>
      </c>
      <c r="B5628" t="str">
        <f>"113698"</f>
        <v>113698</v>
      </c>
      <c r="C5628" t="str">
        <f>"81435"</f>
        <v>81435</v>
      </c>
      <c r="D5628" t="s">
        <v>2977</v>
      </c>
      <c r="E5628">
        <v>124</v>
      </c>
      <c r="F5628">
        <v>20140115</v>
      </c>
      <c r="G5628" t="s">
        <v>1488</v>
      </c>
      <c r="H5628" t="s">
        <v>1677</v>
      </c>
      <c r="I5628" t="s">
        <v>25</v>
      </c>
    </row>
    <row r="5629" spans="1:9" x14ac:dyDescent="0.25">
      <c r="A5629">
        <v>20140116</v>
      </c>
      <c r="B5629" t="str">
        <f>"113699"</f>
        <v>113699</v>
      </c>
      <c r="C5629" t="str">
        <f>"87693"</f>
        <v>87693</v>
      </c>
      <c r="D5629" t="s">
        <v>2978</v>
      </c>
      <c r="E5629" s="1">
        <v>1205.8900000000001</v>
      </c>
      <c r="F5629">
        <v>20140109</v>
      </c>
      <c r="G5629" t="s">
        <v>206</v>
      </c>
      <c r="H5629" t="s">
        <v>738</v>
      </c>
      <c r="I5629" t="s">
        <v>25</v>
      </c>
    </row>
    <row r="5630" spans="1:9" x14ac:dyDescent="0.25">
      <c r="A5630">
        <v>20140116</v>
      </c>
      <c r="B5630" t="str">
        <f>"113700"</f>
        <v>113700</v>
      </c>
      <c r="C5630" t="str">
        <f>"82845"</f>
        <v>82845</v>
      </c>
      <c r="D5630" t="s">
        <v>2405</v>
      </c>
      <c r="E5630">
        <v>206</v>
      </c>
      <c r="F5630">
        <v>20140115</v>
      </c>
      <c r="G5630" t="s">
        <v>41</v>
      </c>
      <c r="H5630" t="s">
        <v>1309</v>
      </c>
      <c r="I5630" t="s">
        <v>38</v>
      </c>
    </row>
    <row r="5631" spans="1:9" x14ac:dyDescent="0.25">
      <c r="A5631">
        <v>20140116</v>
      </c>
      <c r="B5631" t="str">
        <f>"113701"</f>
        <v>113701</v>
      </c>
      <c r="C5631" t="str">
        <f>"68960"</f>
        <v>68960</v>
      </c>
      <c r="D5631" t="s">
        <v>689</v>
      </c>
      <c r="E5631">
        <v>100</v>
      </c>
      <c r="F5631">
        <v>20140114</v>
      </c>
      <c r="G5631" t="s">
        <v>356</v>
      </c>
      <c r="H5631" t="s">
        <v>357</v>
      </c>
      <c r="I5631" t="s">
        <v>61</v>
      </c>
    </row>
    <row r="5632" spans="1:9" x14ac:dyDescent="0.25">
      <c r="A5632">
        <v>20140116</v>
      </c>
      <c r="B5632" t="str">
        <f>"113701"</f>
        <v>113701</v>
      </c>
      <c r="C5632" t="str">
        <f>"68960"</f>
        <v>68960</v>
      </c>
      <c r="D5632" t="s">
        <v>689</v>
      </c>
      <c r="E5632">
        <v>100</v>
      </c>
      <c r="F5632">
        <v>20140114</v>
      </c>
      <c r="G5632" t="s">
        <v>356</v>
      </c>
      <c r="H5632" t="s">
        <v>357</v>
      </c>
      <c r="I5632" t="s">
        <v>61</v>
      </c>
    </row>
    <row r="5633" spans="1:9" x14ac:dyDescent="0.25">
      <c r="A5633">
        <v>20140116</v>
      </c>
      <c r="B5633" t="str">
        <f>"113701"</f>
        <v>113701</v>
      </c>
      <c r="C5633" t="str">
        <f>"68960"</f>
        <v>68960</v>
      </c>
      <c r="D5633" t="s">
        <v>689</v>
      </c>
      <c r="E5633">
        <v>200</v>
      </c>
      <c r="F5633">
        <v>20140114</v>
      </c>
      <c r="G5633" t="s">
        <v>356</v>
      </c>
      <c r="H5633" t="s">
        <v>357</v>
      </c>
      <c r="I5633" t="s">
        <v>61</v>
      </c>
    </row>
    <row r="5634" spans="1:9" x14ac:dyDescent="0.25">
      <c r="A5634">
        <v>20140116</v>
      </c>
      <c r="B5634" t="str">
        <f>"113701"</f>
        <v>113701</v>
      </c>
      <c r="C5634" t="str">
        <f>"68960"</f>
        <v>68960</v>
      </c>
      <c r="D5634" t="s">
        <v>689</v>
      </c>
      <c r="E5634">
        <v>200</v>
      </c>
      <c r="F5634">
        <v>20140114</v>
      </c>
      <c r="G5634" t="s">
        <v>356</v>
      </c>
      <c r="H5634" t="s">
        <v>357</v>
      </c>
      <c r="I5634" t="s">
        <v>61</v>
      </c>
    </row>
    <row r="5635" spans="1:9" x14ac:dyDescent="0.25">
      <c r="A5635">
        <v>20140116</v>
      </c>
      <c r="B5635" t="str">
        <f>"113701"</f>
        <v>113701</v>
      </c>
      <c r="C5635" t="str">
        <f>"68960"</f>
        <v>68960</v>
      </c>
      <c r="D5635" t="s">
        <v>689</v>
      </c>
      <c r="E5635">
        <v>200</v>
      </c>
      <c r="F5635">
        <v>20140114</v>
      </c>
      <c r="G5635" t="s">
        <v>356</v>
      </c>
      <c r="H5635" t="s">
        <v>357</v>
      </c>
      <c r="I5635" t="s">
        <v>61</v>
      </c>
    </row>
    <row r="5636" spans="1:9" x14ac:dyDescent="0.25">
      <c r="A5636">
        <v>20140116</v>
      </c>
      <c r="B5636" t="str">
        <f>"113702"</f>
        <v>113702</v>
      </c>
      <c r="C5636" t="str">
        <f>"86376"</f>
        <v>86376</v>
      </c>
      <c r="D5636" t="s">
        <v>1661</v>
      </c>
      <c r="E5636" s="1">
        <v>10136</v>
      </c>
      <c r="F5636">
        <v>20140114</v>
      </c>
      <c r="G5636" t="s">
        <v>2979</v>
      </c>
      <c r="H5636" t="s">
        <v>2980</v>
      </c>
      <c r="I5636" t="s">
        <v>21</v>
      </c>
    </row>
    <row r="5637" spans="1:9" x14ac:dyDescent="0.25">
      <c r="A5637">
        <v>20140116</v>
      </c>
      <c r="B5637" t="str">
        <f>"113703"</f>
        <v>113703</v>
      </c>
      <c r="C5637" t="str">
        <f>"81886"</f>
        <v>81886</v>
      </c>
      <c r="D5637" t="s">
        <v>1527</v>
      </c>
      <c r="E5637">
        <v>760</v>
      </c>
      <c r="F5637">
        <v>20140110</v>
      </c>
      <c r="G5637" t="s">
        <v>746</v>
      </c>
      <c r="H5637" t="s">
        <v>555</v>
      </c>
      <c r="I5637" t="s">
        <v>21</v>
      </c>
    </row>
    <row r="5638" spans="1:9" x14ac:dyDescent="0.25">
      <c r="A5638">
        <v>20140116</v>
      </c>
      <c r="B5638" t="str">
        <f>"113704"</f>
        <v>113704</v>
      </c>
      <c r="C5638" t="str">
        <f>"81119"</f>
        <v>81119</v>
      </c>
      <c r="D5638" t="s">
        <v>1815</v>
      </c>
      <c r="E5638">
        <v>45.23</v>
      </c>
      <c r="F5638">
        <v>20140110</v>
      </c>
      <c r="G5638" t="s">
        <v>982</v>
      </c>
      <c r="H5638" t="s">
        <v>354</v>
      </c>
      <c r="I5638" t="s">
        <v>21</v>
      </c>
    </row>
    <row r="5639" spans="1:9" x14ac:dyDescent="0.25">
      <c r="A5639">
        <v>20140116</v>
      </c>
      <c r="B5639" t="str">
        <f>"113705"</f>
        <v>113705</v>
      </c>
      <c r="C5639" t="str">
        <f>"87700"</f>
        <v>87700</v>
      </c>
      <c r="D5639" t="s">
        <v>2981</v>
      </c>
      <c r="E5639">
        <v>45</v>
      </c>
      <c r="F5639">
        <v>20140115</v>
      </c>
      <c r="G5639" t="s">
        <v>102</v>
      </c>
      <c r="H5639" t="s">
        <v>354</v>
      </c>
      <c r="I5639" t="s">
        <v>25</v>
      </c>
    </row>
    <row r="5640" spans="1:9" x14ac:dyDescent="0.25">
      <c r="A5640">
        <v>20140116</v>
      </c>
      <c r="B5640" t="str">
        <f>"113706"</f>
        <v>113706</v>
      </c>
      <c r="C5640" t="str">
        <f>"69575"</f>
        <v>69575</v>
      </c>
      <c r="D5640" t="s">
        <v>2032</v>
      </c>
      <c r="E5640">
        <v>380</v>
      </c>
      <c r="F5640">
        <v>20140110</v>
      </c>
      <c r="G5640" t="s">
        <v>1033</v>
      </c>
      <c r="H5640" t="s">
        <v>954</v>
      </c>
      <c r="I5640" t="s">
        <v>21</v>
      </c>
    </row>
    <row r="5641" spans="1:9" x14ac:dyDescent="0.25">
      <c r="A5641">
        <v>20140116</v>
      </c>
      <c r="B5641" t="str">
        <f>"113706"</f>
        <v>113706</v>
      </c>
      <c r="C5641" t="str">
        <f>"69575"</f>
        <v>69575</v>
      </c>
      <c r="D5641" t="s">
        <v>2032</v>
      </c>
      <c r="E5641">
        <v>-380</v>
      </c>
      <c r="F5641">
        <v>20140213</v>
      </c>
      <c r="G5641" t="s">
        <v>1033</v>
      </c>
      <c r="H5641" t="s">
        <v>1415</v>
      </c>
      <c r="I5641" t="s">
        <v>21</v>
      </c>
    </row>
    <row r="5642" spans="1:9" x14ac:dyDescent="0.25">
      <c r="A5642">
        <v>20140116</v>
      </c>
      <c r="B5642" t="str">
        <f>"113707"</f>
        <v>113707</v>
      </c>
      <c r="C5642" t="str">
        <f>"81398"</f>
        <v>81398</v>
      </c>
      <c r="D5642" t="s">
        <v>1154</v>
      </c>
      <c r="E5642">
        <v>25</v>
      </c>
      <c r="F5642">
        <v>20140115</v>
      </c>
      <c r="G5642" t="s">
        <v>1120</v>
      </c>
      <c r="H5642" t="s">
        <v>2982</v>
      </c>
      <c r="I5642" t="s">
        <v>66</v>
      </c>
    </row>
    <row r="5643" spans="1:9" x14ac:dyDescent="0.25">
      <c r="A5643">
        <v>20140116</v>
      </c>
      <c r="B5643" t="str">
        <f>"113708"</f>
        <v>113708</v>
      </c>
      <c r="C5643" t="str">
        <f>"81325"</f>
        <v>81325</v>
      </c>
      <c r="D5643" t="s">
        <v>2983</v>
      </c>
      <c r="E5643">
        <v>100</v>
      </c>
      <c r="F5643">
        <v>20140113</v>
      </c>
      <c r="G5643" t="s">
        <v>2984</v>
      </c>
      <c r="H5643" t="s">
        <v>2985</v>
      </c>
      <c r="I5643" t="s">
        <v>21</v>
      </c>
    </row>
    <row r="5644" spans="1:9" x14ac:dyDescent="0.25">
      <c r="A5644">
        <v>20140116</v>
      </c>
      <c r="B5644" t="str">
        <f>"113709"</f>
        <v>113709</v>
      </c>
      <c r="C5644" t="str">
        <f>"73960"</f>
        <v>73960</v>
      </c>
      <c r="D5644" t="s">
        <v>2986</v>
      </c>
      <c r="E5644">
        <v>51</v>
      </c>
      <c r="F5644">
        <v>20140114</v>
      </c>
      <c r="G5644" t="s">
        <v>2145</v>
      </c>
      <c r="H5644" t="s">
        <v>2987</v>
      </c>
      <c r="I5644" t="s">
        <v>21</v>
      </c>
    </row>
    <row r="5645" spans="1:9" x14ac:dyDescent="0.25">
      <c r="A5645">
        <v>20140116</v>
      </c>
      <c r="B5645" t="str">
        <f>"113710"</f>
        <v>113710</v>
      </c>
      <c r="C5645" t="str">
        <f>"82502"</f>
        <v>82502</v>
      </c>
      <c r="D5645" t="s">
        <v>706</v>
      </c>
      <c r="E5645">
        <v>70</v>
      </c>
      <c r="F5645">
        <v>20140110</v>
      </c>
      <c r="G5645" t="s">
        <v>340</v>
      </c>
      <c r="H5645" t="s">
        <v>2988</v>
      </c>
      <c r="I5645" t="s">
        <v>21</v>
      </c>
    </row>
    <row r="5646" spans="1:9" x14ac:dyDescent="0.25">
      <c r="A5646">
        <v>20140116</v>
      </c>
      <c r="B5646" t="str">
        <f>"113710"</f>
        <v>113710</v>
      </c>
      <c r="C5646" t="str">
        <f>"82502"</f>
        <v>82502</v>
      </c>
      <c r="D5646" t="s">
        <v>706</v>
      </c>
      <c r="E5646">
        <v>10.5</v>
      </c>
      <c r="F5646">
        <v>20140110</v>
      </c>
      <c r="G5646" t="s">
        <v>413</v>
      </c>
      <c r="H5646" t="s">
        <v>2989</v>
      </c>
      <c r="I5646" t="s">
        <v>21</v>
      </c>
    </row>
    <row r="5647" spans="1:9" x14ac:dyDescent="0.25">
      <c r="A5647">
        <v>20140116</v>
      </c>
      <c r="B5647" t="str">
        <f>"113711"</f>
        <v>113711</v>
      </c>
      <c r="C5647" t="str">
        <f>"85763"</f>
        <v>85763</v>
      </c>
      <c r="D5647" t="s">
        <v>710</v>
      </c>
      <c r="E5647" s="1">
        <v>1050</v>
      </c>
      <c r="F5647">
        <v>20140110</v>
      </c>
      <c r="G5647" t="s">
        <v>746</v>
      </c>
      <c r="H5647" t="s">
        <v>555</v>
      </c>
      <c r="I5647" t="s">
        <v>21</v>
      </c>
    </row>
    <row r="5648" spans="1:9" x14ac:dyDescent="0.25">
      <c r="A5648">
        <v>20140116</v>
      </c>
      <c r="B5648" t="str">
        <f>"113711"</f>
        <v>113711</v>
      </c>
      <c r="C5648" t="str">
        <f>"85763"</f>
        <v>85763</v>
      </c>
      <c r="D5648" t="s">
        <v>710</v>
      </c>
      <c r="E5648" s="1">
        <v>1080</v>
      </c>
      <c r="F5648">
        <v>20140110</v>
      </c>
      <c r="G5648" t="s">
        <v>746</v>
      </c>
      <c r="H5648" t="s">
        <v>555</v>
      </c>
      <c r="I5648" t="s">
        <v>21</v>
      </c>
    </row>
    <row r="5649" spans="1:9" x14ac:dyDescent="0.25">
      <c r="A5649">
        <v>20140116</v>
      </c>
      <c r="B5649" t="str">
        <f>"113711"</f>
        <v>113711</v>
      </c>
      <c r="C5649" t="str">
        <f>"85763"</f>
        <v>85763</v>
      </c>
      <c r="D5649" t="s">
        <v>710</v>
      </c>
      <c r="E5649">
        <v>500</v>
      </c>
      <c r="F5649">
        <v>20140110</v>
      </c>
      <c r="G5649" t="s">
        <v>746</v>
      </c>
      <c r="H5649" t="s">
        <v>555</v>
      </c>
      <c r="I5649" t="s">
        <v>21</v>
      </c>
    </row>
    <row r="5650" spans="1:9" x14ac:dyDescent="0.25">
      <c r="A5650">
        <v>20140116</v>
      </c>
      <c r="B5650" t="str">
        <f>"113711"</f>
        <v>113711</v>
      </c>
      <c r="C5650" t="str">
        <f>"85763"</f>
        <v>85763</v>
      </c>
      <c r="D5650" t="s">
        <v>710</v>
      </c>
      <c r="E5650">
        <v>850</v>
      </c>
      <c r="F5650">
        <v>20140110</v>
      </c>
      <c r="G5650" t="s">
        <v>746</v>
      </c>
      <c r="H5650" t="s">
        <v>555</v>
      </c>
      <c r="I5650" t="s">
        <v>21</v>
      </c>
    </row>
    <row r="5651" spans="1:9" x14ac:dyDescent="0.25">
      <c r="A5651">
        <v>20140116</v>
      </c>
      <c r="B5651" t="str">
        <f>"113712"</f>
        <v>113712</v>
      </c>
      <c r="C5651" t="str">
        <f>"87616"</f>
        <v>87616</v>
      </c>
      <c r="D5651" t="s">
        <v>711</v>
      </c>
      <c r="E5651">
        <v>160</v>
      </c>
      <c r="F5651">
        <v>20140113</v>
      </c>
      <c r="G5651" t="s">
        <v>637</v>
      </c>
      <c r="H5651" t="s">
        <v>2990</v>
      </c>
      <c r="I5651" t="s">
        <v>38</v>
      </c>
    </row>
    <row r="5652" spans="1:9" x14ac:dyDescent="0.25">
      <c r="A5652">
        <v>20140116</v>
      </c>
      <c r="B5652" t="str">
        <f>"113713"</f>
        <v>113713</v>
      </c>
      <c r="C5652" t="str">
        <f>"75600"</f>
        <v>75600</v>
      </c>
      <c r="D5652" t="s">
        <v>714</v>
      </c>
      <c r="E5652">
        <v>71</v>
      </c>
      <c r="F5652">
        <v>20140110</v>
      </c>
      <c r="G5652" t="s">
        <v>498</v>
      </c>
      <c r="H5652" t="s">
        <v>499</v>
      </c>
      <c r="I5652" t="s">
        <v>21</v>
      </c>
    </row>
    <row r="5653" spans="1:9" x14ac:dyDescent="0.25">
      <c r="A5653">
        <v>20140116</v>
      </c>
      <c r="B5653" t="str">
        <f>"113713"</f>
        <v>113713</v>
      </c>
      <c r="C5653" t="str">
        <f>"75600"</f>
        <v>75600</v>
      </c>
      <c r="D5653" t="s">
        <v>714</v>
      </c>
      <c r="E5653">
        <v>53.33</v>
      </c>
      <c r="F5653">
        <v>20140110</v>
      </c>
      <c r="G5653" t="s">
        <v>498</v>
      </c>
      <c r="H5653" t="s">
        <v>499</v>
      </c>
      <c r="I5653" t="s">
        <v>21</v>
      </c>
    </row>
    <row r="5654" spans="1:9" x14ac:dyDescent="0.25">
      <c r="A5654">
        <v>20140116</v>
      </c>
      <c r="B5654" t="str">
        <f>"113713"</f>
        <v>113713</v>
      </c>
      <c r="C5654" t="str">
        <f>"75600"</f>
        <v>75600</v>
      </c>
      <c r="D5654" t="s">
        <v>714</v>
      </c>
      <c r="E5654">
        <v>294.04000000000002</v>
      </c>
      <c r="F5654">
        <v>20140110</v>
      </c>
      <c r="G5654" t="s">
        <v>498</v>
      </c>
      <c r="H5654" t="s">
        <v>499</v>
      </c>
      <c r="I5654" t="s">
        <v>21</v>
      </c>
    </row>
    <row r="5655" spans="1:9" x14ac:dyDescent="0.25">
      <c r="A5655">
        <v>20140116</v>
      </c>
      <c r="B5655" t="str">
        <f>"113714"</f>
        <v>113714</v>
      </c>
      <c r="C5655" t="str">
        <f>"69310"</f>
        <v>69310</v>
      </c>
      <c r="D5655" t="s">
        <v>716</v>
      </c>
      <c r="E5655">
        <v>577.41</v>
      </c>
      <c r="F5655">
        <v>20140110</v>
      </c>
      <c r="G5655" t="s">
        <v>718</v>
      </c>
      <c r="H5655" t="s">
        <v>488</v>
      </c>
      <c r="I5655" t="s">
        <v>21</v>
      </c>
    </row>
    <row r="5656" spans="1:9" x14ac:dyDescent="0.25">
      <c r="A5656">
        <v>20140116</v>
      </c>
      <c r="B5656" t="str">
        <f>"113715"</f>
        <v>113715</v>
      </c>
      <c r="C5656" t="str">
        <f>"87560"</f>
        <v>87560</v>
      </c>
      <c r="D5656" t="s">
        <v>2304</v>
      </c>
      <c r="E5656" s="1">
        <v>3000</v>
      </c>
      <c r="F5656">
        <v>20140114</v>
      </c>
      <c r="G5656" t="s">
        <v>1504</v>
      </c>
      <c r="H5656" t="s">
        <v>2860</v>
      </c>
      <c r="I5656" t="s">
        <v>21</v>
      </c>
    </row>
    <row r="5657" spans="1:9" x14ac:dyDescent="0.25">
      <c r="A5657">
        <v>20140116</v>
      </c>
      <c r="B5657" t="str">
        <f>"113716"</f>
        <v>113716</v>
      </c>
      <c r="C5657" t="str">
        <f>"81358"</f>
        <v>81358</v>
      </c>
      <c r="D5657" t="s">
        <v>736</v>
      </c>
      <c r="E5657" s="1">
        <v>2225.65</v>
      </c>
      <c r="F5657">
        <v>20140114</v>
      </c>
      <c r="G5657" t="s">
        <v>1543</v>
      </c>
      <c r="H5657" t="s">
        <v>738</v>
      </c>
      <c r="I5657" t="s">
        <v>21</v>
      </c>
    </row>
    <row r="5658" spans="1:9" x14ac:dyDescent="0.25">
      <c r="A5658">
        <v>20140116</v>
      </c>
      <c r="B5658" t="str">
        <f>"113716"</f>
        <v>113716</v>
      </c>
      <c r="C5658" t="str">
        <f>"81358"</f>
        <v>81358</v>
      </c>
      <c r="D5658" t="s">
        <v>736</v>
      </c>
      <c r="E5658" s="1">
        <v>4137.55</v>
      </c>
      <c r="F5658">
        <v>20140114</v>
      </c>
      <c r="G5658" t="s">
        <v>737</v>
      </c>
      <c r="H5658" t="s">
        <v>738</v>
      </c>
      <c r="I5658" t="s">
        <v>21</v>
      </c>
    </row>
    <row r="5659" spans="1:9" x14ac:dyDescent="0.25">
      <c r="A5659">
        <v>20140116</v>
      </c>
      <c r="B5659" t="str">
        <f>"113717"</f>
        <v>113717</v>
      </c>
      <c r="C5659" t="str">
        <f>"81358"</f>
        <v>81358</v>
      </c>
      <c r="D5659" t="s">
        <v>736</v>
      </c>
      <c r="E5659">
        <v>316.74</v>
      </c>
      <c r="F5659">
        <v>20140110</v>
      </c>
      <c r="G5659" t="s">
        <v>737</v>
      </c>
      <c r="H5659" t="s">
        <v>738</v>
      </c>
      <c r="I5659" t="s">
        <v>21</v>
      </c>
    </row>
    <row r="5660" spans="1:9" x14ac:dyDescent="0.25">
      <c r="A5660">
        <v>20140116</v>
      </c>
      <c r="B5660" t="str">
        <f>"113718"</f>
        <v>113718</v>
      </c>
      <c r="C5660" t="str">
        <f>"81358"</f>
        <v>81358</v>
      </c>
      <c r="D5660" t="s">
        <v>736</v>
      </c>
      <c r="E5660">
        <v>77.25</v>
      </c>
      <c r="F5660">
        <v>20140110</v>
      </c>
      <c r="G5660" t="s">
        <v>737</v>
      </c>
      <c r="H5660" t="s">
        <v>738</v>
      </c>
      <c r="I5660" t="s">
        <v>21</v>
      </c>
    </row>
    <row r="5661" spans="1:9" x14ac:dyDescent="0.25">
      <c r="A5661">
        <v>20140116</v>
      </c>
      <c r="B5661" t="str">
        <f>"113719"</f>
        <v>113719</v>
      </c>
      <c r="C5661" t="str">
        <f>"76690"</f>
        <v>76690</v>
      </c>
      <c r="D5661" t="s">
        <v>1544</v>
      </c>
      <c r="E5661">
        <v>246.65</v>
      </c>
      <c r="F5661">
        <v>20140110</v>
      </c>
      <c r="G5661" t="s">
        <v>415</v>
      </c>
      <c r="H5661" t="s">
        <v>414</v>
      </c>
      <c r="I5661" t="s">
        <v>21</v>
      </c>
    </row>
    <row r="5662" spans="1:9" x14ac:dyDescent="0.25">
      <c r="A5662">
        <v>20140116</v>
      </c>
      <c r="B5662" t="str">
        <f>"113719"</f>
        <v>113719</v>
      </c>
      <c r="C5662" t="str">
        <f>"76690"</f>
        <v>76690</v>
      </c>
      <c r="D5662" t="s">
        <v>1544</v>
      </c>
      <c r="E5662">
        <v>87.78</v>
      </c>
      <c r="F5662">
        <v>20140110</v>
      </c>
      <c r="G5662" t="s">
        <v>415</v>
      </c>
      <c r="H5662" t="s">
        <v>414</v>
      </c>
      <c r="I5662" t="s">
        <v>21</v>
      </c>
    </row>
    <row r="5663" spans="1:9" x14ac:dyDescent="0.25">
      <c r="A5663">
        <v>20140116</v>
      </c>
      <c r="B5663" t="str">
        <f>"113720"</f>
        <v>113720</v>
      </c>
      <c r="C5663" t="str">
        <f>"76775"</f>
        <v>76775</v>
      </c>
      <c r="D5663" t="s">
        <v>2308</v>
      </c>
      <c r="E5663">
        <v>380</v>
      </c>
      <c r="F5663">
        <v>20140110</v>
      </c>
      <c r="G5663" t="s">
        <v>450</v>
      </c>
      <c r="H5663" t="s">
        <v>656</v>
      </c>
      <c r="I5663" t="s">
        <v>21</v>
      </c>
    </row>
    <row r="5664" spans="1:9" x14ac:dyDescent="0.25">
      <c r="A5664">
        <v>20140116</v>
      </c>
      <c r="B5664" t="str">
        <f>"113721"</f>
        <v>113721</v>
      </c>
      <c r="C5664" t="str">
        <f>"77800"</f>
        <v>77800</v>
      </c>
      <c r="D5664" t="s">
        <v>2991</v>
      </c>
      <c r="E5664">
        <v>150</v>
      </c>
      <c r="F5664">
        <v>20140114</v>
      </c>
      <c r="G5664" t="s">
        <v>347</v>
      </c>
      <c r="H5664" t="s">
        <v>361</v>
      </c>
      <c r="I5664" t="s">
        <v>61</v>
      </c>
    </row>
    <row r="5665" spans="1:9" x14ac:dyDescent="0.25">
      <c r="A5665">
        <v>20140116</v>
      </c>
      <c r="B5665" t="str">
        <f>"113722"</f>
        <v>113722</v>
      </c>
      <c r="C5665" t="str">
        <f>"83505"</f>
        <v>83505</v>
      </c>
      <c r="D5665" t="s">
        <v>2992</v>
      </c>
      <c r="E5665">
        <v>175</v>
      </c>
      <c r="F5665">
        <v>20140114</v>
      </c>
      <c r="G5665" t="s">
        <v>347</v>
      </c>
      <c r="H5665" t="s">
        <v>1360</v>
      </c>
      <c r="I5665" t="s">
        <v>61</v>
      </c>
    </row>
    <row r="5666" spans="1:9" x14ac:dyDescent="0.25">
      <c r="A5666">
        <v>20140116</v>
      </c>
      <c r="B5666" t="str">
        <f>"113723"</f>
        <v>113723</v>
      </c>
      <c r="C5666" t="str">
        <f>"00478"</f>
        <v>00478</v>
      </c>
      <c r="D5666" t="s">
        <v>2993</v>
      </c>
      <c r="E5666">
        <v>48.84</v>
      </c>
      <c r="F5666">
        <v>20140114</v>
      </c>
      <c r="G5666" t="s">
        <v>1734</v>
      </c>
      <c r="H5666" t="s">
        <v>921</v>
      </c>
      <c r="I5666" t="s">
        <v>21</v>
      </c>
    </row>
    <row r="5667" spans="1:9" x14ac:dyDescent="0.25">
      <c r="A5667">
        <v>20140116</v>
      </c>
      <c r="B5667" t="str">
        <f>"113723"</f>
        <v>113723</v>
      </c>
      <c r="C5667" t="str">
        <f>"00478"</f>
        <v>00478</v>
      </c>
      <c r="D5667" t="s">
        <v>2993</v>
      </c>
      <c r="E5667" s="1">
        <v>2026.84</v>
      </c>
      <c r="F5667">
        <v>20140114</v>
      </c>
      <c r="G5667" t="s">
        <v>1724</v>
      </c>
      <c r="H5667" t="s">
        <v>921</v>
      </c>
      <c r="I5667" t="s">
        <v>66</v>
      </c>
    </row>
    <row r="5668" spans="1:9" x14ac:dyDescent="0.25">
      <c r="A5668">
        <v>20140116</v>
      </c>
      <c r="B5668" t="str">
        <f>"113724"</f>
        <v>113724</v>
      </c>
      <c r="C5668" t="str">
        <f>"00072"</f>
        <v>00072</v>
      </c>
      <c r="D5668" t="s">
        <v>1327</v>
      </c>
      <c r="E5668">
        <v>40</v>
      </c>
      <c r="F5668">
        <v>20140110</v>
      </c>
      <c r="G5668" t="s">
        <v>356</v>
      </c>
      <c r="H5668" t="s">
        <v>357</v>
      </c>
      <c r="I5668" t="s">
        <v>61</v>
      </c>
    </row>
    <row r="5669" spans="1:9" x14ac:dyDescent="0.25">
      <c r="A5669">
        <v>20140116</v>
      </c>
      <c r="B5669" t="str">
        <f>"113725"</f>
        <v>113725</v>
      </c>
      <c r="C5669" t="str">
        <f>"85780"</f>
        <v>85780</v>
      </c>
      <c r="D5669" t="s">
        <v>402</v>
      </c>
      <c r="E5669">
        <v>540</v>
      </c>
      <c r="F5669">
        <v>20140114</v>
      </c>
      <c r="G5669" t="s">
        <v>356</v>
      </c>
      <c r="H5669" t="s">
        <v>357</v>
      </c>
      <c r="I5669" t="s">
        <v>61</v>
      </c>
    </row>
    <row r="5670" spans="1:9" x14ac:dyDescent="0.25">
      <c r="A5670">
        <v>20140116</v>
      </c>
      <c r="B5670" t="str">
        <f>"113726"</f>
        <v>113726</v>
      </c>
      <c r="C5670" t="str">
        <f>"85780"</f>
        <v>85780</v>
      </c>
      <c r="D5670" t="s">
        <v>402</v>
      </c>
      <c r="E5670">
        <v>360</v>
      </c>
      <c r="F5670">
        <v>20140114</v>
      </c>
      <c r="G5670" t="s">
        <v>356</v>
      </c>
      <c r="H5670" t="s">
        <v>357</v>
      </c>
      <c r="I5670" t="s">
        <v>61</v>
      </c>
    </row>
    <row r="5671" spans="1:9" x14ac:dyDescent="0.25">
      <c r="A5671">
        <v>20140116</v>
      </c>
      <c r="B5671" t="str">
        <f>"113727"</f>
        <v>113727</v>
      </c>
      <c r="C5671" t="str">
        <f>"85780"</f>
        <v>85780</v>
      </c>
      <c r="D5671" t="s">
        <v>402</v>
      </c>
      <c r="E5671">
        <v>300</v>
      </c>
      <c r="F5671">
        <v>20140114</v>
      </c>
      <c r="G5671" t="s">
        <v>356</v>
      </c>
      <c r="H5671" t="s">
        <v>357</v>
      </c>
      <c r="I5671" t="s">
        <v>61</v>
      </c>
    </row>
    <row r="5672" spans="1:9" x14ac:dyDescent="0.25">
      <c r="A5672">
        <v>20140116</v>
      </c>
      <c r="B5672" t="str">
        <f>"113728"</f>
        <v>113728</v>
      </c>
      <c r="C5672" t="str">
        <f>"85780"</f>
        <v>85780</v>
      </c>
      <c r="D5672" t="s">
        <v>402</v>
      </c>
      <c r="E5672">
        <v>100</v>
      </c>
      <c r="F5672">
        <v>20140114</v>
      </c>
      <c r="G5672" t="s">
        <v>356</v>
      </c>
      <c r="H5672" t="s">
        <v>357</v>
      </c>
      <c r="I5672" t="s">
        <v>61</v>
      </c>
    </row>
    <row r="5673" spans="1:9" x14ac:dyDescent="0.25">
      <c r="A5673">
        <v>20140116</v>
      </c>
      <c r="B5673" t="str">
        <f>"113729"</f>
        <v>113729</v>
      </c>
      <c r="C5673" t="str">
        <f>"85445"</f>
        <v>85445</v>
      </c>
      <c r="D5673" t="s">
        <v>745</v>
      </c>
      <c r="E5673">
        <v>579</v>
      </c>
      <c r="F5673">
        <v>20140110</v>
      </c>
      <c r="G5673" t="s">
        <v>746</v>
      </c>
      <c r="H5673" t="s">
        <v>555</v>
      </c>
      <c r="I5673" t="s">
        <v>21</v>
      </c>
    </row>
    <row r="5674" spans="1:9" x14ac:dyDescent="0.25">
      <c r="A5674">
        <v>20140116</v>
      </c>
      <c r="B5674" t="str">
        <f>"113730"</f>
        <v>113730</v>
      </c>
      <c r="C5674" t="str">
        <f>"87692"</f>
        <v>87692</v>
      </c>
      <c r="D5674" t="s">
        <v>2994</v>
      </c>
      <c r="E5674">
        <v>126.73</v>
      </c>
      <c r="F5674">
        <v>20140110</v>
      </c>
      <c r="G5674" t="s">
        <v>323</v>
      </c>
      <c r="H5674" t="s">
        <v>1849</v>
      </c>
      <c r="I5674" t="s">
        <v>21</v>
      </c>
    </row>
    <row r="5675" spans="1:9" x14ac:dyDescent="0.25">
      <c r="A5675">
        <v>20140116</v>
      </c>
      <c r="B5675" t="str">
        <f>"113731"</f>
        <v>113731</v>
      </c>
      <c r="C5675" t="str">
        <f>"87141"</f>
        <v>87141</v>
      </c>
      <c r="D5675" t="s">
        <v>1332</v>
      </c>
      <c r="E5675">
        <v>459</v>
      </c>
      <c r="F5675">
        <v>20140114</v>
      </c>
      <c r="G5675" t="s">
        <v>2995</v>
      </c>
      <c r="H5675" t="s">
        <v>1468</v>
      </c>
      <c r="I5675" t="s">
        <v>38</v>
      </c>
    </row>
    <row r="5676" spans="1:9" x14ac:dyDescent="0.25">
      <c r="A5676">
        <v>20140117</v>
      </c>
      <c r="B5676" t="str">
        <f>"113732"</f>
        <v>113732</v>
      </c>
      <c r="C5676" t="str">
        <f>"87473"</f>
        <v>87473</v>
      </c>
      <c r="D5676" t="s">
        <v>160</v>
      </c>
      <c r="E5676">
        <v>140</v>
      </c>
      <c r="F5676">
        <v>20140117</v>
      </c>
      <c r="G5676" t="s">
        <v>2009</v>
      </c>
      <c r="H5676" t="s">
        <v>357</v>
      </c>
      <c r="I5676" t="s">
        <v>21</v>
      </c>
    </row>
    <row r="5677" spans="1:9" x14ac:dyDescent="0.25">
      <c r="A5677">
        <v>20140117</v>
      </c>
      <c r="B5677" t="str">
        <f>"113733"</f>
        <v>113733</v>
      </c>
      <c r="C5677" t="str">
        <f>"48573"</f>
        <v>48573</v>
      </c>
      <c r="D5677" t="s">
        <v>2996</v>
      </c>
      <c r="E5677">
        <v>591</v>
      </c>
      <c r="F5677">
        <v>20140117</v>
      </c>
      <c r="G5677" t="s">
        <v>1672</v>
      </c>
      <c r="H5677" t="s">
        <v>1360</v>
      </c>
      <c r="I5677" t="s">
        <v>21</v>
      </c>
    </row>
    <row r="5678" spans="1:9" x14ac:dyDescent="0.25">
      <c r="A5678">
        <v>20140123</v>
      </c>
      <c r="B5678" t="str">
        <f>"113734"</f>
        <v>113734</v>
      </c>
      <c r="C5678" t="str">
        <f>"87466"</f>
        <v>87466</v>
      </c>
      <c r="D5678" t="s">
        <v>468</v>
      </c>
      <c r="E5678">
        <v>230</v>
      </c>
      <c r="F5678">
        <v>20140122</v>
      </c>
      <c r="G5678" t="s">
        <v>469</v>
      </c>
      <c r="H5678" t="s">
        <v>501</v>
      </c>
      <c r="I5678" t="s">
        <v>21</v>
      </c>
    </row>
    <row r="5679" spans="1:9" x14ac:dyDescent="0.25">
      <c r="A5679">
        <v>20140123</v>
      </c>
      <c r="B5679" t="str">
        <f t="shared" ref="B5679:B5690" si="367">"113735"</f>
        <v>113735</v>
      </c>
      <c r="C5679" t="str">
        <f t="shared" ref="C5679:C5690" si="368">"84047"</f>
        <v>84047</v>
      </c>
      <c r="D5679" t="s">
        <v>472</v>
      </c>
      <c r="E5679">
        <v>315.14999999999998</v>
      </c>
      <c r="F5679">
        <v>20140122</v>
      </c>
      <c r="G5679" t="s">
        <v>473</v>
      </c>
      <c r="H5679" t="s">
        <v>474</v>
      </c>
      <c r="I5679" t="s">
        <v>21</v>
      </c>
    </row>
    <row r="5680" spans="1:9" x14ac:dyDescent="0.25">
      <c r="A5680">
        <v>20140123</v>
      </c>
      <c r="B5680" t="str">
        <f t="shared" si="367"/>
        <v>113735</v>
      </c>
      <c r="C5680" t="str">
        <f t="shared" si="368"/>
        <v>84047</v>
      </c>
      <c r="D5680" t="s">
        <v>472</v>
      </c>
      <c r="E5680">
        <v>183.15</v>
      </c>
      <c r="F5680">
        <v>20140122</v>
      </c>
      <c r="G5680" t="s">
        <v>475</v>
      </c>
      <c r="H5680" t="s">
        <v>474</v>
      </c>
      <c r="I5680" t="s">
        <v>21</v>
      </c>
    </row>
    <row r="5681" spans="1:9" x14ac:dyDescent="0.25">
      <c r="A5681">
        <v>20140123</v>
      </c>
      <c r="B5681" t="str">
        <f t="shared" si="367"/>
        <v>113735</v>
      </c>
      <c r="C5681" t="str">
        <f t="shared" si="368"/>
        <v>84047</v>
      </c>
      <c r="D5681" t="s">
        <v>472</v>
      </c>
      <c r="E5681">
        <v>183.15</v>
      </c>
      <c r="F5681">
        <v>20140122</v>
      </c>
      <c r="G5681" t="s">
        <v>476</v>
      </c>
      <c r="H5681" t="s">
        <v>474</v>
      </c>
      <c r="I5681" t="s">
        <v>21</v>
      </c>
    </row>
    <row r="5682" spans="1:9" x14ac:dyDescent="0.25">
      <c r="A5682">
        <v>20140123</v>
      </c>
      <c r="B5682" t="str">
        <f t="shared" si="367"/>
        <v>113735</v>
      </c>
      <c r="C5682" t="str">
        <f t="shared" si="368"/>
        <v>84047</v>
      </c>
      <c r="D5682" t="s">
        <v>472</v>
      </c>
      <c r="E5682">
        <v>183.15</v>
      </c>
      <c r="F5682">
        <v>20140122</v>
      </c>
      <c r="G5682" t="s">
        <v>477</v>
      </c>
      <c r="H5682" t="s">
        <v>474</v>
      </c>
      <c r="I5682" t="s">
        <v>21</v>
      </c>
    </row>
    <row r="5683" spans="1:9" x14ac:dyDescent="0.25">
      <c r="A5683">
        <v>20140123</v>
      </c>
      <c r="B5683" t="str">
        <f t="shared" si="367"/>
        <v>113735</v>
      </c>
      <c r="C5683" t="str">
        <f t="shared" si="368"/>
        <v>84047</v>
      </c>
      <c r="D5683" t="s">
        <v>472</v>
      </c>
      <c r="E5683">
        <v>216.15</v>
      </c>
      <c r="F5683">
        <v>20140122</v>
      </c>
      <c r="G5683" t="s">
        <v>478</v>
      </c>
      <c r="H5683" t="s">
        <v>474</v>
      </c>
      <c r="I5683" t="s">
        <v>21</v>
      </c>
    </row>
    <row r="5684" spans="1:9" x14ac:dyDescent="0.25">
      <c r="A5684">
        <v>20140123</v>
      </c>
      <c r="B5684" t="str">
        <f t="shared" si="367"/>
        <v>113735</v>
      </c>
      <c r="C5684" t="str">
        <f t="shared" si="368"/>
        <v>84047</v>
      </c>
      <c r="D5684" t="s">
        <v>472</v>
      </c>
      <c r="E5684">
        <v>183.15</v>
      </c>
      <c r="F5684">
        <v>20140122</v>
      </c>
      <c r="G5684" t="s">
        <v>479</v>
      </c>
      <c r="H5684" t="s">
        <v>474</v>
      </c>
      <c r="I5684" t="s">
        <v>21</v>
      </c>
    </row>
    <row r="5685" spans="1:9" x14ac:dyDescent="0.25">
      <c r="A5685">
        <v>20140123</v>
      </c>
      <c r="B5685" t="str">
        <f t="shared" si="367"/>
        <v>113735</v>
      </c>
      <c r="C5685" t="str">
        <f t="shared" si="368"/>
        <v>84047</v>
      </c>
      <c r="D5685" t="s">
        <v>472</v>
      </c>
      <c r="E5685">
        <v>183.15</v>
      </c>
      <c r="F5685">
        <v>20140122</v>
      </c>
      <c r="G5685" t="s">
        <v>480</v>
      </c>
      <c r="H5685" t="s">
        <v>474</v>
      </c>
      <c r="I5685" t="s">
        <v>21</v>
      </c>
    </row>
    <row r="5686" spans="1:9" x14ac:dyDescent="0.25">
      <c r="A5686">
        <v>20140123</v>
      </c>
      <c r="B5686" t="str">
        <f t="shared" si="367"/>
        <v>113735</v>
      </c>
      <c r="C5686" t="str">
        <f t="shared" si="368"/>
        <v>84047</v>
      </c>
      <c r="D5686" t="s">
        <v>472</v>
      </c>
      <c r="E5686">
        <v>183.15</v>
      </c>
      <c r="F5686">
        <v>20140122</v>
      </c>
      <c r="G5686" t="s">
        <v>481</v>
      </c>
      <c r="H5686" t="s">
        <v>474</v>
      </c>
      <c r="I5686" t="s">
        <v>21</v>
      </c>
    </row>
    <row r="5687" spans="1:9" x14ac:dyDescent="0.25">
      <c r="A5687">
        <v>20140123</v>
      </c>
      <c r="B5687" t="str">
        <f t="shared" si="367"/>
        <v>113735</v>
      </c>
      <c r="C5687" t="str">
        <f t="shared" si="368"/>
        <v>84047</v>
      </c>
      <c r="D5687" t="s">
        <v>472</v>
      </c>
      <c r="E5687">
        <v>106.15</v>
      </c>
      <c r="F5687">
        <v>20140122</v>
      </c>
      <c r="G5687" t="s">
        <v>482</v>
      </c>
      <c r="H5687" t="s">
        <v>474</v>
      </c>
      <c r="I5687" t="s">
        <v>21</v>
      </c>
    </row>
    <row r="5688" spans="1:9" x14ac:dyDescent="0.25">
      <c r="A5688">
        <v>20140123</v>
      </c>
      <c r="B5688" t="str">
        <f t="shared" si="367"/>
        <v>113735</v>
      </c>
      <c r="C5688" t="str">
        <f t="shared" si="368"/>
        <v>84047</v>
      </c>
      <c r="D5688" t="s">
        <v>472</v>
      </c>
      <c r="E5688">
        <v>183.15</v>
      </c>
      <c r="F5688">
        <v>20140122</v>
      </c>
      <c r="G5688" t="s">
        <v>483</v>
      </c>
      <c r="H5688" t="s">
        <v>474</v>
      </c>
      <c r="I5688" t="s">
        <v>21</v>
      </c>
    </row>
    <row r="5689" spans="1:9" x14ac:dyDescent="0.25">
      <c r="A5689">
        <v>20140123</v>
      </c>
      <c r="B5689" t="str">
        <f t="shared" si="367"/>
        <v>113735</v>
      </c>
      <c r="C5689" t="str">
        <f t="shared" si="368"/>
        <v>84047</v>
      </c>
      <c r="D5689" t="s">
        <v>472</v>
      </c>
      <c r="E5689">
        <v>217.25</v>
      </c>
      <c r="F5689">
        <v>20140122</v>
      </c>
      <c r="G5689" t="s">
        <v>484</v>
      </c>
      <c r="H5689" t="s">
        <v>474</v>
      </c>
      <c r="I5689" t="s">
        <v>21</v>
      </c>
    </row>
    <row r="5690" spans="1:9" x14ac:dyDescent="0.25">
      <c r="A5690">
        <v>20140123</v>
      </c>
      <c r="B5690" t="str">
        <f t="shared" si="367"/>
        <v>113735</v>
      </c>
      <c r="C5690" t="str">
        <f t="shared" si="368"/>
        <v>84047</v>
      </c>
      <c r="D5690" t="s">
        <v>472</v>
      </c>
      <c r="E5690">
        <v>150.15</v>
      </c>
      <c r="F5690">
        <v>20140122</v>
      </c>
      <c r="G5690" t="s">
        <v>485</v>
      </c>
      <c r="H5690" t="s">
        <v>474</v>
      </c>
      <c r="I5690" t="s">
        <v>21</v>
      </c>
    </row>
    <row r="5691" spans="1:9" x14ac:dyDescent="0.25">
      <c r="A5691">
        <v>20140123</v>
      </c>
      <c r="B5691" t="str">
        <f>"113736"</f>
        <v>113736</v>
      </c>
      <c r="C5691" t="str">
        <f>"87509"</f>
        <v>87509</v>
      </c>
      <c r="D5691" t="s">
        <v>1000</v>
      </c>
      <c r="E5691">
        <v>304</v>
      </c>
      <c r="F5691">
        <v>20140117</v>
      </c>
      <c r="G5691" t="s">
        <v>935</v>
      </c>
      <c r="H5691" t="s">
        <v>2997</v>
      </c>
      <c r="I5691" t="s">
        <v>21</v>
      </c>
    </row>
    <row r="5692" spans="1:9" x14ac:dyDescent="0.25">
      <c r="A5692">
        <v>20140123</v>
      </c>
      <c r="B5692" t="str">
        <f>"113737"</f>
        <v>113737</v>
      </c>
      <c r="C5692" t="str">
        <f>"00500"</f>
        <v>00500</v>
      </c>
      <c r="D5692" t="s">
        <v>486</v>
      </c>
      <c r="E5692" s="1">
        <v>9279.82</v>
      </c>
      <c r="F5692">
        <v>20140117</v>
      </c>
      <c r="G5692" t="s">
        <v>1182</v>
      </c>
      <c r="H5692" t="s">
        <v>488</v>
      </c>
      <c r="I5692" t="s">
        <v>21</v>
      </c>
    </row>
    <row r="5693" spans="1:9" x14ac:dyDescent="0.25">
      <c r="A5693">
        <v>20140123</v>
      </c>
      <c r="B5693" t="str">
        <f>"113738"</f>
        <v>113738</v>
      </c>
      <c r="C5693" t="str">
        <f>"00500"</f>
        <v>00500</v>
      </c>
      <c r="D5693" t="s">
        <v>486</v>
      </c>
      <c r="E5693" s="1">
        <v>7016.46</v>
      </c>
      <c r="F5693">
        <v>20140117</v>
      </c>
      <c r="G5693" t="s">
        <v>487</v>
      </c>
      <c r="H5693" t="s">
        <v>488</v>
      </c>
      <c r="I5693" t="s">
        <v>21</v>
      </c>
    </row>
    <row r="5694" spans="1:9" x14ac:dyDescent="0.25">
      <c r="A5694">
        <v>20140123</v>
      </c>
      <c r="B5694" t="str">
        <f>"113739"</f>
        <v>113739</v>
      </c>
      <c r="C5694" t="str">
        <f>"00500"</f>
        <v>00500</v>
      </c>
      <c r="D5694" t="s">
        <v>486</v>
      </c>
      <c r="E5694" s="1">
        <v>1209.78</v>
      </c>
      <c r="F5694">
        <v>20140117</v>
      </c>
      <c r="G5694" t="s">
        <v>487</v>
      </c>
      <c r="H5694" t="s">
        <v>488</v>
      </c>
      <c r="I5694" t="s">
        <v>21</v>
      </c>
    </row>
    <row r="5695" spans="1:9" x14ac:dyDescent="0.25">
      <c r="A5695">
        <v>20140123</v>
      </c>
      <c r="B5695" t="str">
        <f>"113740"</f>
        <v>113740</v>
      </c>
      <c r="C5695" t="str">
        <f>"66825"</f>
        <v>66825</v>
      </c>
      <c r="D5695" t="s">
        <v>2325</v>
      </c>
      <c r="E5695" s="1">
        <v>4968.0600000000004</v>
      </c>
      <c r="F5695">
        <v>20140122</v>
      </c>
      <c r="G5695" t="s">
        <v>2326</v>
      </c>
      <c r="H5695" t="s">
        <v>488</v>
      </c>
      <c r="I5695" t="s">
        <v>21</v>
      </c>
    </row>
    <row r="5696" spans="1:9" x14ac:dyDescent="0.25">
      <c r="A5696">
        <v>20140123</v>
      </c>
      <c r="B5696" t="str">
        <f>"113741"</f>
        <v>113741</v>
      </c>
      <c r="C5696" t="str">
        <f>"87687"</f>
        <v>87687</v>
      </c>
      <c r="D5696" t="s">
        <v>2826</v>
      </c>
      <c r="E5696">
        <v>90</v>
      </c>
      <c r="F5696">
        <v>20140122</v>
      </c>
      <c r="G5696" t="s">
        <v>2820</v>
      </c>
      <c r="H5696" t="s">
        <v>765</v>
      </c>
      <c r="I5696" t="s">
        <v>61</v>
      </c>
    </row>
    <row r="5697" spans="1:9" x14ac:dyDescent="0.25">
      <c r="A5697">
        <v>20140123</v>
      </c>
      <c r="B5697" t="str">
        <f>"113742"</f>
        <v>113742</v>
      </c>
      <c r="C5697" t="str">
        <f>"00728"</f>
        <v>00728</v>
      </c>
      <c r="D5697" t="s">
        <v>1557</v>
      </c>
      <c r="E5697" s="1">
        <v>1761.17</v>
      </c>
      <c r="F5697">
        <v>20140117</v>
      </c>
      <c r="G5697" t="s">
        <v>1067</v>
      </c>
      <c r="H5697" t="s">
        <v>2998</v>
      </c>
      <c r="I5697" t="s">
        <v>21</v>
      </c>
    </row>
    <row r="5698" spans="1:9" x14ac:dyDescent="0.25">
      <c r="A5698">
        <v>20140123</v>
      </c>
      <c r="B5698" t="str">
        <f>"113742"</f>
        <v>113742</v>
      </c>
      <c r="C5698" t="str">
        <f>"00728"</f>
        <v>00728</v>
      </c>
      <c r="D5698" t="s">
        <v>1557</v>
      </c>
      <c r="E5698" s="1">
        <v>4339.1400000000003</v>
      </c>
      <c r="F5698">
        <v>20140117</v>
      </c>
      <c r="G5698" t="s">
        <v>1064</v>
      </c>
      <c r="H5698" t="s">
        <v>2999</v>
      </c>
      <c r="I5698" t="s">
        <v>21</v>
      </c>
    </row>
    <row r="5699" spans="1:9" x14ac:dyDescent="0.25">
      <c r="A5699">
        <v>20140123</v>
      </c>
      <c r="B5699" t="str">
        <f>"113743"</f>
        <v>113743</v>
      </c>
      <c r="C5699" t="str">
        <f>"87375"</f>
        <v>87375</v>
      </c>
      <c r="D5699" t="s">
        <v>3000</v>
      </c>
      <c r="E5699">
        <v>35.340000000000003</v>
      </c>
      <c r="F5699">
        <v>20140117</v>
      </c>
      <c r="G5699" t="s">
        <v>2802</v>
      </c>
      <c r="H5699" t="s">
        <v>790</v>
      </c>
      <c r="I5699" t="s">
        <v>21</v>
      </c>
    </row>
    <row r="5700" spans="1:9" x14ac:dyDescent="0.25">
      <c r="A5700">
        <v>20140123</v>
      </c>
      <c r="B5700" t="str">
        <f>"113744"</f>
        <v>113744</v>
      </c>
      <c r="C5700" t="str">
        <f>"87703"</f>
        <v>87703</v>
      </c>
      <c r="D5700" t="s">
        <v>3001</v>
      </c>
      <c r="E5700">
        <v>300</v>
      </c>
      <c r="F5700">
        <v>20140117</v>
      </c>
      <c r="G5700" t="s">
        <v>1679</v>
      </c>
      <c r="H5700" t="s">
        <v>3002</v>
      </c>
      <c r="I5700" t="s">
        <v>25</v>
      </c>
    </row>
    <row r="5701" spans="1:9" x14ac:dyDescent="0.25">
      <c r="A5701">
        <v>20140123</v>
      </c>
      <c r="B5701" t="str">
        <f>"113745"</f>
        <v>113745</v>
      </c>
      <c r="C5701" t="str">
        <f>"86670"</f>
        <v>86670</v>
      </c>
      <c r="D5701" t="s">
        <v>2828</v>
      </c>
      <c r="E5701">
        <v>30</v>
      </c>
      <c r="F5701">
        <v>20140122</v>
      </c>
      <c r="G5701" t="s">
        <v>2820</v>
      </c>
      <c r="H5701" t="s">
        <v>765</v>
      </c>
      <c r="I5701" t="s">
        <v>61</v>
      </c>
    </row>
    <row r="5702" spans="1:9" x14ac:dyDescent="0.25">
      <c r="A5702">
        <v>20140123</v>
      </c>
      <c r="B5702" t="str">
        <f>"113746"</f>
        <v>113746</v>
      </c>
      <c r="C5702" t="str">
        <f>"82758"</f>
        <v>82758</v>
      </c>
      <c r="D5702" t="s">
        <v>776</v>
      </c>
      <c r="E5702" s="1">
        <v>17133</v>
      </c>
      <c r="F5702">
        <v>20140122</v>
      </c>
      <c r="G5702" t="s">
        <v>777</v>
      </c>
      <c r="H5702" t="s">
        <v>778</v>
      </c>
      <c r="I5702" t="s">
        <v>21</v>
      </c>
    </row>
    <row r="5703" spans="1:9" x14ac:dyDescent="0.25">
      <c r="A5703">
        <v>20140123</v>
      </c>
      <c r="B5703" t="str">
        <f>"113747"</f>
        <v>113747</v>
      </c>
      <c r="C5703" t="str">
        <f>"00096"</f>
        <v>00096</v>
      </c>
      <c r="D5703" t="s">
        <v>3003</v>
      </c>
      <c r="E5703">
        <v>125</v>
      </c>
      <c r="F5703">
        <v>20140117</v>
      </c>
      <c r="G5703" t="s">
        <v>347</v>
      </c>
      <c r="H5703" t="s">
        <v>361</v>
      </c>
      <c r="I5703" t="s">
        <v>61</v>
      </c>
    </row>
    <row r="5704" spans="1:9" x14ac:dyDescent="0.25">
      <c r="A5704">
        <v>20140123</v>
      </c>
      <c r="B5704" t="str">
        <f>"113748"</f>
        <v>113748</v>
      </c>
      <c r="C5704" t="str">
        <f>"00210"</f>
        <v>00210</v>
      </c>
      <c r="D5704" t="s">
        <v>1708</v>
      </c>
      <c r="E5704">
        <v>143.66</v>
      </c>
      <c r="F5704">
        <v>20140122</v>
      </c>
      <c r="G5704" t="s">
        <v>2277</v>
      </c>
      <c r="H5704" t="s">
        <v>414</v>
      </c>
      <c r="I5704" t="s">
        <v>21</v>
      </c>
    </row>
    <row r="5705" spans="1:9" x14ac:dyDescent="0.25">
      <c r="A5705">
        <v>20140123</v>
      </c>
      <c r="B5705" t="str">
        <f>"113748"</f>
        <v>113748</v>
      </c>
      <c r="C5705" t="str">
        <f>"00210"</f>
        <v>00210</v>
      </c>
      <c r="D5705" t="s">
        <v>1708</v>
      </c>
      <c r="E5705">
        <v>272.57</v>
      </c>
      <c r="F5705">
        <v>20140122</v>
      </c>
      <c r="G5705" t="s">
        <v>102</v>
      </c>
      <c r="H5705" t="s">
        <v>414</v>
      </c>
      <c r="I5705" t="s">
        <v>25</v>
      </c>
    </row>
    <row r="5706" spans="1:9" x14ac:dyDescent="0.25">
      <c r="A5706">
        <v>20140123</v>
      </c>
      <c r="B5706" t="str">
        <f>"113749"</f>
        <v>113749</v>
      </c>
      <c r="C5706" t="str">
        <f>"86533"</f>
        <v>86533</v>
      </c>
      <c r="D5706" t="s">
        <v>505</v>
      </c>
      <c r="E5706">
        <v>424</v>
      </c>
      <c r="F5706">
        <v>20140122</v>
      </c>
      <c r="G5706" t="s">
        <v>794</v>
      </c>
      <c r="H5706" t="s">
        <v>525</v>
      </c>
      <c r="I5706" t="s">
        <v>21</v>
      </c>
    </row>
    <row r="5707" spans="1:9" x14ac:dyDescent="0.25">
      <c r="A5707">
        <v>20140123</v>
      </c>
      <c r="B5707" t="str">
        <f>"113749"</f>
        <v>113749</v>
      </c>
      <c r="C5707" t="str">
        <f>"86533"</f>
        <v>86533</v>
      </c>
      <c r="D5707" t="s">
        <v>505</v>
      </c>
      <c r="E5707">
        <v>99.4</v>
      </c>
      <c r="F5707">
        <v>20140122</v>
      </c>
      <c r="G5707" t="s">
        <v>506</v>
      </c>
      <c r="H5707" t="s">
        <v>414</v>
      </c>
      <c r="I5707" t="s">
        <v>21</v>
      </c>
    </row>
    <row r="5708" spans="1:9" x14ac:dyDescent="0.25">
      <c r="A5708">
        <v>20140123</v>
      </c>
      <c r="B5708" t="str">
        <f>"113749"</f>
        <v>113749</v>
      </c>
      <c r="C5708" t="str">
        <f>"86533"</f>
        <v>86533</v>
      </c>
      <c r="D5708" t="s">
        <v>505</v>
      </c>
      <c r="E5708">
        <v>27</v>
      </c>
      <c r="F5708">
        <v>20140122</v>
      </c>
      <c r="G5708" t="s">
        <v>506</v>
      </c>
      <c r="H5708" t="s">
        <v>414</v>
      </c>
      <c r="I5708" t="s">
        <v>21</v>
      </c>
    </row>
    <row r="5709" spans="1:9" x14ac:dyDescent="0.25">
      <c r="A5709">
        <v>20140123</v>
      </c>
      <c r="B5709" t="str">
        <f>"113750"</f>
        <v>113750</v>
      </c>
      <c r="C5709" t="str">
        <f>"86113"</f>
        <v>86113</v>
      </c>
      <c r="D5709" t="s">
        <v>2486</v>
      </c>
      <c r="E5709">
        <v>90</v>
      </c>
      <c r="F5709">
        <v>20140122</v>
      </c>
      <c r="G5709" t="s">
        <v>2820</v>
      </c>
      <c r="H5709" t="s">
        <v>765</v>
      </c>
      <c r="I5709" t="s">
        <v>61</v>
      </c>
    </row>
    <row r="5710" spans="1:9" x14ac:dyDescent="0.25">
      <c r="A5710">
        <v>20140123</v>
      </c>
      <c r="B5710" t="str">
        <f>"113751"</f>
        <v>113751</v>
      </c>
      <c r="C5710" t="str">
        <f>"87706"</f>
        <v>87706</v>
      </c>
      <c r="D5710" t="s">
        <v>3004</v>
      </c>
      <c r="E5710">
        <v>85</v>
      </c>
      <c r="F5710">
        <v>20140122</v>
      </c>
      <c r="G5710" t="s">
        <v>2820</v>
      </c>
      <c r="H5710" t="s">
        <v>765</v>
      </c>
      <c r="I5710" t="s">
        <v>61</v>
      </c>
    </row>
    <row r="5711" spans="1:9" x14ac:dyDescent="0.25">
      <c r="A5711">
        <v>20140123</v>
      </c>
      <c r="B5711" t="str">
        <f>"113752"</f>
        <v>113752</v>
      </c>
      <c r="C5711" t="str">
        <f>"84398"</f>
        <v>84398</v>
      </c>
      <c r="D5711" t="s">
        <v>349</v>
      </c>
      <c r="E5711">
        <v>17.5</v>
      </c>
      <c r="F5711">
        <v>20140117</v>
      </c>
      <c r="G5711" t="s">
        <v>1731</v>
      </c>
      <c r="H5711" t="s">
        <v>3005</v>
      </c>
      <c r="I5711" t="s">
        <v>38</v>
      </c>
    </row>
    <row r="5712" spans="1:9" x14ac:dyDescent="0.25">
      <c r="A5712">
        <v>20140123</v>
      </c>
      <c r="B5712" t="str">
        <f>"113753"</f>
        <v>113753</v>
      </c>
      <c r="C5712" t="str">
        <f>"18025"</f>
        <v>18025</v>
      </c>
      <c r="D5712" t="s">
        <v>514</v>
      </c>
      <c r="E5712">
        <v>29.94</v>
      </c>
      <c r="F5712">
        <v>20140117</v>
      </c>
      <c r="G5712" t="s">
        <v>36</v>
      </c>
      <c r="H5712" t="s">
        <v>3006</v>
      </c>
      <c r="I5712" t="s">
        <v>38</v>
      </c>
    </row>
    <row r="5713" spans="1:9" x14ac:dyDescent="0.25">
      <c r="A5713">
        <v>20140123</v>
      </c>
      <c r="B5713" t="str">
        <f t="shared" ref="B5713:B5723" si="369">"113754"</f>
        <v>113754</v>
      </c>
      <c r="C5713" t="str">
        <f t="shared" ref="C5713:C5723" si="370">"18200"</f>
        <v>18200</v>
      </c>
      <c r="D5713" t="s">
        <v>516</v>
      </c>
      <c r="E5713">
        <v>95.52</v>
      </c>
      <c r="F5713">
        <v>20140122</v>
      </c>
      <c r="G5713" t="s">
        <v>453</v>
      </c>
      <c r="H5713" t="s">
        <v>488</v>
      </c>
      <c r="I5713" t="s">
        <v>21</v>
      </c>
    </row>
    <row r="5714" spans="1:9" x14ac:dyDescent="0.25">
      <c r="A5714">
        <v>20140123</v>
      </c>
      <c r="B5714" t="str">
        <f t="shared" si="369"/>
        <v>113754</v>
      </c>
      <c r="C5714" t="str">
        <f t="shared" si="370"/>
        <v>18200</v>
      </c>
      <c r="D5714" t="s">
        <v>516</v>
      </c>
      <c r="E5714">
        <v>811.94</v>
      </c>
      <c r="F5714">
        <v>20140122</v>
      </c>
      <c r="G5714" t="s">
        <v>455</v>
      </c>
      <c r="H5714" t="s">
        <v>488</v>
      </c>
      <c r="I5714" t="s">
        <v>21</v>
      </c>
    </row>
    <row r="5715" spans="1:9" x14ac:dyDescent="0.25">
      <c r="A5715">
        <v>20140123</v>
      </c>
      <c r="B5715" t="str">
        <f t="shared" si="369"/>
        <v>113754</v>
      </c>
      <c r="C5715" t="str">
        <f t="shared" si="370"/>
        <v>18200</v>
      </c>
      <c r="D5715" t="s">
        <v>516</v>
      </c>
      <c r="E5715">
        <v>431.12</v>
      </c>
      <c r="F5715">
        <v>20140122</v>
      </c>
      <c r="G5715" t="s">
        <v>455</v>
      </c>
      <c r="H5715" t="s">
        <v>488</v>
      </c>
      <c r="I5715" t="s">
        <v>21</v>
      </c>
    </row>
    <row r="5716" spans="1:9" x14ac:dyDescent="0.25">
      <c r="A5716">
        <v>20140123</v>
      </c>
      <c r="B5716" t="str">
        <f t="shared" si="369"/>
        <v>113754</v>
      </c>
      <c r="C5716" t="str">
        <f t="shared" si="370"/>
        <v>18200</v>
      </c>
      <c r="D5716" t="s">
        <v>516</v>
      </c>
      <c r="E5716">
        <v>167.49</v>
      </c>
      <c r="F5716">
        <v>20140122</v>
      </c>
      <c r="G5716" t="s">
        <v>455</v>
      </c>
      <c r="H5716" t="s">
        <v>488</v>
      </c>
      <c r="I5716" t="s">
        <v>21</v>
      </c>
    </row>
    <row r="5717" spans="1:9" x14ac:dyDescent="0.25">
      <c r="A5717">
        <v>20140123</v>
      </c>
      <c r="B5717" t="str">
        <f t="shared" si="369"/>
        <v>113754</v>
      </c>
      <c r="C5717" t="str">
        <f t="shared" si="370"/>
        <v>18200</v>
      </c>
      <c r="D5717" t="s">
        <v>516</v>
      </c>
      <c r="E5717">
        <v>827.3</v>
      </c>
      <c r="F5717">
        <v>20140122</v>
      </c>
      <c r="G5717" t="s">
        <v>459</v>
      </c>
      <c r="H5717" t="s">
        <v>488</v>
      </c>
      <c r="I5717" t="s">
        <v>21</v>
      </c>
    </row>
    <row r="5718" spans="1:9" x14ac:dyDescent="0.25">
      <c r="A5718">
        <v>20140123</v>
      </c>
      <c r="B5718" t="str">
        <f t="shared" si="369"/>
        <v>113754</v>
      </c>
      <c r="C5718" t="str">
        <f t="shared" si="370"/>
        <v>18200</v>
      </c>
      <c r="D5718" t="s">
        <v>516</v>
      </c>
      <c r="E5718">
        <v>332.37</v>
      </c>
      <c r="F5718">
        <v>20140122</v>
      </c>
      <c r="G5718" t="s">
        <v>462</v>
      </c>
      <c r="H5718" t="s">
        <v>488</v>
      </c>
      <c r="I5718" t="s">
        <v>21</v>
      </c>
    </row>
    <row r="5719" spans="1:9" x14ac:dyDescent="0.25">
      <c r="A5719">
        <v>20140123</v>
      </c>
      <c r="B5719" t="str">
        <f t="shared" si="369"/>
        <v>113754</v>
      </c>
      <c r="C5719" t="str">
        <f t="shared" si="370"/>
        <v>18200</v>
      </c>
      <c r="D5719" t="s">
        <v>516</v>
      </c>
      <c r="E5719">
        <v>876.12</v>
      </c>
      <c r="F5719">
        <v>20140122</v>
      </c>
      <c r="G5719" t="s">
        <v>465</v>
      </c>
      <c r="H5719" t="s">
        <v>488</v>
      </c>
      <c r="I5719" t="s">
        <v>21</v>
      </c>
    </row>
    <row r="5720" spans="1:9" x14ac:dyDescent="0.25">
      <c r="A5720">
        <v>20140123</v>
      </c>
      <c r="B5720" t="str">
        <f t="shared" si="369"/>
        <v>113754</v>
      </c>
      <c r="C5720" t="str">
        <f t="shared" si="370"/>
        <v>18200</v>
      </c>
      <c r="D5720" t="s">
        <v>516</v>
      </c>
      <c r="E5720" s="1">
        <v>2649.05</v>
      </c>
      <c r="F5720">
        <v>20140122</v>
      </c>
      <c r="G5720" t="s">
        <v>466</v>
      </c>
      <c r="H5720" t="s">
        <v>488</v>
      </c>
      <c r="I5720" t="s">
        <v>21</v>
      </c>
    </row>
    <row r="5721" spans="1:9" x14ac:dyDescent="0.25">
      <c r="A5721">
        <v>20140123</v>
      </c>
      <c r="B5721" t="str">
        <f t="shared" si="369"/>
        <v>113754</v>
      </c>
      <c r="C5721" t="str">
        <f t="shared" si="370"/>
        <v>18200</v>
      </c>
      <c r="D5721" t="s">
        <v>516</v>
      </c>
      <c r="E5721">
        <v>553.6</v>
      </c>
      <c r="F5721">
        <v>20140122</v>
      </c>
      <c r="G5721" t="s">
        <v>466</v>
      </c>
      <c r="H5721" t="s">
        <v>488</v>
      </c>
      <c r="I5721" t="s">
        <v>21</v>
      </c>
    </row>
    <row r="5722" spans="1:9" x14ac:dyDescent="0.25">
      <c r="A5722">
        <v>20140123</v>
      </c>
      <c r="B5722" t="str">
        <f t="shared" si="369"/>
        <v>113754</v>
      </c>
      <c r="C5722" t="str">
        <f t="shared" si="370"/>
        <v>18200</v>
      </c>
      <c r="D5722" t="s">
        <v>516</v>
      </c>
      <c r="E5722">
        <v>84.12</v>
      </c>
      <c r="F5722">
        <v>20140122</v>
      </c>
      <c r="G5722" t="s">
        <v>466</v>
      </c>
      <c r="H5722" t="s">
        <v>488</v>
      </c>
      <c r="I5722" t="s">
        <v>21</v>
      </c>
    </row>
    <row r="5723" spans="1:9" x14ac:dyDescent="0.25">
      <c r="A5723">
        <v>20140123</v>
      </c>
      <c r="B5723" t="str">
        <f t="shared" si="369"/>
        <v>113754</v>
      </c>
      <c r="C5723" t="str">
        <f t="shared" si="370"/>
        <v>18200</v>
      </c>
      <c r="D5723" t="s">
        <v>516</v>
      </c>
      <c r="E5723">
        <v>47</v>
      </c>
      <c r="F5723">
        <v>20140122</v>
      </c>
      <c r="G5723" t="s">
        <v>467</v>
      </c>
      <c r="H5723" t="s">
        <v>488</v>
      </c>
      <c r="I5723" t="s">
        <v>21</v>
      </c>
    </row>
    <row r="5724" spans="1:9" x14ac:dyDescent="0.25">
      <c r="A5724">
        <v>20140123</v>
      </c>
      <c r="B5724" t="str">
        <f>"113755"</f>
        <v>113755</v>
      </c>
      <c r="C5724" t="str">
        <f>"82924"</f>
        <v>82924</v>
      </c>
      <c r="D5724" t="s">
        <v>3007</v>
      </c>
      <c r="E5724">
        <v>350</v>
      </c>
      <c r="F5724">
        <v>20140117</v>
      </c>
      <c r="G5724" t="s">
        <v>2717</v>
      </c>
      <c r="H5724" t="s">
        <v>3008</v>
      </c>
      <c r="I5724" t="s">
        <v>21</v>
      </c>
    </row>
    <row r="5725" spans="1:9" x14ac:dyDescent="0.25">
      <c r="A5725">
        <v>20140123</v>
      </c>
      <c r="B5725" t="str">
        <f>"113756"</f>
        <v>113756</v>
      </c>
      <c r="C5725" t="str">
        <f>"18500"</f>
        <v>18500</v>
      </c>
      <c r="D5725" t="s">
        <v>517</v>
      </c>
      <c r="E5725" s="1">
        <v>13864</v>
      </c>
      <c r="F5725">
        <v>20140117</v>
      </c>
      <c r="G5725" t="s">
        <v>14</v>
      </c>
      <c r="H5725" t="s">
        <v>15</v>
      </c>
      <c r="I5725" t="s">
        <v>15</v>
      </c>
    </row>
    <row r="5726" spans="1:9" x14ac:dyDescent="0.25">
      <c r="A5726">
        <v>20140123</v>
      </c>
      <c r="B5726" t="str">
        <f>"113757"</f>
        <v>113757</v>
      </c>
      <c r="C5726" t="str">
        <f>"19178"</f>
        <v>19178</v>
      </c>
      <c r="D5726" t="s">
        <v>1293</v>
      </c>
      <c r="E5726">
        <v>72.41</v>
      </c>
      <c r="F5726">
        <v>20140117</v>
      </c>
      <c r="G5726" t="s">
        <v>583</v>
      </c>
      <c r="H5726" t="s">
        <v>3009</v>
      </c>
      <c r="I5726" t="s">
        <v>21</v>
      </c>
    </row>
    <row r="5727" spans="1:9" x14ac:dyDescent="0.25">
      <c r="A5727">
        <v>20140123</v>
      </c>
      <c r="B5727" t="str">
        <f>"113758"</f>
        <v>113758</v>
      </c>
      <c r="C5727" t="str">
        <f>"19800"</f>
        <v>19800</v>
      </c>
      <c r="D5727" t="s">
        <v>1034</v>
      </c>
      <c r="E5727">
        <v>58.2</v>
      </c>
      <c r="F5727">
        <v>20140123</v>
      </c>
      <c r="G5727" t="s">
        <v>119</v>
      </c>
      <c r="H5727" t="s">
        <v>3010</v>
      </c>
      <c r="I5727" t="s">
        <v>38</v>
      </c>
    </row>
    <row r="5728" spans="1:9" x14ac:dyDescent="0.25">
      <c r="A5728">
        <v>20140123</v>
      </c>
      <c r="B5728" t="str">
        <f>"113759"</f>
        <v>113759</v>
      </c>
      <c r="C5728" t="str">
        <f>"20000"</f>
        <v>20000</v>
      </c>
      <c r="D5728" t="s">
        <v>2634</v>
      </c>
      <c r="E5728">
        <v>409.69</v>
      </c>
      <c r="F5728">
        <v>20140122</v>
      </c>
      <c r="G5728" t="s">
        <v>910</v>
      </c>
      <c r="H5728" t="s">
        <v>3011</v>
      </c>
      <c r="I5728" t="s">
        <v>25</v>
      </c>
    </row>
    <row r="5729" spans="1:9" x14ac:dyDescent="0.25">
      <c r="A5729">
        <v>20140123</v>
      </c>
      <c r="B5729" t="str">
        <f>"113760"</f>
        <v>113760</v>
      </c>
      <c r="C5729" t="str">
        <f>"87701"</f>
        <v>87701</v>
      </c>
      <c r="D5729" t="s">
        <v>3012</v>
      </c>
      <c r="E5729">
        <v>59.65</v>
      </c>
      <c r="F5729">
        <v>20140122</v>
      </c>
      <c r="G5729" t="s">
        <v>202</v>
      </c>
      <c r="H5729" t="s">
        <v>3013</v>
      </c>
      <c r="I5729" t="s">
        <v>12</v>
      </c>
    </row>
    <row r="5730" spans="1:9" x14ac:dyDescent="0.25">
      <c r="A5730">
        <v>20140123</v>
      </c>
      <c r="B5730" t="str">
        <f>"113760"</f>
        <v>113760</v>
      </c>
      <c r="C5730" t="str">
        <f>"87701"</f>
        <v>87701</v>
      </c>
      <c r="D5730" t="s">
        <v>3012</v>
      </c>
      <c r="E5730">
        <v>-59.65</v>
      </c>
      <c r="F5730">
        <v>20140505</v>
      </c>
      <c r="G5730" t="s">
        <v>202</v>
      </c>
      <c r="H5730" t="s">
        <v>3014</v>
      </c>
      <c r="I5730" t="s">
        <v>12</v>
      </c>
    </row>
    <row r="5731" spans="1:9" x14ac:dyDescent="0.25">
      <c r="A5731">
        <v>20140123</v>
      </c>
      <c r="B5731" t="str">
        <f>"113761"</f>
        <v>113761</v>
      </c>
      <c r="C5731" t="str">
        <f>"81251"</f>
        <v>81251</v>
      </c>
      <c r="D5731" t="s">
        <v>1571</v>
      </c>
      <c r="E5731">
        <v>8.1999999999999993</v>
      </c>
      <c r="F5731">
        <v>20140122</v>
      </c>
      <c r="G5731" t="s">
        <v>404</v>
      </c>
      <c r="H5731" t="s">
        <v>913</v>
      </c>
      <c r="I5731" t="s">
        <v>12</v>
      </c>
    </row>
    <row r="5732" spans="1:9" x14ac:dyDescent="0.25">
      <c r="A5732">
        <v>20140123</v>
      </c>
      <c r="B5732" t="str">
        <f>"113761"</f>
        <v>113761</v>
      </c>
      <c r="C5732" t="str">
        <f>"81251"</f>
        <v>81251</v>
      </c>
      <c r="D5732" t="s">
        <v>1571</v>
      </c>
      <c r="E5732">
        <v>51.63</v>
      </c>
      <c r="F5732">
        <v>20140122</v>
      </c>
      <c r="G5732" t="s">
        <v>331</v>
      </c>
      <c r="H5732" t="s">
        <v>2497</v>
      </c>
      <c r="I5732" t="s">
        <v>12</v>
      </c>
    </row>
    <row r="5733" spans="1:9" x14ac:dyDescent="0.25">
      <c r="A5733">
        <v>20140123</v>
      </c>
      <c r="B5733" t="str">
        <f>"113761"</f>
        <v>113761</v>
      </c>
      <c r="C5733" t="str">
        <f>"81251"</f>
        <v>81251</v>
      </c>
      <c r="D5733" t="s">
        <v>1571</v>
      </c>
      <c r="E5733">
        <v>33.229999999999997</v>
      </c>
      <c r="F5733">
        <v>20140122</v>
      </c>
      <c r="G5733" t="s">
        <v>202</v>
      </c>
      <c r="H5733" t="s">
        <v>3015</v>
      </c>
      <c r="I5733" t="s">
        <v>12</v>
      </c>
    </row>
    <row r="5734" spans="1:9" x14ac:dyDescent="0.25">
      <c r="A5734">
        <v>20140123</v>
      </c>
      <c r="B5734" t="str">
        <f>"113762"</f>
        <v>113762</v>
      </c>
      <c r="C5734" t="str">
        <f>"23153"</f>
        <v>23153</v>
      </c>
      <c r="D5734" t="s">
        <v>3016</v>
      </c>
      <c r="E5734">
        <v>100</v>
      </c>
      <c r="F5734">
        <v>20140122</v>
      </c>
      <c r="G5734" t="s">
        <v>119</v>
      </c>
      <c r="H5734" t="s">
        <v>3017</v>
      </c>
      <c r="I5734" t="s">
        <v>38</v>
      </c>
    </row>
    <row r="5735" spans="1:9" x14ac:dyDescent="0.25">
      <c r="A5735">
        <v>20140123</v>
      </c>
      <c r="B5735" t="str">
        <f>"113763"</f>
        <v>113763</v>
      </c>
      <c r="C5735" t="str">
        <f>"82083"</f>
        <v>82083</v>
      </c>
      <c r="D5735" t="s">
        <v>3018</v>
      </c>
      <c r="E5735">
        <v>200</v>
      </c>
      <c r="F5735">
        <v>20140117</v>
      </c>
      <c r="G5735" t="s">
        <v>2439</v>
      </c>
      <c r="H5735" t="s">
        <v>3019</v>
      </c>
      <c r="I5735" t="s">
        <v>21</v>
      </c>
    </row>
    <row r="5736" spans="1:9" x14ac:dyDescent="0.25">
      <c r="A5736">
        <v>20140123</v>
      </c>
      <c r="B5736" t="str">
        <f>"113764"</f>
        <v>113764</v>
      </c>
      <c r="C5736" t="str">
        <f>"84605"</f>
        <v>84605</v>
      </c>
      <c r="D5736" t="s">
        <v>3020</v>
      </c>
      <c r="E5736">
        <v>320</v>
      </c>
      <c r="F5736">
        <v>20140117</v>
      </c>
      <c r="G5736" t="s">
        <v>1153</v>
      </c>
      <c r="H5736" t="s">
        <v>3021</v>
      </c>
      <c r="I5736" t="s">
        <v>61</v>
      </c>
    </row>
    <row r="5737" spans="1:9" x14ac:dyDescent="0.25">
      <c r="A5737">
        <v>20140123</v>
      </c>
      <c r="B5737" t="str">
        <f t="shared" ref="B5737:B5752" si="371">"113765"</f>
        <v>113765</v>
      </c>
      <c r="C5737" t="str">
        <f t="shared" ref="C5737:C5752" si="372">"25516"</f>
        <v>25516</v>
      </c>
      <c r="D5737" t="s">
        <v>529</v>
      </c>
      <c r="E5737">
        <v>751.34</v>
      </c>
      <c r="F5737">
        <v>20140122</v>
      </c>
      <c r="G5737" t="s">
        <v>473</v>
      </c>
      <c r="H5737" t="s">
        <v>414</v>
      </c>
      <c r="I5737" t="s">
        <v>21</v>
      </c>
    </row>
    <row r="5738" spans="1:9" x14ac:dyDescent="0.25">
      <c r="A5738">
        <v>20140123</v>
      </c>
      <c r="B5738" t="str">
        <f t="shared" si="371"/>
        <v>113765</v>
      </c>
      <c r="C5738" t="str">
        <f t="shared" si="372"/>
        <v>25516</v>
      </c>
      <c r="D5738" t="s">
        <v>529</v>
      </c>
      <c r="E5738">
        <v>547.04</v>
      </c>
      <c r="F5738">
        <v>20140122</v>
      </c>
      <c r="G5738" t="s">
        <v>475</v>
      </c>
      <c r="H5738" t="s">
        <v>414</v>
      </c>
      <c r="I5738" t="s">
        <v>21</v>
      </c>
    </row>
    <row r="5739" spans="1:9" x14ac:dyDescent="0.25">
      <c r="A5739">
        <v>20140123</v>
      </c>
      <c r="B5739" t="str">
        <f t="shared" si="371"/>
        <v>113765</v>
      </c>
      <c r="C5739" t="str">
        <f t="shared" si="372"/>
        <v>25516</v>
      </c>
      <c r="D5739" t="s">
        <v>529</v>
      </c>
      <c r="E5739">
        <v>242.55</v>
      </c>
      <c r="F5739">
        <v>20140122</v>
      </c>
      <c r="G5739" t="s">
        <v>476</v>
      </c>
      <c r="H5739" t="s">
        <v>414</v>
      </c>
      <c r="I5739" t="s">
        <v>21</v>
      </c>
    </row>
    <row r="5740" spans="1:9" x14ac:dyDescent="0.25">
      <c r="A5740">
        <v>20140123</v>
      </c>
      <c r="B5740" t="str">
        <f t="shared" si="371"/>
        <v>113765</v>
      </c>
      <c r="C5740" t="str">
        <f t="shared" si="372"/>
        <v>25516</v>
      </c>
      <c r="D5740" t="s">
        <v>529</v>
      </c>
      <c r="E5740">
        <v>629.17999999999995</v>
      </c>
      <c r="F5740">
        <v>20140122</v>
      </c>
      <c r="G5740" t="s">
        <v>477</v>
      </c>
      <c r="H5740" t="s">
        <v>414</v>
      </c>
      <c r="I5740" t="s">
        <v>21</v>
      </c>
    </row>
    <row r="5741" spans="1:9" x14ac:dyDescent="0.25">
      <c r="A5741">
        <v>20140123</v>
      </c>
      <c r="B5741" t="str">
        <f t="shared" si="371"/>
        <v>113765</v>
      </c>
      <c r="C5741" t="str">
        <f t="shared" si="372"/>
        <v>25516</v>
      </c>
      <c r="D5741" t="s">
        <v>529</v>
      </c>
      <c r="E5741">
        <v>921.05</v>
      </c>
      <c r="F5741">
        <v>20140122</v>
      </c>
      <c r="G5741" t="s">
        <v>478</v>
      </c>
      <c r="H5741" t="s">
        <v>414</v>
      </c>
      <c r="I5741" t="s">
        <v>21</v>
      </c>
    </row>
    <row r="5742" spans="1:9" x14ac:dyDescent="0.25">
      <c r="A5742">
        <v>20140123</v>
      </c>
      <c r="B5742" t="str">
        <f t="shared" si="371"/>
        <v>113765</v>
      </c>
      <c r="C5742" t="str">
        <f t="shared" si="372"/>
        <v>25516</v>
      </c>
      <c r="D5742" t="s">
        <v>529</v>
      </c>
      <c r="E5742" s="1">
        <v>1248.04</v>
      </c>
      <c r="F5742">
        <v>20140122</v>
      </c>
      <c r="G5742" t="s">
        <v>479</v>
      </c>
      <c r="H5742" t="s">
        <v>414</v>
      </c>
      <c r="I5742" t="s">
        <v>21</v>
      </c>
    </row>
    <row r="5743" spans="1:9" x14ac:dyDescent="0.25">
      <c r="A5743">
        <v>20140123</v>
      </c>
      <c r="B5743" t="str">
        <f t="shared" si="371"/>
        <v>113765</v>
      </c>
      <c r="C5743" t="str">
        <f t="shared" si="372"/>
        <v>25516</v>
      </c>
      <c r="D5743" t="s">
        <v>529</v>
      </c>
      <c r="E5743">
        <v>828.7</v>
      </c>
      <c r="F5743">
        <v>20140122</v>
      </c>
      <c r="G5743" t="s">
        <v>480</v>
      </c>
      <c r="H5743" t="s">
        <v>414</v>
      </c>
      <c r="I5743" t="s">
        <v>21</v>
      </c>
    </row>
    <row r="5744" spans="1:9" x14ac:dyDescent="0.25">
      <c r="A5744">
        <v>20140123</v>
      </c>
      <c r="B5744" t="str">
        <f t="shared" si="371"/>
        <v>113765</v>
      </c>
      <c r="C5744" t="str">
        <f t="shared" si="372"/>
        <v>25516</v>
      </c>
      <c r="D5744" t="s">
        <v>529</v>
      </c>
      <c r="E5744" s="1">
        <v>1464.67</v>
      </c>
      <c r="F5744">
        <v>20140122</v>
      </c>
      <c r="G5744" t="s">
        <v>481</v>
      </c>
      <c r="H5744" t="s">
        <v>414</v>
      </c>
      <c r="I5744" t="s">
        <v>21</v>
      </c>
    </row>
    <row r="5745" spans="1:9" x14ac:dyDescent="0.25">
      <c r="A5745">
        <v>20140123</v>
      </c>
      <c r="B5745" t="str">
        <f t="shared" si="371"/>
        <v>113765</v>
      </c>
      <c r="C5745" t="str">
        <f t="shared" si="372"/>
        <v>25516</v>
      </c>
      <c r="D5745" t="s">
        <v>529</v>
      </c>
      <c r="E5745" s="1">
        <v>2677.15</v>
      </c>
      <c r="F5745">
        <v>20140122</v>
      </c>
      <c r="G5745" t="s">
        <v>482</v>
      </c>
      <c r="H5745" t="s">
        <v>414</v>
      </c>
      <c r="I5745" t="s">
        <v>21</v>
      </c>
    </row>
    <row r="5746" spans="1:9" x14ac:dyDescent="0.25">
      <c r="A5746">
        <v>20140123</v>
      </c>
      <c r="B5746" t="str">
        <f t="shared" si="371"/>
        <v>113765</v>
      </c>
      <c r="C5746" t="str">
        <f t="shared" si="372"/>
        <v>25516</v>
      </c>
      <c r="D5746" t="s">
        <v>529</v>
      </c>
      <c r="E5746">
        <v>486.58</v>
      </c>
      <c r="F5746">
        <v>20140122</v>
      </c>
      <c r="G5746" t="s">
        <v>483</v>
      </c>
      <c r="H5746" t="s">
        <v>414</v>
      </c>
      <c r="I5746" t="s">
        <v>21</v>
      </c>
    </row>
    <row r="5747" spans="1:9" x14ac:dyDescent="0.25">
      <c r="A5747">
        <v>20140123</v>
      </c>
      <c r="B5747" t="str">
        <f t="shared" si="371"/>
        <v>113765</v>
      </c>
      <c r="C5747" t="str">
        <f t="shared" si="372"/>
        <v>25516</v>
      </c>
      <c r="D5747" t="s">
        <v>529</v>
      </c>
      <c r="E5747">
        <v>537.94000000000005</v>
      </c>
      <c r="F5747">
        <v>20140122</v>
      </c>
      <c r="G5747" t="s">
        <v>484</v>
      </c>
      <c r="H5747" t="s">
        <v>414</v>
      </c>
      <c r="I5747" t="s">
        <v>21</v>
      </c>
    </row>
    <row r="5748" spans="1:9" x14ac:dyDescent="0.25">
      <c r="A5748">
        <v>20140123</v>
      </c>
      <c r="B5748" t="str">
        <f t="shared" si="371"/>
        <v>113765</v>
      </c>
      <c r="C5748" t="str">
        <f t="shared" si="372"/>
        <v>25516</v>
      </c>
      <c r="D5748" t="s">
        <v>529</v>
      </c>
      <c r="E5748">
        <v>997.19</v>
      </c>
      <c r="F5748">
        <v>20140122</v>
      </c>
      <c r="G5748" t="s">
        <v>485</v>
      </c>
      <c r="H5748" t="s">
        <v>414</v>
      </c>
      <c r="I5748" t="s">
        <v>21</v>
      </c>
    </row>
    <row r="5749" spans="1:9" x14ac:dyDescent="0.25">
      <c r="A5749">
        <v>20140123</v>
      </c>
      <c r="B5749" t="str">
        <f t="shared" si="371"/>
        <v>113765</v>
      </c>
      <c r="C5749" t="str">
        <f t="shared" si="372"/>
        <v>25516</v>
      </c>
      <c r="D5749" t="s">
        <v>529</v>
      </c>
      <c r="E5749" s="1">
        <v>1115.45</v>
      </c>
      <c r="F5749">
        <v>20140122</v>
      </c>
      <c r="G5749" t="s">
        <v>415</v>
      </c>
      <c r="H5749" t="s">
        <v>414</v>
      </c>
      <c r="I5749" t="s">
        <v>21</v>
      </c>
    </row>
    <row r="5750" spans="1:9" x14ac:dyDescent="0.25">
      <c r="A5750">
        <v>20140123</v>
      </c>
      <c r="B5750" t="str">
        <f t="shared" si="371"/>
        <v>113765</v>
      </c>
      <c r="C5750" t="str">
        <f t="shared" si="372"/>
        <v>25516</v>
      </c>
      <c r="D5750" t="s">
        <v>529</v>
      </c>
      <c r="E5750">
        <v>252.42</v>
      </c>
      <c r="F5750">
        <v>20140122</v>
      </c>
      <c r="G5750" t="s">
        <v>627</v>
      </c>
      <c r="H5750" t="s">
        <v>414</v>
      </c>
      <c r="I5750" t="s">
        <v>21</v>
      </c>
    </row>
    <row r="5751" spans="1:9" x14ac:dyDescent="0.25">
      <c r="A5751">
        <v>20140123</v>
      </c>
      <c r="B5751" t="str">
        <f t="shared" si="371"/>
        <v>113765</v>
      </c>
      <c r="C5751" t="str">
        <f t="shared" si="372"/>
        <v>25516</v>
      </c>
      <c r="D5751" t="s">
        <v>529</v>
      </c>
      <c r="E5751">
        <v>87.6</v>
      </c>
      <c r="F5751">
        <v>20140122</v>
      </c>
      <c r="G5751" t="s">
        <v>530</v>
      </c>
      <c r="H5751" t="s">
        <v>414</v>
      </c>
      <c r="I5751" t="s">
        <v>21</v>
      </c>
    </row>
    <row r="5752" spans="1:9" x14ac:dyDescent="0.25">
      <c r="A5752">
        <v>20140123</v>
      </c>
      <c r="B5752" t="str">
        <f t="shared" si="371"/>
        <v>113765</v>
      </c>
      <c r="C5752" t="str">
        <f t="shared" si="372"/>
        <v>25516</v>
      </c>
      <c r="D5752" t="s">
        <v>529</v>
      </c>
      <c r="E5752">
        <v>61.68</v>
      </c>
      <c r="F5752">
        <v>20140122</v>
      </c>
      <c r="G5752" t="s">
        <v>392</v>
      </c>
      <c r="H5752" t="s">
        <v>414</v>
      </c>
      <c r="I5752" t="s">
        <v>21</v>
      </c>
    </row>
    <row r="5753" spans="1:9" x14ac:dyDescent="0.25">
      <c r="A5753">
        <v>20140123</v>
      </c>
      <c r="B5753" t="str">
        <f>"113766"</f>
        <v>113766</v>
      </c>
      <c r="C5753" t="str">
        <f>"87576"</f>
        <v>87576</v>
      </c>
      <c r="D5753" t="s">
        <v>1861</v>
      </c>
      <c r="E5753">
        <v>60</v>
      </c>
      <c r="F5753">
        <v>20140117</v>
      </c>
      <c r="G5753" t="s">
        <v>2802</v>
      </c>
      <c r="H5753" t="s">
        <v>790</v>
      </c>
      <c r="I5753" t="s">
        <v>21</v>
      </c>
    </row>
    <row r="5754" spans="1:9" x14ac:dyDescent="0.25">
      <c r="A5754">
        <v>20140123</v>
      </c>
      <c r="B5754" t="str">
        <f>"113767"</f>
        <v>113767</v>
      </c>
      <c r="C5754" t="str">
        <f>"25680"</f>
        <v>25680</v>
      </c>
      <c r="D5754" t="s">
        <v>818</v>
      </c>
      <c r="E5754">
        <v>52</v>
      </c>
      <c r="F5754">
        <v>20140117</v>
      </c>
      <c r="G5754" t="s">
        <v>1052</v>
      </c>
      <c r="H5754" t="s">
        <v>820</v>
      </c>
      <c r="I5754" t="s">
        <v>25</v>
      </c>
    </row>
    <row r="5755" spans="1:9" x14ac:dyDescent="0.25">
      <c r="A5755">
        <v>20140123</v>
      </c>
      <c r="B5755" t="str">
        <f>"113768"</f>
        <v>113768</v>
      </c>
      <c r="C5755" t="str">
        <f>"25715"</f>
        <v>25715</v>
      </c>
      <c r="D5755" t="s">
        <v>3022</v>
      </c>
      <c r="E5755">
        <v>199</v>
      </c>
      <c r="F5755">
        <v>20140117</v>
      </c>
      <c r="G5755" t="s">
        <v>2801</v>
      </c>
      <c r="H5755" t="s">
        <v>3023</v>
      </c>
      <c r="I5755" t="s">
        <v>21</v>
      </c>
    </row>
    <row r="5756" spans="1:9" x14ac:dyDescent="0.25">
      <c r="A5756">
        <v>20140123</v>
      </c>
      <c r="B5756" t="str">
        <f>"113769"</f>
        <v>113769</v>
      </c>
      <c r="C5756" t="str">
        <f>"87710"</f>
        <v>87710</v>
      </c>
      <c r="D5756" t="s">
        <v>3024</v>
      </c>
      <c r="E5756">
        <v>120</v>
      </c>
      <c r="F5756">
        <v>20140122</v>
      </c>
      <c r="G5756" t="s">
        <v>2820</v>
      </c>
      <c r="H5756" t="s">
        <v>765</v>
      </c>
      <c r="I5756" t="s">
        <v>61</v>
      </c>
    </row>
    <row r="5757" spans="1:9" x14ac:dyDescent="0.25">
      <c r="A5757">
        <v>20140123</v>
      </c>
      <c r="B5757" t="str">
        <f>"113770"</f>
        <v>113770</v>
      </c>
      <c r="C5757" t="str">
        <f>"28015"</f>
        <v>28015</v>
      </c>
      <c r="D5757" t="s">
        <v>1234</v>
      </c>
      <c r="E5757">
        <v>634.38</v>
      </c>
      <c r="F5757">
        <v>20140117</v>
      </c>
      <c r="G5757" t="s">
        <v>890</v>
      </c>
      <c r="H5757" t="s">
        <v>921</v>
      </c>
      <c r="I5757" t="s">
        <v>21</v>
      </c>
    </row>
    <row r="5758" spans="1:9" x14ac:dyDescent="0.25">
      <c r="A5758">
        <v>20140123</v>
      </c>
      <c r="B5758" t="str">
        <f>"113771"</f>
        <v>113771</v>
      </c>
      <c r="C5758" t="str">
        <f>"28060"</f>
        <v>28060</v>
      </c>
      <c r="D5758" t="s">
        <v>1585</v>
      </c>
      <c r="E5758">
        <v>46.56</v>
      </c>
      <c r="F5758">
        <v>20140122</v>
      </c>
      <c r="G5758" t="s">
        <v>140</v>
      </c>
      <c r="H5758" t="s">
        <v>3025</v>
      </c>
      <c r="I5758" t="s">
        <v>25</v>
      </c>
    </row>
    <row r="5759" spans="1:9" x14ac:dyDescent="0.25">
      <c r="A5759">
        <v>20140123</v>
      </c>
      <c r="B5759" t="str">
        <f>"113772"</f>
        <v>113772</v>
      </c>
      <c r="C5759" t="str">
        <f>"00088"</f>
        <v>00088</v>
      </c>
      <c r="D5759" t="s">
        <v>2350</v>
      </c>
      <c r="E5759">
        <v>500</v>
      </c>
      <c r="F5759">
        <v>20140122</v>
      </c>
      <c r="G5759" t="s">
        <v>347</v>
      </c>
      <c r="H5759" t="s">
        <v>361</v>
      </c>
      <c r="I5759" t="s">
        <v>61</v>
      </c>
    </row>
    <row r="5760" spans="1:9" x14ac:dyDescent="0.25">
      <c r="A5760">
        <v>20140123</v>
      </c>
      <c r="B5760" t="str">
        <f t="shared" ref="B5760:B5765" si="373">"113773"</f>
        <v>113773</v>
      </c>
      <c r="C5760" t="str">
        <f t="shared" ref="C5760:C5765" si="374">"00116"</f>
        <v>00116</v>
      </c>
      <c r="D5760" t="s">
        <v>3026</v>
      </c>
      <c r="E5760">
        <v>125</v>
      </c>
      <c r="F5760">
        <v>20140117</v>
      </c>
      <c r="G5760" t="s">
        <v>347</v>
      </c>
      <c r="H5760" t="s">
        <v>361</v>
      </c>
      <c r="I5760" t="s">
        <v>61</v>
      </c>
    </row>
    <row r="5761" spans="1:9" x14ac:dyDescent="0.25">
      <c r="A5761">
        <v>20140123</v>
      </c>
      <c r="B5761" t="str">
        <f t="shared" si="373"/>
        <v>113773</v>
      </c>
      <c r="C5761" t="str">
        <f t="shared" si="374"/>
        <v>00116</v>
      </c>
      <c r="D5761" t="s">
        <v>3026</v>
      </c>
      <c r="E5761">
        <v>150</v>
      </c>
      <c r="F5761">
        <v>20140117</v>
      </c>
      <c r="G5761" t="s">
        <v>347</v>
      </c>
      <c r="H5761" t="s">
        <v>361</v>
      </c>
      <c r="I5761" t="s">
        <v>61</v>
      </c>
    </row>
    <row r="5762" spans="1:9" x14ac:dyDescent="0.25">
      <c r="A5762">
        <v>20140123</v>
      </c>
      <c r="B5762" t="str">
        <f t="shared" si="373"/>
        <v>113773</v>
      </c>
      <c r="C5762" t="str">
        <f t="shared" si="374"/>
        <v>00116</v>
      </c>
      <c r="D5762" t="s">
        <v>3026</v>
      </c>
      <c r="E5762">
        <v>150</v>
      </c>
      <c r="F5762">
        <v>20140117</v>
      </c>
      <c r="G5762" t="s">
        <v>347</v>
      </c>
      <c r="H5762" t="s">
        <v>361</v>
      </c>
      <c r="I5762" t="s">
        <v>61</v>
      </c>
    </row>
    <row r="5763" spans="1:9" x14ac:dyDescent="0.25">
      <c r="A5763">
        <v>20140123</v>
      </c>
      <c r="B5763" t="str">
        <f t="shared" si="373"/>
        <v>113773</v>
      </c>
      <c r="C5763" t="str">
        <f t="shared" si="374"/>
        <v>00116</v>
      </c>
      <c r="D5763" t="s">
        <v>3026</v>
      </c>
      <c r="E5763">
        <v>150</v>
      </c>
      <c r="F5763">
        <v>20140117</v>
      </c>
      <c r="G5763" t="s">
        <v>347</v>
      </c>
      <c r="H5763" t="s">
        <v>361</v>
      </c>
      <c r="I5763" t="s">
        <v>61</v>
      </c>
    </row>
    <row r="5764" spans="1:9" x14ac:dyDescent="0.25">
      <c r="A5764">
        <v>20140123</v>
      </c>
      <c r="B5764" t="str">
        <f t="shared" si="373"/>
        <v>113773</v>
      </c>
      <c r="C5764" t="str">
        <f t="shared" si="374"/>
        <v>00116</v>
      </c>
      <c r="D5764" t="s">
        <v>3026</v>
      </c>
      <c r="E5764">
        <v>175</v>
      </c>
      <c r="F5764">
        <v>20140117</v>
      </c>
      <c r="G5764" t="s">
        <v>347</v>
      </c>
      <c r="H5764" t="s">
        <v>361</v>
      </c>
      <c r="I5764" t="s">
        <v>61</v>
      </c>
    </row>
    <row r="5765" spans="1:9" x14ac:dyDescent="0.25">
      <c r="A5765">
        <v>20140123</v>
      </c>
      <c r="B5765" t="str">
        <f t="shared" si="373"/>
        <v>113773</v>
      </c>
      <c r="C5765" t="str">
        <f t="shared" si="374"/>
        <v>00116</v>
      </c>
      <c r="D5765" t="s">
        <v>3026</v>
      </c>
      <c r="E5765">
        <v>150</v>
      </c>
      <c r="F5765">
        <v>20140117</v>
      </c>
      <c r="G5765" t="s">
        <v>347</v>
      </c>
      <c r="H5765" t="s">
        <v>361</v>
      </c>
      <c r="I5765" t="s">
        <v>61</v>
      </c>
    </row>
    <row r="5766" spans="1:9" x14ac:dyDescent="0.25">
      <c r="A5766">
        <v>20140123</v>
      </c>
      <c r="B5766" t="str">
        <f>"113774"</f>
        <v>113774</v>
      </c>
      <c r="C5766" t="str">
        <f>"87683"</f>
        <v>87683</v>
      </c>
      <c r="D5766" t="s">
        <v>2841</v>
      </c>
      <c r="E5766">
        <v>90</v>
      </c>
      <c r="F5766">
        <v>20140122</v>
      </c>
      <c r="G5766" t="s">
        <v>2820</v>
      </c>
      <c r="H5766" t="s">
        <v>765</v>
      </c>
      <c r="I5766" t="s">
        <v>61</v>
      </c>
    </row>
    <row r="5767" spans="1:9" x14ac:dyDescent="0.25">
      <c r="A5767">
        <v>20140123</v>
      </c>
      <c r="B5767" t="str">
        <f>"113775"</f>
        <v>113775</v>
      </c>
      <c r="C5767" t="str">
        <f>"29600"</f>
        <v>29600</v>
      </c>
      <c r="D5767" t="s">
        <v>3027</v>
      </c>
      <c r="E5767">
        <v>41.95</v>
      </c>
      <c r="F5767">
        <v>20140122</v>
      </c>
      <c r="G5767" t="s">
        <v>935</v>
      </c>
      <c r="H5767" t="s">
        <v>3028</v>
      </c>
      <c r="I5767" t="s">
        <v>21</v>
      </c>
    </row>
    <row r="5768" spans="1:9" x14ac:dyDescent="0.25">
      <c r="A5768">
        <v>20140123</v>
      </c>
      <c r="B5768" t="str">
        <f>"113776"</f>
        <v>113776</v>
      </c>
      <c r="C5768" t="str">
        <f>"30000"</f>
        <v>30000</v>
      </c>
      <c r="D5768" t="s">
        <v>556</v>
      </c>
      <c r="E5768">
        <v>160.94999999999999</v>
      </c>
      <c r="F5768">
        <v>20140122</v>
      </c>
      <c r="G5768" t="s">
        <v>3029</v>
      </c>
      <c r="H5768" t="s">
        <v>3030</v>
      </c>
      <c r="I5768" t="s">
        <v>21</v>
      </c>
    </row>
    <row r="5769" spans="1:9" x14ac:dyDescent="0.25">
      <c r="A5769">
        <v>20140123</v>
      </c>
      <c r="B5769" t="str">
        <f>"113776"</f>
        <v>113776</v>
      </c>
      <c r="C5769" t="str">
        <f>"30000"</f>
        <v>30000</v>
      </c>
      <c r="D5769" t="s">
        <v>556</v>
      </c>
      <c r="E5769">
        <v>73.87</v>
      </c>
      <c r="F5769">
        <v>20140122</v>
      </c>
      <c r="G5769" t="s">
        <v>1071</v>
      </c>
      <c r="H5769" t="s">
        <v>3031</v>
      </c>
      <c r="I5769" t="s">
        <v>21</v>
      </c>
    </row>
    <row r="5770" spans="1:9" x14ac:dyDescent="0.25">
      <c r="A5770">
        <v>20140123</v>
      </c>
      <c r="B5770" t="str">
        <f>"113777"</f>
        <v>113777</v>
      </c>
      <c r="C5770" t="str">
        <f>"87707"</f>
        <v>87707</v>
      </c>
      <c r="D5770" t="s">
        <v>3032</v>
      </c>
      <c r="E5770">
        <v>499</v>
      </c>
      <c r="F5770">
        <v>20140122</v>
      </c>
      <c r="G5770" t="s">
        <v>39</v>
      </c>
      <c r="H5770" t="s">
        <v>553</v>
      </c>
      <c r="I5770" t="s">
        <v>38</v>
      </c>
    </row>
    <row r="5771" spans="1:9" x14ac:dyDescent="0.25">
      <c r="A5771">
        <v>20140123</v>
      </c>
      <c r="B5771" t="str">
        <f>"113778"</f>
        <v>113778</v>
      </c>
      <c r="C5771" t="str">
        <f>"80893"</f>
        <v>80893</v>
      </c>
      <c r="D5771" t="s">
        <v>3033</v>
      </c>
      <c r="E5771">
        <v>325.5</v>
      </c>
      <c r="F5771">
        <v>20140122</v>
      </c>
      <c r="G5771" t="s">
        <v>2149</v>
      </c>
      <c r="H5771" t="s">
        <v>1971</v>
      </c>
      <c r="I5771" t="s">
        <v>25</v>
      </c>
    </row>
    <row r="5772" spans="1:9" x14ac:dyDescent="0.25">
      <c r="A5772">
        <v>20140123</v>
      </c>
      <c r="B5772" t="str">
        <f>"113779"</f>
        <v>113779</v>
      </c>
      <c r="C5772" t="str">
        <f>"87223"</f>
        <v>87223</v>
      </c>
      <c r="D5772" t="s">
        <v>3034</v>
      </c>
      <c r="E5772">
        <v>90</v>
      </c>
      <c r="F5772">
        <v>20140122</v>
      </c>
      <c r="G5772" t="s">
        <v>2820</v>
      </c>
      <c r="H5772" t="s">
        <v>765</v>
      </c>
      <c r="I5772" t="s">
        <v>61</v>
      </c>
    </row>
    <row r="5773" spans="1:9" x14ac:dyDescent="0.25">
      <c r="A5773">
        <v>20140123</v>
      </c>
      <c r="B5773" t="str">
        <f>"113780"</f>
        <v>113780</v>
      </c>
      <c r="C5773" t="str">
        <f>"31570"</f>
        <v>31570</v>
      </c>
      <c r="D5773" t="s">
        <v>1244</v>
      </c>
      <c r="E5773">
        <v>43.76</v>
      </c>
      <c r="F5773">
        <v>20140122</v>
      </c>
      <c r="G5773" t="s">
        <v>140</v>
      </c>
      <c r="H5773" t="s">
        <v>414</v>
      </c>
      <c r="I5773" t="s">
        <v>25</v>
      </c>
    </row>
    <row r="5774" spans="1:9" x14ac:dyDescent="0.25">
      <c r="A5774">
        <v>20140123</v>
      </c>
      <c r="B5774" t="str">
        <f>"113781"</f>
        <v>113781</v>
      </c>
      <c r="C5774" t="str">
        <f>"87352"</f>
        <v>87352</v>
      </c>
      <c r="D5774" t="s">
        <v>1602</v>
      </c>
      <c r="E5774" s="1">
        <v>11089</v>
      </c>
      <c r="F5774">
        <v>20140122</v>
      </c>
      <c r="G5774" t="s">
        <v>48</v>
      </c>
      <c r="H5774" t="s">
        <v>3035</v>
      </c>
      <c r="I5774" t="s">
        <v>25</v>
      </c>
    </row>
    <row r="5775" spans="1:9" x14ac:dyDescent="0.25">
      <c r="A5775">
        <v>20140123</v>
      </c>
      <c r="B5775" t="str">
        <f>"113782"</f>
        <v>113782</v>
      </c>
      <c r="C5775" t="str">
        <f>"84980"</f>
        <v>84980</v>
      </c>
      <c r="D5775" t="s">
        <v>591</v>
      </c>
      <c r="E5775">
        <v>5.5</v>
      </c>
      <c r="F5775">
        <v>20140117</v>
      </c>
      <c r="G5775" t="s">
        <v>577</v>
      </c>
      <c r="H5775" t="s">
        <v>3036</v>
      </c>
      <c r="I5775" t="s">
        <v>21</v>
      </c>
    </row>
    <row r="5776" spans="1:9" x14ac:dyDescent="0.25">
      <c r="A5776">
        <v>20140123</v>
      </c>
      <c r="B5776" t="str">
        <f>"113782"</f>
        <v>113782</v>
      </c>
      <c r="C5776" t="str">
        <f>"84980"</f>
        <v>84980</v>
      </c>
      <c r="D5776" t="s">
        <v>591</v>
      </c>
      <c r="E5776">
        <v>34.6</v>
      </c>
      <c r="F5776">
        <v>20140117</v>
      </c>
      <c r="G5776" t="s">
        <v>704</v>
      </c>
      <c r="H5776" t="s">
        <v>3037</v>
      </c>
      <c r="I5776" t="s">
        <v>21</v>
      </c>
    </row>
    <row r="5777" spans="1:9" x14ac:dyDescent="0.25">
      <c r="A5777">
        <v>20140123</v>
      </c>
      <c r="B5777" t="str">
        <f>"113783"</f>
        <v>113783</v>
      </c>
      <c r="C5777" t="str">
        <f>"00618"</f>
        <v>00618</v>
      </c>
      <c r="D5777" t="s">
        <v>3038</v>
      </c>
      <c r="E5777">
        <v>852</v>
      </c>
      <c r="F5777">
        <v>20140117</v>
      </c>
      <c r="G5777" t="s">
        <v>3039</v>
      </c>
      <c r="H5777" t="s">
        <v>3040</v>
      </c>
      <c r="I5777" t="s">
        <v>61</v>
      </c>
    </row>
    <row r="5778" spans="1:9" x14ac:dyDescent="0.25">
      <c r="A5778">
        <v>20140123</v>
      </c>
      <c r="B5778" t="str">
        <f>"113784"</f>
        <v>113784</v>
      </c>
      <c r="C5778" t="str">
        <f>"87615"</f>
        <v>87615</v>
      </c>
      <c r="D5778" t="s">
        <v>2371</v>
      </c>
      <c r="E5778">
        <v>150</v>
      </c>
      <c r="F5778">
        <v>20140122</v>
      </c>
      <c r="G5778" t="s">
        <v>1049</v>
      </c>
      <c r="H5778" t="s">
        <v>2372</v>
      </c>
      <c r="I5778" t="s">
        <v>21</v>
      </c>
    </row>
    <row r="5779" spans="1:9" x14ac:dyDescent="0.25">
      <c r="A5779">
        <v>20140123</v>
      </c>
      <c r="B5779" t="str">
        <f>"113785"</f>
        <v>113785</v>
      </c>
      <c r="C5779" t="str">
        <f>"86199"</f>
        <v>86199</v>
      </c>
      <c r="D5779" t="s">
        <v>3041</v>
      </c>
      <c r="E5779">
        <v>153</v>
      </c>
      <c r="F5779">
        <v>20140117</v>
      </c>
      <c r="G5779" t="s">
        <v>3042</v>
      </c>
      <c r="H5779" t="s">
        <v>921</v>
      </c>
      <c r="I5779" t="s">
        <v>21</v>
      </c>
    </row>
    <row r="5780" spans="1:9" x14ac:dyDescent="0.25">
      <c r="A5780">
        <v>20140123</v>
      </c>
      <c r="B5780" t="str">
        <f>"113785"</f>
        <v>113785</v>
      </c>
      <c r="C5780" t="str">
        <f>"86199"</f>
        <v>86199</v>
      </c>
      <c r="D5780" t="s">
        <v>3041</v>
      </c>
      <c r="E5780">
        <v>199.2</v>
      </c>
      <c r="F5780">
        <v>20140117</v>
      </c>
      <c r="G5780" t="s">
        <v>124</v>
      </c>
      <c r="H5780" t="s">
        <v>921</v>
      </c>
      <c r="I5780" t="s">
        <v>38</v>
      </c>
    </row>
    <row r="5781" spans="1:9" x14ac:dyDescent="0.25">
      <c r="A5781">
        <v>20140123</v>
      </c>
      <c r="B5781" t="str">
        <f>"113786"</f>
        <v>113786</v>
      </c>
      <c r="C5781" t="str">
        <f>"86199"</f>
        <v>86199</v>
      </c>
      <c r="D5781" t="s">
        <v>3041</v>
      </c>
      <c r="E5781">
        <v>394.41</v>
      </c>
      <c r="F5781">
        <v>20140117</v>
      </c>
      <c r="G5781" t="s">
        <v>3043</v>
      </c>
      <c r="H5781" t="s">
        <v>921</v>
      </c>
      <c r="I5781" t="s">
        <v>21</v>
      </c>
    </row>
    <row r="5782" spans="1:9" x14ac:dyDescent="0.25">
      <c r="A5782">
        <v>20140123</v>
      </c>
      <c r="B5782" t="str">
        <f>"113787"</f>
        <v>113787</v>
      </c>
      <c r="C5782" t="str">
        <f>"82704"</f>
        <v>82704</v>
      </c>
      <c r="D5782" t="s">
        <v>2217</v>
      </c>
      <c r="E5782">
        <v>903</v>
      </c>
      <c r="F5782">
        <v>20140122</v>
      </c>
      <c r="G5782" t="s">
        <v>404</v>
      </c>
      <c r="H5782" t="s">
        <v>2218</v>
      </c>
      <c r="I5782" t="s">
        <v>12</v>
      </c>
    </row>
    <row r="5783" spans="1:9" x14ac:dyDescent="0.25">
      <c r="A5783">
        <v>20140123</v>
      </c>
      <c r="B5783" t="str">
        <f>"113788"</f>
        <v>113788</v>
      </c>
      <c r="C5783" t="str">
        <f>"85876"</f>
        <v>85876</v>
      </c>
      <c r="D5783" t="s">
        <v>3044</v>
      </c>
      <c r="E5783">
        <v>27.93</v>
      </c>
      <c r="F5783">
        <v>20140122</v>
      </c>
      <c r="G5783" t="s">
        <v>1981</v>
      </c>
      <c r="H5783" t="s">
        <v>354</v>
      </c>
      <c r="I5783" t="s">
        <v>38</v>
      </c>
    </row>
    <row r="5784" spans="1:9" x14ac:dyDescent="0.25">
      <c r="A5784">
        <v>20140123</v>
      </c>
      <c r="B5784" t="str">
        <f>"113789"</f>
        <v>113789</v>
      </c>
      <c r="C5784" t="str">
        <f>"87708"</f>
        <v>87708</v>
      </c>
      <c r="D5784" t="s">
        <v>3045</v>
      </c>
      <c r="E5784">
        <v>30</v>
      </c>
      <c r="F5784">
        <v>20140122</v>
      </c>
      <c r="G5784" t="s">
        <v>2820</v>
      </c>
      <c r="H5784" t="s">
        <v>765</v>
      </c>
      <c r="I5784" t="s">
        <v>61</v>
      </c>
    </row>
    <row r="5785" spans="1:9" x14ac:dyDescent="0.25">
      <c r="A5785">
        <v>20140123</v>
      </c>
      <c r="B5785" t="str">
        <f>"113790"</f>
        <v>113790</v>
      </c>
      <c r="C5785" t="str">
        <f>"85840"</f>
        <v>85840</v>
      </c>
      <c r="D5785" t="s">
        <v>2858</v>
      </c>
      <c r="E5785">
        <v>175</v>
      </c>
      <c r="F5785">
        <v>20140117</v>
      </c>
      <c r="G5785" t="s">
        <v>347</v>
      </c>
      <c r="H5785" t="s">
        <v>361</v>
      </c>
      <c r="I5785" t="s">
        <v>61</v>
      </c>
    </row>
    <row r="5786" spans="1:9" x14ac:dyDescent="0.25">
      <c r="A5786">
        <v>20140123</v>
      </c>
      <c r="B5786" t="str">
        <f>"113791"</f>
        <v>113791</v>
      </c>
      <c r="C5786" t="str">
        <f>"84161"</f>
        <v>84161</v>
      </c>
      <c r="D5786" t="s">
        <v>1767</v>
      </c>
      <c r="E5786">
        <v>55.49</v>
      </c>
      <c r="F5786">
        <v>20140117</v>
      </c>
      <c r="G5786" t="s">
        <v>810</v>
      </c>
      <c r="H5786" t="s">
        <v>365</v>
      </c>
      <c r="I5786" t="s">
        <v>66</v>
      </c>
    </row>
    <row r="5787" spans="1:9" x14ac:dyDescent="0.25">
      <c r="A5787">
        <v>20140123</v>
      </c>
      <c r="B5787" t="str">
        <f>"113792"</f>
        <v>113792</v>
      </c>
      <c r="C5787" t="str">
        <f>"00267"</f>
        <v>00267</v>
      </c>
      <c r="D5787" t="s">
        <v>2000</v>
      </c>
      <c r="E5787">
        <v>487.23</v>
      </c>
      <c r="F5787">
        <v>20140122</v>
      </c>
      <c r="G5787" t="s">
        <v>1721</v>
      </c>
      <c r="H5787" t="s">
        <v>921</v>
      </c>
      <c r="I5787" t="s">
        <v>21</v>
      </c>
    </row>
    <row r="5788" spans="1:9" x14ac:dyDescent="0.25">
      <c r="A5788">
        <v>20140123</v>
      </c>
      <c r="B5788" t="str">
        <f>"113793"</f>
        <v>113793</v>
      </c>
      <c r="C5788" t="str">
        <f>"00267"</f>
        <v>00267</v>
      </c>
      <c r="D5788" t="s">
        <v>2000</v>
      </c>
      <c r="E5788">
        <v>233.26</v>
      </c>
      <c r="F5788">
        <v>20140122</v>
      </c>
      <c r="G5788" t="s">
        <v>2495</v>
      </c>
      <c r="H5788" t="s">
        <v>921</v>
      </c>
      <c r="I5788" t="s">
        <v>21</v>
      </c>
    </row>
    <row r="5789" spans="1:9" x14ac:dyDescent="0.25">
      <c r="A5789">
        <v>20140123</v>
      </c>
      <c r="B5789" t="str">
        <f>"113794"</f>
        <v>113794</v>
      </c>
      <c r="C5789" t="str">
        <f>"00267"</f>
        <v>00267</v>
      </c>
      <c r="D5789" t="s">
        <v>2000</v>
      </c>
      <c r="E5789">
        <v>188.26</v>
      </c>
      <c r="F5789">
        <v>20140122</v>
      </c>
      <c r="G5789" t="s">
        <v>2495</v>
      </c>
      <c r="H5789" t="s">
        <v>921</v>
      </c>
      <c r="I5789" t="s">
        <v>21</v>
      </c>
    </row>
    <row r="5790" spans="1:9" x14ac:dyDescent="0.25">
      <c r="A5790">
        <v>20140123</v>
      </c>
      <c r="B5790" t="str">
        <f>"113795"</f>
        <v>113795</v>
      </c>
      <c r="C5790" t="str">
        <f>"82732"</f>
        <v>82732</v>
      </c>
      <c r="D5790" t="s">
        <v>1453</v>
      </c>
      <c r="E5790">
        <v>280</v>
      </c>
      <c r="F5790">
        <v>20140117</v>
      </c>
      <c r="G5790" t="s">
        <v>1454</v>
      </c>
      <c r="H5790" t="s">
        <v>1455</v>
      </c>
      <c r="I5790" t="s">
        <v>21</v>
      </c>
    </row>
    <row r="5791" spans="1:9" x14ac:dyDescent="0.25">
      <c r="A5791">
        <v>20140123</v>
      </c>
      <c r="B5791" t="str">
        <f>"113796"</f>
        <v>113796</v>
      </c>
      <c r="C5791" t="str">
        <f>"43795"</f>
        <v>43795</v>
      </c>
      <c r="D5791" t="s">
        <v>3046</v>
      </c>
      <c r="E5791">
        <v>70</v>
      </c>
      <c r="F5791">
        <v>20140117</v>
      </c>
      <c r="G5791" t="s">
        <v>1153</v>
      </c>
      <c r="H5791" t="s">
        <v>3047</v>
      </c>
      <c r="I5791" t="s">
        <v>61</v>
      </c>
    </row>
    <row r="5792" spans="1:9" x14ac:dyDescent="0.25">
      <c r="A5792">
        <v>20140123</v>
      </c>
      <c r="B5792" t="str">
        <f>"113797"</f>
        <v>113797</v>
      </c>
      <c r="C5792" t="str">
        <f>"81400"</f>
        <v>81400</v>
      </c>
      <c r="D5792" t="s">
        <v>3048</v>
      </c>
      <c r="E5792">
        <v>150</v>
      </c>
      <c r="F5792">
        <v>20140117</v>
      </c>
      <c r="G5792" t="s">
        <v>347</v>
      </c>
      <c r="H5792" t="s">
        <v>361</v>
      </c>
      <c r="I5792" t="s">
        <v>61</v>
      </c>
    </row>
    <row r="5793" spans="1:9" x14ac:dyDescent="0.25">
      <c r="A5793">
        <v>20140123</v>
      </c>
      <c r="B5793" t="str">
        <f>"113798"</f>
        <v>113798</v>
      </c>
      <c r="C5793" t="str">
        <f>"81282"</f>
        <v>81282</v>
      </c>
      <c r="D5793" t="s">
        <v>1262</v>
      </c>
      <c r="E5793">
        <v>232.57</v>
      </c>
      <c r="F5793">
        <v>20140117</v>
      </c>
      <c r="G5793" t="s">
        <v>2188</v>
      </c>
      <c r="H5793" t="s">
        <v>921</v>
      </c>
      <c r="I5793" t="s">
        <v>21</v>
      </c>
    </row>
    <row r="5794" spans="1:9" x14ac:dyDescent="0.25">
      <c r="A5794">
        <v>20140123</v>
      </c>
      <c r="B5794" t="str">
        <f>"113798"</f>
        <v>113798</v>
      </c>
      <c r="C5794" t="str">
        <f>"81282"</f>
        <v>81282</v>
      </c>
      <c r="D5794" t="s">
        <v>1262</v>
      </c>
      <c r="E5794">
        <v>365.48</v>
      </c>
      <c r="F5794">
        <v>20140117</v>
      </c>
      <c r="G5794" t="s">
        <v>438</v>
      </c>
      <c r="H5794" t="s">
        <v>921</v>
      </c>
      <c r="I5794" t="s">
        <v>66</v>
      </c>
    </row>
    <row r="5795" spans="1:9" x14ac:dyDescent="0.25">
      <c r="A5795">
        <v>20140123</v>
      </c>
      <c r="B5795" t="str">
        <f>"113799"</f>
        <v>113799</v>
      </c>
      <c r="C5795" t="str">
        <f>"84067"</f>
        <v>84067</v>
      </c>
      <c r="D5795" t="s">
        <v>1892</v>
      </c>
      <c r="E5795">
        <v>100</v>
      </c>
      <c r="F5795">
        <v>20140117</v>
      </c>
      <c r="G5795" t="s">
        <v>1893</v>
      </c>
      <c r="H5795" t="s">
        <v>1894</v>
      </c>
      <c r="I5795" t="s">
        <v>21</v>
      </c>
    </row>
    <row r="5796" spans="1:9" x14ac:dyDescent="0.25">
      <c r="A5796">
        <v>20140123</v>
      </c>
      <c r="B5796" t="str">
        <f>"113800"</f>
        <v>113800</v>
      </c>
      <c r="C5796" t="str">
        <f>"83125"</f>
        <v>83125</v>
      </c>
      <c r="D5796" t="s">
        <v>3049</v>
      </c>
      <c r="E5796">
        <v>630</v>
      </c>
      <c r="F5796">
        <v>20140122</v>
      </c>
      <c r="G5796" t="s">
        <v>191</v>
      </c>
      <c r="H5796" t="s">
        <v>357</v>
      </c>
      <c r="I5796" t="s">
        <v>25</v>
      </c>
    </row>
    <row r="5797" spans="1:9" x14ac:dyDescent="0.25">
      <c r="A5797">
        <v>20140123</v>
      </c>
      <c r="B5797" t="str">
        <f>"113801"</f>
        <v>113801</v>
      </c>
      <c r="C5797" t="str">
        <f>"81788"</f>
        <v>81788</v>
      </c>
      <c r="D5797" t="s">
        <v>1104</v>
      </c>
      <c r="E5797">
        <v>291.89999999999998</v>
      </c>
      <c r="F5797">
        <v>20140122</v>
      </c>
      <c r="G5797" t="s">
        <v>583</v>
      </c>
      <c r="H5797" t="s">
        <v>3050</v>
      </c>
      <c r="I5797" t="s">
        <v>21</v>
      </c>
    </row>
    <row r="5798" spans="1:9" x14ac:dyDescent="0.25">
      <c r="A5798">
        <v>20140123</v>
      </c>
      <c r="B5798" t="str">
        <f>"113802"</f>
        <v>113802</v>
      </c>
      <c r="C5798" t="str">
        <f>"48000"</f>
        <v>48000</v>
      </c>
      <c r="D5798" t="s">
        <v>3051</v>
      </c>
      <c r="E5798">
        <v>600</v>
      </c>
      <c r="F5798">
        <v>20140122</v>
      </c>
      <c r="G5798" t="s">
        <v>347</v>
      </c>
      <c r="H5798" t="s">
        <v>361</v>
      </c>
      <c r="I5798" t="s">
        <v>61</v>
      </c>
    </row>
    <row r="5799" spans="1:9" x14ac:dyDescent="0.25">
      <c r="A5799">
        <v>20140123</v>
      </c>
      <c r="B5799" t="str">
        <f>"113803"</f>
        <v>113803</v>
      </c>
      <c r="C5799" t="str">
        <f>"86359"</f>
        <v>86359</v>
      </c>
      <c r="D5799" t="s">
        <v>3052</v>
      </c>
      <c r="E5799">
        <v>164.78</v>
      </c>
      <c r="F5799">
        <v>20140122</v>
      </c>
      <c r="G5799" t="s">
        <v>2495</v>
      </c>
      <c r="H5799" t="s">
        <v>921</v>
      </c>
      <c r="I5799" t="s">
        <v>21</v>
      </c>
    </row>
    <row r="5800" spans="1:9" x14ac:dyDescent="0.25">
      <c r="A5800">
        <v>20140123</v>
      </c>
      <c r="B5800" t="str">
        <f>"113804"</f>
        <v>113804</v>
      </c>
      <c r="C5800" t="str">
        <f>"48525"</f>
        <v>48525</v>
      </c>
      <c r="D5800" t="s">
        <v>3053</v>
      </c>
      <c r="E5800">
        <v>100</v>
      </c>
      <c r="F5800">
        <v>20140117</v>
      </c>
      <c r="G5800" t="s">
        <v>347</v>
      </c>
      <c r="H5800" t="s">
        <v>361</v>
      </c>
      <c r="I5800" t="s">
        <v>61</v>
      </c>
    </row>
    <row r="5801" spans="1:9" x14ac:dyDescent="0.25">
      <c r="A5801">
        <v>20140123</v>
      </c>
      <c r="B5801" t="str">
        <f>"113805"</f>
        <v>113805</v>
      </c>
      <c r="C5801" t="str">
        <f>"48820"</f>
        <v>48820</v>
      </c>
      <c r="D5801" t="s">
        <v>1106</v>
      </c>
      <c r="E5801">
        <v>101.87</v>
      </c>
      <c r="F5801">
        <v>20140122</v>
      </c>
      <c r="G5801" t="s">
        <v>1067</v>
      </c>
      <c r="H5801" t="s">
        <v>354</v>
      </c>
      <c r="I5801" t="s">
        <v>21</v>
      </c>
    </row>
    <row r="5802" spans="1:9" x14ac:dyDescent="0.25">
      <c r="A5802">
        <v>20140123</v>
      </c>
      <c r="B5802" t="str">
        <f>"113806"</f>
        <v>113806</v>
      </c>
      <c r="C5802" t="str">
        <f>"81137"</f>
        <v>81137</v>
      </c>
      <c r="D5802" t="s">
        <v>1266</v>
      </c>
      <c r="E5802" s="1">
        <v>7171</v>
      </c>
      <c r="F5802">
        <v>20140117</v>
      </c>
      <c r="G5802" t="s">
        <v>870</v>
      </c>
      <c r="H5802" t="s">
        <v>3054</v>
      </c>
      <c r="I5802" t="s">
        <v>21</v>
      </c>
    </row>
    <row r="5803" spans="1:9" x14ac:dyDescent="0.25">
      <c r="A5803">
        <v>20140123</v>
      </c>
      <c r="B5803" t="str">
        <f>"113806"</f>
        <v>113806</v>
      </c>
      <c r="C5803" t="str">
        <f>"81137"</f>
        <v>81137</v>
      </c>
      <c r="D5803" t="s">
        <v>1266</v>
      </c>
      <c r="E5803">
        <v>665</v>
      </c>
      <c r="F5803">
        <v>20140117</v>
      </c>
      <c r="G5803" t="s">
        <v>870</v>
      </c>
      <c r="H5803" t="s">
        <v>3054</v>
      </c>
      <c r="I5803" t="s">
        <v>21</v>
      </c>
    </row>
    <row r="5804" spans="1:9" x14ac:dyDescent="0.25">
      <c r="A5804">
        <v>20140123</v>
      </c>
      <c r="B5804" t="str">
        <f>"113806"</f>
        <v>113806</v>
      </c>
      <c r="C5804" t="str">
        <f>"81137"</f>
        <v>81137</v>
      </c>
      <c r="D5804" t="s">
        <v>1266</v>
      </c>
      <c r="E5804" s="1">
        <v>1550</v>
      </c>
      <c r="F5804">
        <v>20140117</v>
      </c>
      <c r="G5804" t="s">
        <v>870</v>
      </c>
      <c r="H5804" t="s">
        <v>3054</v>
      </c>
      <c r="I5804" t="s">
        <v>21</v>
      </c>
    </row>
    <row r="5805" spans="1:9" x14ac:dyDescent="0.25">
      <c r="A5805">
        <v>20140123</v>
      </c>
      <c r="B5805" t="str">
        <f>"113807"</f>
        <v>113807</v>
      </c>
      <c r="C5805" t="str">
        <f>"85760"</f>
        <v>85760</v>
      </c>
      <c r="D5805" t="s">
        <v>1485</v>
      </c>
      <c r="E5805">
        <v>9.8000000000000007</v>
      </c>
      <c r="F5805">
        <v>20140122</v>
      </c>
      <c r="G5805" t="s">
        <v>140</v>
      </c>
      <c r="H5805" t="s">
        <v>414</v>
      </c>
      <c r="I5805" t="s">
        <v>25</v>
      </c>
    </row>
    <row r="5806" spans="1:9" x14ac:dyDescent="0.25">
      <c r="A5806">
        <v>20140123</v>
      </c>
      <c r="B5806" t="str">
        <f>"113807"</f>
        <v>113807</v>
      </c>
      <c r="C5806" t="str">
        <f>"85760"</f>
        <v>85760</v>
      </c>
      <c r="D5806" t="s">
        <v>1485</v>
      </c>
      <c r="E5806">
        <v>22.3</v>
      </c>
      <c r="F5806">
        <v>20140122</v>
      </c>
      <c r="G5806" t="s">
        <v>140</v>
      </c>
      <c r="H5806" t="s">
        <v>414</v>
      </c>
      <c r="I5806" t="s">
        <v>25</v>
      </c>
    </row>
    <row r="5807" spans="1:9" x14ac:dyDescent="0.25">
      <c r="A5807">
        <v>20140123</v>
      </c>
      <c r="B5807" t="str">
        <f>"113808"</f>
        <v>113808</v>
      </c>
      <c r="C5807" t="str">
        <f>"85770"</f>
        <v>85770</v>
      </c>
      <c r="D5807" t="s">
        <v>363</v>
      </c>
      <c r="E5807">
        <v>23.58</v>
      </c>
      <c r="F5807">
        <v>20140122</v>
      </c>
      <c r="G5807" t="s">
        <v>364</v>
      </c>
      <c r="H5807" t="s">
        <v>563</v>
      </c>
      <c r="I5807" t="s">
        <v>21</v>
      </c>
    </row>
    <row r="5808" spans="1:9" x14ac:dyDescent="0.25">
      <c r="A5808">
        <v>20140123</v>
      </c>
      <c r="B5808" t="str">
        <f>"113808"</f>
        <v>113808</v>
      </c>
      <c r="C5808" t="str">
        <f>"85770"</f>
        <v>85770</v>
      </c>
      <c r="D5808" t="s">
        <v>363</v>
      </c>
      <c r="E5808">
        <v>55.46</v>
      </c>
      <c r="F5808">
        <v>20140122</v>
      </c>
      <c r="G5808" t="s">
        <v>364</v>
      </c>
      <c r="H5808" t="s">
        <v>365</v>
      </c>
      <c r="I5808" t="s">
        <v>21</v>
      </c>
    </row>
    <row r="5809" spans="1:9" x14ac:dyDescent="0.25">
      <c r="A5809">
        <v>20140123</v>
      </c>
      <c r="B5809" t="str">
        <f>"113809"</f>
        <v>113809</v>
      </c>
      <c r="C5809" t="str">
        <f>"87115"</f>
        <v>87115</v>
      </c>
      <c r="D5809" t="s">
        <v>2546</v>
      </c>
      <c r="E5809">
        <v>120</v>
      </c>
      <c r="F5809">
        <v>20140122</v>
      </c>
      <c r="G5809" t="s">
        <v>2820</v>
      </c>
      <c r="H5809" t="s">
        <v>765</v>
      </c>
      <c r="I5809" t="s">
        <v>61</v>
      </c>
    </row>
    <row r="5810" spans="1:9" x14ac:dyDescent="0.25">
      <c r="A5810">
        <v>20140123</v>
      </c>
      <c r="B5810" t="str">
        <f>"113810"</f>
        <v>113810</v>
      </c>
      <c r="C5810" t="str">
        <f>"52525"</f>
        <v>52525</v>
      </c>
      <c r="D5810" t="s">
        <v>1113</v>
      </c>
      <c r="E5810">
        <v>186.99</v>
      </c>
      <c r="F5810">
        <v>20140122</v>
      </c>
      <c r="G5810" t="s">
        <v>119</v>
      </c>
      <c r="H5810" t="s">
        <v>3055</v>
      </c>
      <c r="I5810" t="s">
        <v>38</v>
      </c>
    </row>
    <row r="5811" spans="1:9" x14ac:dyDescent="0.25">
      <c r="A5811">
        <v>20140123</v>
      </c>
      <c r="B5811" t="str">
        <f>"113811"</f>
        <v>113811</v>
      </c>
      <c r="C5811" t="str">
        <f>"86054"</f>
        <v>86054</v>
      </c>
      <c r="D5811" t="s">
        <v>2551</v>
      </c>
      <c r="E5811">
        <v>120</v>
      </c>
      <c r="F5811">
        <v>20140122</v>
      </c>
      <c r="G5811" t="s">
        <v>2820</v>
      </c>
      <c r="H5811" t="s">
        <v>765</v>
      </c>
      <c r="I5811" t="s">
        <v>61</v>
      </c>
    </row>
    <row r="5812" spans="1:9" x14ac:dyDescent="0.25">
      <c r="A5812">
        <v>20140123</v>
      </c>
      <c r="B5812" t="str">
        <f>"113812"</f>
        <v>113812</v>
      </c>
      <c r="C5812" t="str">
        <f>"82978"</f>
        <v>82978</v>
      </c>
      <c r="D5812" t="s">
        <v>2245</v>
      </c>
      <c r="E5812">
        <v>22.13</v>
      </c>
      <c r="F5812">
        <v>20140122</v>
      </c>
      <c r="G5812" t="s">
        <v>840</v>
      </c>
      <c r="H5812" t="s">
        <v>3056</v>
      </c>
      <c r="I5812" t="s">
        <v>21</v>
      </c>
    </row>
    <row r="5813" spans="1:9" x14ac:dyDescent="0.25">
      <c r="A5813">
        <v>20140123</v>
      </c>
      <c r="B5813" t="str">
        <f>"113812"</f>
        <v>113812</v>
      </c>
      <c r="C5813" t="str">
        <f>"82978"</f>
        <v>82978</v>
      </c>
      <c r="D5813" t="s">
        <v>2245</v>
      </c>
      <c r="E5813">
        <v>58.03</v>
      </c>
      <c r="F5813">
        <v>20140122</v>
      </c>
      <c r="G5813" t="s">
        <v>840</v>
      </c>
      <c r="H5813" t="s">
        <v>3057</v>
      </c>
      <c r="I5813" t="s">
        <v>21</v>
      </c>
    </row>
    <row r="5814" spans="1:9" x14ac:dyDescent="0.25">
      <c r="A5814">
        <v>20140123</v>
      </c>
      <c r="B5814" t="str">
        <f>"113813"</f>
        <v>113813</v>
      </c>
      <c r="C5814" t="str">
        <f>"55675"</f>
        <v>55675</v>
      </c>
      <c r="D5814" t="s">
        <v>1114</v>
      </c>
      <c r="E5814">
        <v>10.5</v>
      </c>
      <c r="F5814">
        <v>20140117</v>
      </c>
      <c r="G5814" t="s">
        <v>506</v>
      </c>
      <c r="H5814" t="s">
        <v>3058</v>
      </c>
      <c r="I5814" t="s">
        <v>21</v>
      </c>
    </row>
    <row r="5815" spans="1:9" x14ac:dyDescent="0.25">
      <c r="A5815">
        <v>20140123</v>
      </c>
      <c r="B5815" t="str">
        <f>"113814"</f>
        <v>113814</v>
      </c>
      <c r="C5815" t="str">
        <f>"87212"</f>
        <v>87212</v>
      </c>
      <c r="D5815" t="s">
        <v>652</v>
      </c>
      <c r="E5815">
        <v>500</v>
      </c>
      <c r="F5815">
        <v>20140122</v>
      </c>
      <c r="G5815" t="s">
        <v>2138</v>
      </c>
      <c r="H5815" t="s">
        <v>3059</v>
      </c>
      <c r="I5815" t="s">
        <v>21</v>
      </c>
    </row>
    <row r="5816" spans="1:9" x14ac:dyDescent="0.25">
      <c r="A5816">
        <v>20140123</v>
      </c>
      <c r="B5816" t="str">
        <f>"113815"</f>
        <v>113815</v>
      </c>
      <c r="C5816" t="str">
        <f>"58490"</f>
        <v>58490</v>
      </c>
      <c r="D5816" t="s">
        <v>1278</v>
      </c>
      <c r="E5816">
        <v>25.63</v>
      </c>
      <c r="F5816">
        <v>20140117</v>
      </c>
      <c r="G5816" t="s">
        <v>119</v>
      </c>
      <c r="H5816" t="s">
        <v>354</v>
      </c>
      <c r="I5816" t="s">
        <v>38</v>
      </c>
    </row>
    <row r="5817" spans="1:9" x14ac:dyDescent="0.25">
      <c r="A5817">
        <v>20140123</v>
      </c>
      <c r="B5817" t="str">
        <f>"113815"</f>
        <v>113815</v>
      </c>
      <c r="C5817" t="str">
        <f>"58490"</f>
        <v>58490</v>
      </c>
      <c r="D5817" t="s">
        <v>1278</v>
      </c>
      <c r="E5817">
        <v>-25.63</v>
      </c>
      <c r="F5817">
        <v>20140506</v>
      </c>
      <c r="G5817" t="s">
        <v>119</v>
      </c>
      <c r="H5817" t="s">
        <v>3060</v>
      </c>
      <c r="I5817" t="s">
        <v>38</v>
      </c>
    </row>
    <row r="5818" spans="1:9" x14ac:dyDescent="0.25">
      <c r="A5818">
        <v>20140123</v>
      </c>
      <c r="B5818" t="str">
        <f>"113816"</f>
        <v>113816</v>
      </c>
      <c r="C5818" t="str">
        <f>"87330"</f>
        <v>87330</v>
      </c>
      <c r="D5818" t="s">
        <v>671</v>
      </c>
      <c r="E5818" s="1">
        <v>1050</v>
      </c>
      <c r="F5818">
        <v>20140117</v>
      </c>
      <c r="G5818" t="s">
        <v>672</v>
      </c>
      <c r="H5818" t="s">
        <v>3061</v>
      </c>
      <c r="I5818" t="s">
        <v>21</v>
      </c>
    </row>
    <row r="5819" spans="1:9" x14ac:dyDescent="0.25">
      <c r="A5819">
        <v>20140123</v>
      </c>
      <c r="B5819" t="str">
        <f>"113817"</f>
        <v>113817</v>
      </c>
      <c r="C5819" t="str">
        <f>"87704"</f>
        <v>87704</v>
      </c>
      <c r="D5819" t="s">
        <v>3062</v>
      </c>
      <c r="E5819">
        <v>150</v>
      </c>
      <c r="F5819">
        <v>20140117</v>
      </c>
      <c r="G5819" t="s">
        <v>347</v>
      </c>
      <c r="H5819" t="s">
        <v>361</v>
      </c>
      <c r="I5819" t="s">
        <v>61</v>
      </c>
    </row>
    <row r="5820" spans="1:9" x14ac:dyDescent="0.25">
      <c r="A5820">
        <v>20140123</v>
      </c>
      <c r="B5820" t="str">
        <f>"113818"</f>
        <v>113818</v>
      </c>
      <c r="C5820" t="str">
        <f>"60625"</f>
        <v>60625</v>
      </c>
      <c r="D5820" t="s">
        <v>3063</v>
      </c>
      <c r="E5820">
        <v>500</v>
      </c>
      <c r="F5820">
        <v>20140122</v>
      </c>
      <c r="G5820" t="s">
        <v>347</v>
      </c>
      <c r="H5820" t="s">
        <v>361</v>
      </c>
      <c r="I5820" t="s">
        <v>61</v>
      </c>
    </row>
    <row r="5821" spans="1:9" x14ac:dyDescent="0.25">
      <c r="A5821">
        <v>20140123</v>
      </c>
      <c r="B5821" t="str">
        <f>"113819"</f>
        <v>113819</v>
      </c>
      <c r="C5821" t="str">
        <f>"61410"</f>
        <v>61410</v>
      </c>
      <c r="D5821" t="s">
        <v>2969</v>
      </c>
      <c r="E5821">
        <v>255.5</v>
      </c>
      <c r="F5821">
        <v>20140122</v>
      </c>
      <c r="G5821" t="s">
        <v>327</v>
      </c>
      <c r="H5821" t="s">
        <v>3064</v>
      </c>
      <c r="I5821" t="s">
        <v>25</v>
      </c>
    </row>
    <row r="5822" spans="1:9" x14ac:dyDescent="0.25">
      <c r="A5822">
        <v>20140123</v>
      </c>
      <c r="B5822" t="str">
        <f>"113820"</f>
        <v>113820</v>
      </c>
      <c r="C5822" t="str">
        <f>"84597"</f>
        <v>84597</v>
      </c>
      <c r="D5822" t="s">
        <v>1508</v>
      </c>
      <c r="E5822">
        <v>361.7</v>
      </c>
      <c r="F5822">
        <v>20140122</v>
      </c>
      <c r="G5822" t="s">
        <v>498</v>
      </c>
      <c r="H5822" t="s">
        <v>499</v>
      </c>
      <c r="I5822" t="s">
        <v>21</v>
      </c>
    </row>
    <row r="5823" spans="1:9" x14ac:dyDescent="0.25">
      <c r="A5823">
        <v>20140123</v>
      </c>
      <c r="B5823" t="str">
        <f>"113821"</f>
        <v>113821</v>
      </c>
      <c r="C5823" t="str">
        <f>"62450"</f>
        <v>62450</v>
      </c>
      <c r="D5823" t="s">
        <v>683</v>
      </c>
      <c r="E5823">
        <v>346.5</v>
      </c>
      <c r="F5823">
        <v>20140117</v>
      </c>
      <c r="G5823" t="s">
        <v>3065</v>
      </c>
      <c r="H5823" t="s">
        <v>3066</v>
      </c>
      <c r="I5823" t="s">
        <v>21</v>
      </c>
    </row>
    <row r="5824" spans="1:9" x14ac:dyDescent="0.25">
      <c r="A5824">
        <v>20140123</v>
      </c>
      <c r="B5824" t="str">
        <f>"113821"</f>
        <v>113821</v>
      </c>
      <c r="C5824" t="str">
        <f>"62450"</f>
        <v>62450</v>
      </c>
      <c r="D5824" t="s">
        <v>683</v>
      </c>
      <c r="E5824">
        <v>116.88</v>
      </c>
      <c r="F5824">
        <v>20140117</v>
      </c>
      <c r="G5824" t="s">
        <v>2745</v>
      </c>
      <c r="H5824" t="s">
        <v>3067</v>
      </c>
      <c r="I5824" t="s">
        <v>75</v>
      </c>
    </row>
    <row r="5825" spans="1:9" x14ac:dyDescent="0.25">
      <c r="A5825">
        <v>20140123</v>
      </c>
      <c r="B5825" t="str">
        <f>"113822"</f>
        <v>113822</v>
      </c>
      <c r="C5825" t="str">
        <f>"62900"</f>
        <v>62900</v>
      </c>
      <c r="D5825" t="s">
        <v>1293</v>
      </c>
      <c r="E5825">
        <v>134.02000000000001</v>
      </c>
      <c r="F5825">
        <v>20140117</v>
      </c>
      <c r="G5825" t="s">
        <v>828</v>
      </c>
      <c r="H5825" t="s">
        <v>3068</v>
      </c>
      <c r="I5825" t="s">
        <v>21</v>
      </c>
    </row>
    <row r="5826" spans="1:9" x14ac:dyDescent="0.25">
      <c r="A5826">
        <v>20140123</v>
      </c>
      <c r="B5826" t="str">
        <f>"113822"</f>
        <v>113822</v>
      </c>
      <c r="C5826" t="str">
        <f>"62900"</f>
        <v>62900</v>
      </c>
      <c r="D5826" t="s">
        <v>1293</v>
      </c>
      <c r="E5826" s="1">
        <v>2910.18</v>
      </c>
      <c r="F5826">
        <v>20140117</v>
      </c>
      <c r="G5826" t="s">
        <v>1064</v>
      </c>
      <c r="H5826" t="s">
        <v>3069</v>
      </c>
      <c r="I5826" t="s">
        <v>21</v>
      </c>
    </row>
    <row r="5827" spans="1:9" x14ac:dyDescent="0.25">
      <c r="A5827">
        <v>20140123</v>
      </c>
      <c r="B5827" t="str">
        <f>"113823"</f>
        <v>113823</v>
      </c>
      <c r="C5827" t="str">
        <f>"82927"</f>
        <v>82927</v>
      </c>
      <c r="D5827" t="s">
        <v>3070</v>
      </c>
      <c r="E5827">
        <v>700</v>
      </c>
      <c r="F5827">
        <v>20140122</v>
      </c>
      <c r="G5827" t="s">
        <v>347</v>
      </c>
      <c r="H5827" t="s">
        <v>361</v>
      </c>
      <c r="I5827" t="s">
        <v>61</v>
      </c>
    </row>
    <row r="5828" spans="1:9" x14ac:dyDescent="0.25">
      <c r="A5828">
        <v>20140123</v>
      </c>
      <c r="B5828" t="str">
        <f>"113824"</f>
        <v>113824</v>
      </c>
      <c r="C5828" t="str">
        <f>"86733"</f>
        <v>86733</v>
      </c>
      <c r="D5828" t="s">
        <v>3071</v>
      </c>
      <c r="E5828">
        <v>85</v>
      </c>
      <c r="F5828">
        <v>20140122</v>
      </c>
      <c r="G5828" t="s">
        <v>2820</v>
      </c>
      <c r="H5828" t="s">
        <v>765</v>
      </c>
      <c r="I5828" t="s">
        <v>61</v>
      </c>
    </row>
    <row r="5829" spans="1:9" x14ac:dyDescent="0.25">
      <c r="A5829">
        <v>20140123</v>
      </c>
      <c r="B5829" t="str">
        <f>"113825"</f>
        <v>113825</v>
      </c>
      <c r="C5829" t="str">
        <f>"86668"</f>
        <v>86668</v>
      </c>
      <c r="D5829" t="s">
        <v>3072</v>
      </c>
      <c r="E5829">
        <v>85</v>
      </c>
      <c r="F5829">
        <v>20140122</v>
      </c>
      <c r="G5829" t="s">
        <v>2820</v>
      </c>
      <c r="H5829" t="s">
        <v>765</v>
      </c>
      <c r="I5829" t="s">
        <v>61</v>
      </c>
    </row>
    <row r="5830" spans="1:9" x14ac:dyDescent="0.25">
      <c r="A5830">
        <v>20140123</v>
      </c>
      <c r="B5830" t="str">
        <f>"113825"</f>
        <v>113825</v>
      </c>
      <c r="C5830" t="str">
        <f>"86668"</f>
        <v>86668</v>
      </c>
      <c r="D5830" t="s">
        <v>3072</v>
      </c>
      <c r="E5830">
        <v>-85</v>
      </c>
      <c r="F5830">
        <v>20140602</v>
      </c>
      <c r="G5830" t="s">
        <v>2820</v>
      </c>
      <c r="H5830" t="s">
        <v>3073</v>
      </c>
      <c r="I5830" t="s">
        <v>61</v>
      </c>
    </row>
    <row r="5831" spans="1:9" x14ac:dyDescent="0.25">
      <c r="A5831">
        <v>20140123</v>
      </c>
      <c r="B5831" t="str">
        <f>"113826"</f>
        <v>113826</v>
      </c>
      <c r="C5831" t="str">
        <f>"86451"</f>
        <v>86451</v>
      </c>
      <c r="D5831" t="s">
        <v>3074</v>
      </c>
      <c r="E5831">
        <v>616</v>
      </c>
      <c r="F5831">
        <v>20140122</v>
      </c>
      <c r="G5831" t="s">
        <v>3075</v>
      </c>
      <c r="H5831" t="s">
        <v>3076</v>
      </c>
      <c r="I5831" t="s">
        <v>61</v>
      </c>
    </row>
    <row r="5832" spans="1:9" x14ac:dyDescent="0.25">
      <c r="A5832">
        <v>20140123</v>
      </c>
      <c r="B5832" t="str">
        <f>"113826"</f>
        <v>113826</v>
      </c>
      <c r="C5832" t="str">
        <f>"86451"</f>
        <v>86451</v>
      </c>
      <c r="D5832" t="s">
        <v>3074</v>
      </c>
      <c r="E5832" s="1">
        <v>2383</v>
      </c>
      <c r="F5832">
        <v>20140122</v>
      </c>
      <c r="G5832" t="s">
        <v>2624</v>
      </c>
      <c r="H5832" t="s">
        <v>3076</v>
      </c>
      <c r="I5832" t="s">
        <v>61</v>
      </c>
    </row>
    <row r="5833" spans="1:9" x14ac:dyDescent="0.25">
      <c r="A5833">
        <v>20140123</v>
      </c>
      <c r="B5833" t="str">
        <f>"113827"</f>
        <v>113827</v>
      </c>
      <c r="C5833" t="str">
        <f>"86577"</f>
        <v>86577</v>
      </c>
      <c r="D5833" t="s">
        <v>3077</v>
      </c>
      <c r="E5833">
        <v>270</v>
      </c>
      <c r="F5833">
        <v>20140117</v>
      </c>
      <c r="G5833" t="s">
        <v>582</v>
      </c>
      <c r="H5833" t="s">
        <v>3078</v>
      </c>
      <c r="I5833" t="s">
        <v>21</v>
      </c>
    </row>
    <row r="5834" spans="1:9" x14ac:dyDescent="0.25">
      <c r="A5834">
        <v>20140123</v>
      </c>
      <c r="B5834" t="str">
        <f>"113827"</f>
        <v>113827</v>
      </c>
      <c r="C5834" t="str">
        <f>"86577"</f>
        <v>86577</v>
      </c>
      <c r="D5834" t="s">
        <v>3077</v>
      </c>
      <c r="E5834">
        <v>270</v>
      </c>
      <c r="F5834">
        <v>20140122</v>
      </c>
      <c r="G5834" t="s">
        <v>830</v>
      </c>
      <c r="H5834" t="s">
        <v>3079</v>
      </c>
      <c r="I5834" t="s">
        <v>21</v>
      </c>
    </row>
    <row r="5835" spans="1:9" x14ac:dyDescent="0.25">
      <c r="A5835">
        <v>20140123</v>
      </c>
      <c r="B5835" t="str">
        <f>"113828"</f>
        <v>113828</v>
      </c>
      <c r="C5835" t="str">
        <f>"68960"</f>
        <v>68960</v>
      </c>
      <c r="D5835" t="s">
        <v>689</v>
      </c>
      <c r="E5835">
        <v>200</v>
      </c>
      <c r="F5835">
        <v>20140117</v>
      </c>
      <c r="G5835" t="s">
        <v>356</v>
      </c>
      <c r="H5835" t="s">
        <v>357</v>
      </c>
      <c r="I5835" t="s">
        <v>61</v>
      </c>
    </row>
    <row r="5836" spans="1:9" x14ac:dyDescent="0.25">
      <c r="A5836">
        <v>20140123</v>
      </c>
      <c r="B5836" t="str">
        <f>"113828"</f>
        <v>113828</v>
      </c>
      <c r="C5836" t="str">
        <f>"68960"</f>
        <v>68960</v>
      </c>
      <c r="D5836" t="s">
        <v>689</v>
      </c>
      <c r="E5836">
        <v>137.5</v>
      </c>
      <c r="F5836">
        <v>20140117</v>
      </c>
      <c r="G5836" t="s">
        <v>356</v>
      </c>
      <c r="H5836" t="s">
        <v>357</v>
      </c>
      <c r="I5836" t="s">
        <v>61</v>
      </c>
    </row>
    <row r="5837" spans="1:9" x14ac:dyDescent="0.25">
      <c r="A5837">
        <v>20140123</v>
      </c>
      <c r="B5837" t="str">
        <f>"113829"</f>
        <v>113829</v>
      </c>
      <c r="C5837" t="str">
        <f>"70665"</f>
        <v>70665</v>
      </c>
      <c r="D5837" t="s">
        <v>693</v>
      </c>
      <c r="E5837">
        <v>300</v>
      </c>
      <c r="F5837">
        <v>20140117</v>
      </c>
      <c r="G5837" t="s">
        <v>1153</v>
      </c>
      <c r="H5837" t="s">
        <v>1054</v>
      </c>
      <c r="I5837" t="s">
        <v>61</v>
      </c>
    </row>
    <row r="5838" spans="1:9" x14ac:dyDescent="0.25">
      <c r="A5838">
        <v>20140123</v>
      </c>
      <c r="B5838" t="str">
        <f>"113829"</f>
        <v>113829</v>
      </c>
      <c r="C5838" t="str">
        <f>"70665"</f>
        <v>70665</v>
      </c>
      <c r="D5838" t="s">
        <v>693</v>
      </c>
      <c r="E5838">
        <v>300</v>
      </c>
      <c r="F5838">
        <v>20140117</v>
      </c>
      <c r="G5838" t="s">
        <v>364</v>
      </c>
      <c r="H5838" t="s">
        <v>954</v>
      </c>
      <c r="I5838" t="s">
        <v>21</v>
      </c>
    </row>
    <row r="5839" spans="1:9" x14ac:dyDescent="0.25">
      <c r="A5839">
        <v>20140123</v>
      </c>
      <c r="B5839" t="str">
        <f>"113830"</f>
        <v>113830</v>
      </c>
      <c r="C5839" t="str">
        <f>"69575"</f>
        <v>69575</v>
      </c>
      <c r="D5839" t="s">
        <v>2032</v>
      </c>
      <c r="E5839">
        <v>25</v>
      </c>
      <c r="F5839">
        <v>20140122</v>
      </c>
      <c r="G5839" t="s">
        <v>1033</v>
      </c>
      <c r="H5839" t="s">
        <v>3080</v>
      </c>
      <c r="I5839" t="s">
        <v>21</v>
      </c>
    </row>
    <row r="5840" spans="1:9" x14ac:dyDescent="0.25">
      <c r="A5840">
        <v>20140123</v>
      </c>
      <c r="B5840" t="str">
        <f>"113831"</f>
        <v>113831</v>
      </c>
      <c r="C5840" t="str">
        <f>"00387"</f>
        <v>00387</v>
      </c>
      <c r="D5840" t="s">
        <v>696</v>
      </c>
      <c r="E5840">
        <v>355</v>
      </c>
      <c r="F5840">
        <v>20140122</v>
      </c>
      <c r="G5840" t="s">
        <v>890</v>
      </c>
      <c r="H5840" t="s">
        <v>1054</v>
      </c>
      <c r="I5840" t="s">
        <v>21</v>
      </c>
    </row>
    <row r="5841" spans="1:9" x14ac:dyDescent="0.25">
      <c r="A5841">
        <v>20140123</v>
      </c>
      <c r="B5841" t="str">
        <f>"113831"</f>
        <v>113831</v>
      </c>
      <c r="C5841" t="str">
        <f>"00387"</f>
        <v>00387</v>
      </c>
      <c r="D5841" t="s">
        <v>696</v>
      </c>
      <c r="E5841">
        <v>225</v>
      </c>
      <c r="F5841">
        <v>20140122</v>
      </c>
      <c r="G5841" t="s">
        <v>1026</v>
      </c>
      <c r="H5841" t="s">
        <v>3081</v>
      </c>
      <c r="I5841" t="s">
        <v>21</v>
      </c>
    </row>
    <row r="5842" spans="1:9" x14ac:dyDescent="0.25">
      <c r="A5842">
        <v>20140123</v>
      </c>
      <c r="B5842" t="str">
        <f>"113831"</f>
        <v>113831</v>
      </c>
      <c r="C5842" t="str">
        <f>"00387"</f>
        <v>00387</v>
      </c>
      <c r="D5842" t="s">
        <v>696</v>
      </c>
      <c r="E5842">
        <v>450</v>
      </c>
      <c r="F5842">
        <v>20140122</v>
      </c>
      <c r="G5842" t="s">
        <v>1145</v>
      </c>
      <c r="H5842" t="s">
        <v>3081</v>
      </c>
      <c r="I5842" t="s">
        <v>73</v>
      </c>
    </row>
    <row r="5843" spans="1:9" x14ac:dyDescent="0.25">
      <c r="A5843">
        <v>20140123</v>
      </c>
      <c r="B5843" t="str">
        <f>"113832"</f>
        <v>113832</v>
      </c>
      <c r="C5843" t="str">
        <f>"73500"</f>
        <v>73500</v>
      </c>
      <c r="D5843" t="s">
        <v>1822</v>
      </c>
      <c r="E5843" s="1">
        <v>21870</v>
      </c>
      <c r="F5843">
        <v>20140117</v>
      </c>
      <c r="G5843" t="s">
        <v>1823</v>
      </c>
      <c r="H5843" t="s">
        <v>1824</v>
      </c>
      <c r="I5843" t="s">
        <v>21</v>
      </c>
    </row>
    <row r="5844" spans="1:9" x14ac:dyDescent="0.25">
      <c r="A5844">
        <v>20140123</v>
      </c>
      <c r="B5844" t="str">
        <f>"113833"</f>
        <v>113833</v>
      </c>
      <c r="C5844" t="str">
        <f>"00082"</f>
        <v>00082</v>
      </c>
      <c r="D5844" t="s">
        <v>3082</v>
      </c>
      <c r="E5844">
        <v>75</v>
      </c>
      <c r="F5844">
        <v>20140122</v>
      </c>
      <c r="G5844" t="s">
        <v>347</v>
      </c>
      <c r="H5844" t="s">
        <v>3083</v>
      </c>
      <c r="I5844" t="s">
        <v>61</v>
      </c>
    </row>
    <row r="5845" spans="1:9" x14ac:dyDescent="0.25">
      <c r="A5845">
        <v>20140123</v>
      </c>
      <c r="B5845" t="str">
        <f>"113834"</f>
        <v>113834</v>
      </c>
      <c r="C5845" t="str">
        <f>"87276"</f>
        <v>87276</v>
      </c>
      <c r="D5845" t="s">
        <v>3084</v>
      </c>
      <c r="E5845">
        <v>75</v>
      </c>
      <c r="F5845">
        <v>20140122</v>
      </c>
      <c r="G5845" t="s">
        <v>347</v>
      </c>
      <c r="H5845" t="s">
        <v>388</v>
      </c>
      <c r="I5845" t="s">
        <v>61</v>
      </c>
    </row>
    <row r="5846" spans="1:9" x14ac:dyDescent="0.25">
      <c r="A5846">
        <v>20140123</v>
      </c>
      <c r="B5846" t="str">
        <f>"113835"</f>
        <v>113835</v>
      </c>
      <c r="C5846" t="str">
        <f>"86085"</f>
        <v>86085</v>
      </c>
      <c r="D5846" t="s">
        <v>703</v>
      </c>
      <c r="E5846">
        <v>231</v>
      </c>
      <c r="F5846">
        <v>20140122</v>
      </c>
      <c r="G5846" t="s">
        <v>367</v>
      </c>
      <c r="H5846" t="s">
        <v>357</v>
      </c>
      <c r="I5846" t="s">
        <v>21</v>
      </c>
    </row>
    <row r="5847" spans="1:9" x14ac:dyDescent="0.25">
      <c r="A5847">
        <v>20140123</v>
      </c>
      <c r="B5847" t="str">
        <f>"113835"</f>
        <v>113835</v>
      </c>
      <c r="C5847" t="str">
        <f>"86085"</f>
        <v>86085</v>
      </c>
      <c r="D5847" t="s">
        <v>703</v>
      </c>
      <c r="E5847">
        <v>76</v>
      </c>
      <c r="F5847">
        <v>20140122</v>
      </c>
      <c r="G5847" t="s">
        <v>704</v>
      </c>
      <c r="H5847" t="s">
        <v>357</v>
      </c>
      <c r="I5847" t="s">
        <v>21</v>
      </c>
    </row>
    <row r="5848" spans="1:9" x14ac:dyDescent="0.25">
      <c r="A5848">
        <v>20140123</v>
      </c>
      <c r="B5848" t="str">
        <f>"113836"</f>
        <v>113836</v>
      </c>
      <c r="C5848" t="str">
        <f>"87616"</f>
        <v>87616</v>
      </c>
      <c r="D5848" t="s">
        <v>711</v>
      </c>
      <c r="E5848">
        <v>162</v>
      </c>
      <c r="F5848">
        <v>20140117</v>
      </c>
      <c r="G5848" t="s">
        <v>367</v>
      </c>
      <c r="H5848" t="s">
        <v>3085</v>
      </c>
      <c r="I5848" t="s">
        <v>21</v>
      </c>
    </row>
    <row r="5849" spans="1:9" x14ac:dyDescent="0.25">
      <c r="A5849">
        <v>20140123</v>
      </c>
      <c r="B5849" t="str">
        <f>"113837"</f>
        <v>113837</v>
      </c>
      <c r="C5849" t="str">
        <f>"75581"</f>
        <v>75581</v>
      </c>
      <c r="D5849" t="s">
        <v>391</v>
      </c>
      <c r="E5849">
        <v>907.2</v>
      </c>
      <c r="F5849">
        <v>20140117</v>
      </c>
      <c r="G5849" t="s">
        <v>392</v>
      </c>
      <c r="H5849" t="s">
        <v>393</v>
      </c>
      <c r="I5849" t="s">
        <v>21</v>
      </c>
    </row>
    <row r="5850" spans="1:9" x14ac:dyDescent="0.25">
      <c r="A5850">
        <v>20140123</v>
      </c>
      <c r="B5850" t="str">
        <f t="shared" ref="B5850:B5855" si="375">"113838"</f>
        <v>113838</v>
      </c>
      <c r="C5850" t="str">
        <f t="shared" ref="C5850:C5855" si="376">"69310"</f>
        <v>69310</v>
      </c>
      <c r="D5850" t="s">
        <v>716</v>
      </c>
      <c r="E5850">
        <v>913.61</v>
      </c>
      <c r="F5850">
        <v>20140122</v>
      </c>
      <c r="G5850" t="s">
        <v>718</v>
      </c>
      <c r="H5850" t="s">
        <v>488</v>
      </c>
      <c r="I5850" t="s">
        <v>21</v>
      </c>
    </row>
    <row r="5851" spans="1:9" x14ac:dyDescent="0.25">
      <c r="A5851">
        <v>20140123</v>
      </c>
      <c r="B5851" t="str">
        <f t="shared" si="375"/>
        <v>113838</v>
      </c>
      <c r="C5851" t="str">
        <f t="shared" si="376"/>
        <v>69310</v>
      </c>
      <c r="D5851" t="s">
        <v>716</v>
      </c>
      <c r="E5851">
        <v>98.55</v>
      </c>
      <c r="F5851">
        <v>20140122</v>
      </c>
      <c r="G5851" t="s">
        <v>719</v>
      </c>
      <c r="H5851" t="s">
        <v>488</v>
      </c>
      <c r="I5851" t="s">
        <v>21</v>
      </c>
    </row>
    <row r="5852" spans="1:9" x14ac:dyDescent="0.25">
      <c r="A5852">
        <v>20140123</v>
      </c>
      <c r="B5852" t="str">
        <f t="shared" si="375"/>
        <v>113838</v>
      </c>
      <c r="C5852" t="str">
        <f t="shared" si="376"/>
        <v>69310</v>
      </c>
      <c r="D5852" t="s">
        <v>716</v>
      </c>
      <c r="E5852">
        <v>715.95</v>
      </c>
      <c r="F5852">
        <v>20140122</v>
      </c>
      <c r="G5852" t="s">
        <v>720</v>
      </c>
      <c r="H5852" t="s">
        <v>488</v>
      </c>
      <c r="I5852" t="s">
        <v>21</v>
      </c>
    </row>
    <row r="5853" spans="1:9" x14ac:dyDescent="0.25">
      <c r="A5853">
        <v>20140123</v>
      </c>
      <c r="B5853" t="str">
        <f t="shared" si="375"/>
        <v>113838</v>
      </c>
      <c r="C5853" t="str">
        <f t="shared" si="376"/>
        <v>69310</v>
      </c>
      <c r="D5853" t="s">
        <v>716</v>
      </c>
      <c r="E5853">
        <v>42.78</v>
      </c>
      <c r="F5853">
        <v>20140122</v>
      </c>
      <c r="G5853" t="s">
        <v>721</v>
      </c>
      <c r="H5853" t="s">
        <v>488</v>
      </c>
      <c r="I5853" t="s">
        <v>21</v>
      </c>
    </row>
    <row r="5854" spans="1:9" x14ac:dyDescent="0.25">
      <c r="A5854">
        <v>20140123</v>
      </c>
      <c r="B5854" t="str">
        <f t="shared" si="375"/>
        <v>113838</v>
      </c>
      <c r="C5854" t="str">
        <f t="shared" si="376"/>
        <v>69310</v>
      </c>
      <c r="D5854" t="s">
        <v>716</v>
      </c>
      <c r="E5854">
        <v>108.23</v>
      </c>
      <c r="F5854">
        <v>20140122</v>
      </c>
      <c r="G5854" t="s">
        <v>722</v>
      </c>
      <c r="H5854" t="s">
        <v>488</v>
      </c>
      <c r="I5854" t="s">
        <v>21</v>
      </c>
    </row>
    <row r="5855" spans="1:9" x14ac:dyDescent="0.25">
      <c r="A5855">
        <v>20140123</v>
      </c>
      <c r="B5855" t="str">
        <f t="shared" si="375"/>
        <v>113838</v>
      </c>
      <c r="C5855" t="str">
        <f t="shared" si="376"/>
        <v>69310</v>
      </c>
      <c r="D5855" t="s">
        <v>716</v>
      </c>
      <c r="E5855">
        <v>347.22</v>
      </c>
      <c r="F5855">
        <v>20140122</v>
      </c>
      <c r="G5855" t="s">
        <v>725</v>
      </c>
      <c r="H5855" t="s">
        <v>488</v>
      </c>
      <c r="I5855" t="s">
        <v>21</v>
      </c>
    </row>
    <row r="5856" spans="1:9" x14ac:dyDescent="0.25">
      <c r="A5856">
        <v>20140123</v>
      </c>
      <c r="B5856" t="str">
        <f>"113839"</f>
        <v>113839</v>
      </c>
      <c r="C5856" t="str">
        <f>"85830"</f>
        <v>85830</v>
      </c>
      <c r="D5856" t="s">
        <v>3086</v>
      </c>
      <c r="E5856">
        <v>125</v>
      </c>
      <c r="F5856">
        <v>20140122</v>
      </c>
      <c r="G5856" t="s">
        <v>1679</v>
      </c>
      <c r="H5856" t="s">
        <v>3002</v>
      </c>
      <c r="I5856" t="s">
        <v>25</v>
      </c>
    </row>
    <row r="5857" spans="1:9" x14ac:dyDescent="0.25">
      <c r="A5857">
        <v>20140123</v>
      </c>
      <c r="B5857" t="str">
        <f>"113840"</f>
        <v>113840</v>
      </c>
      <c r="C5857" t="str">
        <f>"00242"</f>
        <v>00242</v>
      </c>
      <c r="D5857" t="s">
        <v>977</v>
      </c>
      <c r="E5857">
        <v>115.15</v>
      </c>
      <c r="F5857">
        <v>20140122</v>
      </c>
      <c r="G5857" t="s">
        <v>637</v>
      </c>
      <c r="H5857" t="s">
        <v>3087</v>
      </c>
      <c r="I5857" t="s">
        <v>38</v>
      </c>
    </row>
    <row r="5858" spans="1:9" x14ac:dyDescent="0.25">
      <c r="A5858">
        <v>20140123</v>
      </c>
      <c r="B5858" t="str">
        <f>"113841"</f>
        <v>113841</v>
      </c>
      <c r="C5858" t="str">
        <f>"00372"</f>
        <v>00372</v>
      </c>
      <c r="D5858" t="s">
        <v>979</v>
      </c>
      <c r="E5858">
        <v>750</v>
      </c>
      <c r="F5858">
        <v>20140117</v>
      </c>
      <c r="G5858" t="s">
        <v>965</v>
      </c>
      <c r="H5858" t="s">
        <v>361</v>
      </c>
      <c r="I5858" t="s">
        <v>21</v>
      </c>
    </row>
    <row r="5859" spans="1:9" x14ac:dyDescent="0.25">
      <c r="A5859">
        <v>20140123</v>
      </c>
      <c r="B5859" t="str">
        <f>"113842"</f>
        <v>113842</v>
      </c>
      <c r="C5859" t="str">
        <f>"00372"</f>
        <v>00372</v>
      </c>
      <c r="D5859" t="s">
        <v>979</v>
      </c>
      <c r="E5859">
        <v>672</v>
      </c>
      <c r="F5859">
        <v>20140117</v>
      </c>
      <c r="G5859" t="s">
        <v>965</v>
      </c>
      <c r="H5859" t="s">
        <v>361</v>
      </c>
      <c r="I5859" t="s">
        <v>21</v>
      </c>
    </row>
    <row r="5860" spans="1:9" x14ac:dyDescent="0.25">
      <c r="A5860">
        <v>20140123</v>
      </c>
      <c r="B5860" t="str">
        <f>"113843"</f>
        <v>113843</v>
      </c>
      <c r="C5860" t="str">
        <f>"76825"</f>
        <v>76825</v>
      </c>
      <c r="D5860" t="s">
        <v>2420</v>
      </c>
      <c r="E5860" s="1">
        <v>4916.55</v>
      </c>
      <c r="F5860">
        <v>20140122</v>
      </c>
      <c r="G5860" t="s">
        <v>2292</v>
      </c>
      <c r="H5860" t="s">
        <v>3088</v>
      </c>
      <c r="I5860" t="s">
        <v>63</v>
      </c>
    </row>
    <row r="5861" spans="1:9" x14ac:dyDescent="0.25">
      <c r="A5861">
        <v>20140123</v>
      </c>
      <c r="B5861" t="str">
        <f>"113844"</f>
        <v>113844</v>
      </c>
      <c r="C5861" t="str">
        <f>"76275"</f>
        <v>76275</v>
      </c>
      <c r="D5861" t="s">
        <v>3089</v>
      </c>
      <c r="E5861">
        <v>381.37</v>
      </c>
      <c r="F5861">
        <v>20140122</v>
      </c>
      <c r="G5861" t="s">
        <v>1981</v>
      </c>
      <c r="H5861" t="s">
        <v>3090</v>
      </c>
      <c r="I5861" t="s">
        <v>38</v>
      </c>
    </row>
    <row r="5862" spans="1:9" x14ac:dyDescent="0.25">
      <c r="A5862">
        <v>20140123</v>
      </c>
      <c r="B5862" t="str">
        <f>"113845"</f>
        <v>113845</v>
      </c>
      <c r="C5862" t="str">
        <f>"76904"</f>
        <v>76904</v>
      </c>
      <c r="D5862" t="s">
        <v>1323</v>
      </c>
      <c r="E5862">
        <v>105</v>
      </c>
      <c r="F5862">
        <v>20140117</v>
      </c>
      <c r="G5862" t="s">
        <v>704</v>
      </c>
      <c r="H5862" t="s">
        <v>783</v>
      </c>
      <c r="I5862" t="s">
        <v>21</v>
      </c>
    </row>
    <row r="5863" spans="1:9" x14ac:dyDescent="0.25">
      <c r="A5863">
        <v>20140123</v>
      </c>
      <c r="B5863" t="str">
        <f>"113846"</f>
        <v>113846</v>
      </c>
      <c r="C5863" t="str">
        <f>"87705"</f>
        <v>87705</v>
      </c>
      <c r="D5863" t="s">
        <v>3091</v>
      </c>
      <c r="E5863">
        <v>85</v>
      </c>
      <c r="F5863">
        <v>20140122</v>
      </c>
      <c r="G5863" t="s">
        <v>2820</v>
      </c>
      <c r="H5863" t="s">
        <v>765</v>
      </c>
      <c r="I5863" t="s">
        <v>61</v>
      </c>
    </row>
    <row r="5864" spans="1:9" x14ac:dyDescent="0.25">
      <c r="A5864">
        <v>20140123</v>
      </c>
      <c r="B5864" t="str">
        <f>"113847"</f>
        <v>113847</v>
      </c>
      <c r="C5864" t="str">
        <f>"85183"</f>
        <v>85183</v>
      </c>
      <c r="D5864" t="s">
        <v>3092</v>
      </c>
      <c r="E5864">
        <v>500</v>
      </c>
      <c r="F5864">
        <v>20140122</v>
      </c>
      <c r="G5864" t="s">
        <v>347</v>
      </c>
      <c r="H5864" t="s">
        <v>1360</v>
      </c>
      <c r="I5864" t="s">
        <v>61</v>
      </c>
    </row>
    <row r="5865" spans="1:9" x14ac:dyDescent="0.25">
      <c r="A5865">
        <v>20140123</v>
      </c>
      <c r="B5865" t="str">
        <f>"113848"</f>
        <v>113848</v>
      </c>
      <c r="C5865" t="str">
        <f>"81707"</f>
        <v>81707</v>
      </c>
      <c r="D5865" t="s">
        <v>3093</v>
      </c>
      <c r="E5865">
        <v>600</v>
      </c>
      <c r="F5865">
        <v>20140122</v>
      </c>
      <c r="G5865" t="s">
        <v>347</v>
      </c>
      <c r="H5865" t="s">
        <v>361</v>
      </c>
      <c r="I5865" t="s">
        <v>61</v>
      </c>
    </row>
    <row r="5866" spans="1:9" x14ac:dyDescent="0.25">
      <c r="A5866">
        <v>20140123</v>
      </c>
      <c r="B5866" t="str">
        <f>"113849"</f>
        <v>113849</v>
      </c>
      <c r="C5866" t="str">
        <f>"87709"</f>
        <v>87709</v>
      </c>
      <c r="D5866" t="s">
        <v>3094</v>
      </c>
      <c r="E5866">
        <v>60</v>
      </c>
      <c r="F5866">
        <v>20140122</v>
      </c>
      <c r="G5866" t="s">
        <v>2820</v>
      </c>
      <c r="H5866" t="s">
        <v>765</v>
      </c>
      <c r="I5866" t="s">
        <v>61</v>
      </c>
    </row>
    <row r="5867" spans="1:9" x14ac:dyDescent="0.25">
      <c r="A5867">
        <v>20140123</v>
      </c>
      <c r="B5867" t="str">
        <f>"113850"</f>
        <v>113850</v>
      </c>
      <c r="C5867" t="str">
        <f>"84132"</f>
        <v>84132</v>
      </c>
      <c r="D5867" t="s">
        <v>1695</v>
      </c>
      <c r="E5867">
        <v>68.09</v>
      </c>
      <c r="F5867">
        <v>20140122</v>
      </c>
      <c r="G5867" t="s">
        <v>1696</v>
      </c>
      <c r="H5867" t="s">
        <v>563</v>
      </c>
      <c r="I5867" t="s">
        <v>21</v>
      </c>
    </row>
    <row r="5868" spans="1:9" x14ac:dyDescent="0.25">
      <c r="A5868">
        <v>20140130</v>
      </c>
      <c r="B5868" t="str">
        <f>"113851"</f>
        <v>113851</v>
      </c>
      <c r="C5868" t="str">
        <f>"87190"</f>
        <v>87190</v>
      </c>
      <c r="D5868" t="s">
        <v>3095</v>
      </c>
      <c r="E5868">
        <v>118</v>
      </c>
      <c r="F5868">
        <v>20140129</v>
      </c>
      <c r="G5868" t="s">
        <v>2008</v>
      </c>
      <c r="H5868" t="s">
        <v>1988</v>
      </c>
      <c r="I5868" t="s">
        <v>25</v>
      </c>
    </row>
    <row r="5869" spans="1:9" x14ac:dyDescent="0.25">
      <c r="A5869">
        <v>20140130</v>
      </c>
      <c r="B5869" t="str">
        <f>"113852"</f>
        <v>113852</v>
      </c>
      <c r="C5869" t="str">
        <f>"00925"</f>
        <v>00925</v>
      </c>
      <c r="D5869" t="s">
        <v>1553</v>
      </c>
      <c r="E5869">
        <v>59.99</v>
      </c>
      <c r="F5869">
        <v>20140123</v>
      </c>
      <c r="G5869" t="s">
        <v>1426</v>
      </c>
      <c r="H5869" t="s">
        <v>354</v>
      </c>
      <c r="I5869" t="s">
        <v>38</v>
      </c>
    </row>
    <row r="5870" spans="1:9" x14ac:dyDescent="0.25">
      <c r="A5870">
        <v>20140130</v>
      </c>
      <c r="B5870" t="str">
        <f>"113852"</f>
        <v>113852</v>
      </c>
      <c r="C5870" t="str">
        <f>"00925"</f>
        <v>00925</v>
      </c>
      <c r="D5870" t="s">
        <v>1553</v>
      </c>
      <c r="E5870">
        <v>678.33</v>
      </c>
      <c r="F5870">
        <v>20140129</v>
      </c>
      <c r="G5870" t="s">
        <v>1426</v>
      </c>
      <c r="H5870" t="s">
        <v>354</v>
      </c>
      <c r="I5870" t="s">
        <v>38</v>
      </c>
    </row>
    <row r="5871" spans="1:9" x14ac:dyDescent="0.25">
      <c r="A5871">
        <v>20140130</v>
      </c>
      <c r="B5871" t="str">
        <f>"113853"</f>
        <v>113853</v>
      </c>
      <c r="C5871" t="str">
        <f>"00120"</f>
        <v>00120</v>
      </c>
      <c r="D5871" t="s">
        <v>336</v>
      </c>
      <c r="E5871">
        <v>103.49</v>
      </c>
      <c r="F5871">
        <v>20140129</v>
      </c>
      <c r="G5871" t="s">
        <v>337</v>
      </c>
      <c r="H5871" t="s">
        <v>766</v>
      </c>
      <c r="I5871" t="s">
        <v>21</v>
      </c>
    </row>
    <row r="5872" spans="1:9" x14ac:dyDescent="0.25">
      <c r="A5872">
        <v>20140130</v>
      </c>
      <c r="B5872" t="str">
        <f>"113854"</f>
        <v>113854</v>
      </c>
      <c r="C5872" t="str">
        <f>"01840"</f>
        <v>01840</v>
      </c>
      <c r="D5872" t="s">
        <v>3096</v>
      </c>
      <c r="E5872">
        <v>700</v>
      </c>
      <c r="F5872">
        <v>20140123</v>
      </c>
      <c r="G5872" t="s">
        <v>181</v>
      </c>
      <c r="H5872" t="s">
        <v>3097</v>
      </c>
      <c r="I5872" t="s">
        <v>38</v>
      </c>
    </row>
    <row r="5873" spans="1:9" x14ac:dyDescent="0.25">
      <c r="A5873">
        <v>20140130</v>
      </c>
      <c r="B5873" t="str">
        <f>"113855"</f>
        <v>113855</v>
      </c>
      <c r="C5873" t="str">
        <f>"84656"</f>
        <v>84656</v>
      </c>
      <c r="D5873" t="s">
        <v>3098</v>
      </c>
      <c r="E5873">
        <v>134.24</v>
      </c>
      <c r="F5873">
        <v>20140127</v>
      </c>
      <c r="G5873" t="s">
        <v>3099</v>
      </c>
      <c r="H5873" t="s">
        <v>765</v>
      </c>
      <c r="I5873" t="s">
        <v>61</v>
      </c>
    </row>
    <row r="5874" spans="1:9" x14ac:dyDescent="0.25">
      <c r="A5874">
        <v>20140130</v>
      </c>
      <c r="B5874" t="str">
        <f>"113856"</f>
        <v>113856</v>
      </c>
      <c r="C5874" t="str">
        <f>"87715"</f>
        <v>87715</v>
      </c>
      <c r="D5874" t="s">
        <v>3100</v>
      </c>
      <c r="E5874">
        <v>119.24</v>
      </c>
      <c r="F5874">
        <v>20140127</v>
      </c>
      <c r="G5874" t="s">
        <v>3099</v>
      </c>
      <c r="H5874" t="s">
        <v>765</v>
      </c>
      <c r="I5874" t="s">
        <v>61</v>
      </c>
    </row>
    <row r="5875" spans="1:9" x14ac:dyDescent="0.25">
      <c r="A5875">
        <v>20140130</v>
      </c>
      <c r="B5875" t="str">
        <f>"113857"</f>
        <v>113857</v>
      </c>
      <c r="C5875" t="str">
        <f>"05800"</f>
        <v>05800</v>
      </c>
      <c r="D5875" t="s">
        <v>998</v>
      </c>
      <c r="E5875">
        <v>98</v>
      </c>
      <c r="F5875">
        <v>20140129</v>
      </c>
      <c r="G5875" t="s">
        <v>1554</v>
      </c>
      <c r="H5875" t="s">
        <v>3101</v>
      </c>
      <c r="I5875" t="s">
        <v>38</v>
      </c>
    </row>
    <row r="5876" spans="1:9" x14ac:dyDescent="0.25">
      <c r="A5876">
        <v>20140130</v>
      </c>
      <c r="B5876" t="str">
        <f>"113858"</f>
        <v>113858</v>
      </c>
      <c r="C5876" t="str">
        <f>"86628"</f>
        <v>86628</v>
      </c>
      <c r="D5876" t="s">
        <v>2323</v>
      </c>
      <c r="E5876">
        <v>105</v>
      </c>
      <c r="F5876">
        <v>20140127</v>
      </c>
      <c r="G5876" t="s">
        <v>2324</v>
      </c>
      <c r="H5876" t="s">
        <v>765</v>
      </c>
      <c r="I5876" t="s">
        <v>61</v>
      </c>
    </row>
    <row r="5877" spans="1:9" x14ac:dyDescent="0.25">
      <c r="A5877">
        <v>20140130</v>
      </c>
      <c r="B5877" t="str">
        <f>"113859"</f>
        <v>113859</v>
      </c>
      <c r="C5877" t="str">
        <f>"00500"</f>
        <v>00500</v>
      </c>
      <c r="D5877" t="s">
        <v>486</v>
      </c>
      <c r="E5877" s="1">
        <v>1967.85</v>
      </c>
      <c r="F5877">
        <v>20140129</v>
      </c>
      <c r="G5877" t="s">
        <v>1705</v>
      </c>
      <c r="H5877" t="s">
        <v>488</v>
      </c>
      <c r="I5877" t="s">
        <v>21</v>
      </c>
    </row>
    <row r="5878" spans="1:9" x14ac:dyDescent="0.25">
      <c r="A5878">
        <v>20140130</v>
      </c>
      <c r="B5878" t="str">
        <f>"113860"</f>
        <v>113860</v>
      </c>
      <c r="C5878" t="str">
        <f>"00500"</f>
        <v>00500</v>
      </c>
      <c r="D5878" t="s">
        <v>486</v>
      </c>
      <c r="E5878">
        <v>770.82</v>
      </c>
      <c r="F5878">
        <v>20140127</v>
      </c>
      <c r="G5878" t="s">
        <v>1705</v>
      </c>
      <c r="H5878" t="s">
        <v>488</v>
      </c>
      <c r="I5878" t="s">
        <v>21</v>
      </c>
    </row>
    <row r="5879" spans="1:9" x14ac:dyDescent="0.25">
      <c r="A5879">
        <v>20140130</v>
      </c>
      <c r="B5879" t="str">
        <f>"113861"</f>
        <v>113861</v>
      </c>
      <c r="C5879" t="str">
        <f>"00500"</f>
        <v>00500</v>
      </c>
      <c r="D5879" t="s">
        <v>486</v>
      </c>
      <c r="E5879">
        <v>91.98</v>
      </c>
      <c r="F5879">
        <v>20140127</v>
      </c>
      <c r="G5879" t="s">
        <v>1705</v>
      </c>
      <c r="H5879" t="s">
        <v>488</v>
      </c>
      <c r="I5879" t="s">
        <v>21</v>
      </c>
    </row>
    <row r="5880" spans="1:9" x14ac:dyDescent="0.25">
      <c r="A5880">
        <v>20140130</v>
      </c>
      <c r="B5880" t="str">
        <f>"113862"</f>
        <v>113862</v>
      </c>
      <c r="C5880" t="str">
        <f>"87687"</f>
        <v>87687</v>
      </c>
      <c r="D5880" t="s">
        <v>2826</v>
      </c>
      <c r="E5880">
        <v>55</v>
      </c>
      <c r="F5880">
        <v>20140129</v>
      </c>
      <c r="G5880" t="s">
        <v>2820</v>
      </c>
      <c r="H5880" t="s">
        <v>765</v>
      </c>
      <c r="I5880" t="s">
        <v>61</v>
      </c>
    </row>
    <row r="5881" spans="1:9" x14ac:dyDescent="0.25">
      <c r="A5881">
        <v>20140130</v>
      </c>
      <c r="B5881" t="str">
        <f t="shared" ref="B5881:B5887" si="377">"113863"</f>
        <v>113863</v>
      </c>
      <c r="C5881" t="str">
        <f t="shared" ref="C5881:C5887" si="378">"00255"</f>
        <v>00255</v>
      </c>
      <c r="D5881" t="s">
        <v>489</v>
      </c>
      <c r="E5881">
        <v>823.41</v>
      </c>
      <c r="F5881">
        <v>20140123</v>
      </c>
      <c r="G5881" t="s">
        <v>1350</v>
      </c>
      <c r="H5881" t="s">
        <v>488</v>
      </c>
      <c r="I5881" t="s">
        <v>21</v>
      </c>
    </row>
    <row r="5882" spans="1:9" x14ac:dyDescent="0.25">
      <c r="A5882">
        <v>20140130</v>
      </c>
      <c r="B5882" t="str">
        <f t="shared" si="377"/>
        <v>113863</v>
      </c>
      <c r="C5882" t="str">
        <f t="shared" si="378"/>
        <v>00255</v>
      </c>
      <c r="D5882" t="s">
        <v>489</v>
      </c>
      <c r="E5882" s="1">
        <v>8325.64</v>
      </c>
      <c r="F5882">
        <v>20140123</v>
      </c>
      <c r="G5882" t="s">
        <v>1351</v>
      </c>
      <c r="H5882" t="s">
        <v>488</v>
      </c>
      <c r="I5882" t="s">
        <v>21</v>
      </c>
    </row>
    <row r="5883" spans="1:9" x14ac:dyDescent="0.25">
      <c r="A5883">
        <v>20140130</v>
      </c>
      <c r="B5883" t="str">
        <f t="shared" si="377"/>
        <v>113863</v>
      </c>
      <c r="C5883" t="str">
        <f t="shared" si="378"/>
        <v>00255</v>
      </c>
      <c r="D5883" t="s">
        <v>489</v>
      </c>
      <c r="E5883">
        <v>278.8</v>
      </c>
      <c r="F5883">
        <v>20140129</v>
      </c>
      <c r="G5883" t="s">
        <v>1183</v>
      </c>
      <c r="H5883" t="s">
        <v>488</v>
      </c>
      <c r="I5883" t="s">
        <v>21</v>
      </c>
    </row>
    <row r="5884" spans="1:9" x14ac:dyDescent="0.25">
      <c r="A5884">
        <v>20140130</v>
      </c>
      <c r="B5884" t="str">
        <f t="shared" si="377"/>
        <v>113863</v>
      </c>
      <c r="C5884" t="str">
        <f t="shared" si="378"/>
        <v>00255</v>
      </c>
      <c r="D5884" t="s">
        <v>489</v>
      </c>
      <c r="E5884" s="1">
        <v>3328.28</v>
      </c>
      <c r="F5884">
        <v>20140129</v>
      </c>
      <c r="G5884" t="s">
        <v>1183</v>
      </c>
      <c r="H5884" t="s">
        <v>488</v>
      </c>
      <c r="I5884" t="s">
        <v>21</v>
      </c>
    </row>
    <row r="5885" spans="1:9" x14ac:dyDescent="0.25">
      <c r="A5885">
        <v>20140130</v>
      </c>
      <c r="B5885" t="str">
        <f t="shared" si="377"/>
        <v>113863</v>
      </c>
      <c r="C5885" t="str">
        <f t="shared" si="378"/>
        <v>00255</v>
      </c>
      <c r="D5885" t="s">
        <v>489</v>
      </c>
      <c r="E5885" s="1">
        <v>2717.64</v>
      </c>
      <c r="F5885">
        <v>20140129</v>
      </c>
      <c r="G5885" t="s">
        <v>1185</v>
      </c>
      <c r="H5885" t="s">
        <v>488</v>
      </c>
      <c r="I5885" t="s">
        <v>21</v>
      </c>
    </row>
    <row r="5886" spans="1:9" x14ac:dyDescent="0.25">
      <c r="A5886">
        <v>20140130</v>
      </c>
      <c r="B5886" t="str">
        <f t="shared" si="377"/>
        <v>113863</v>
      </c>
      <c r="C5886" t="str">
        <f t="shared" si="378"/>
        <v>00255</v>
      </c>
      <c r="D5886" t="s">
        <v>489</v>
      </c>
      <c r="E5886">
        <v>580.61</v>
      </c>
      <c r="F5886">
        <v>20140123</v>
      </c>
      <c r="G5886" t="s">
        <v>771</v>
      </c>
      <c r="H5886" t="s">
        <v>488</v>
      </c>
      <c r="I5886" t="s">
        <v>21</v>
      </c>
    </row>
    <row r="5887" spans="1:9" x14ac:dyDescent="0.25">
      <c r="A5887">
        <v>20140130</v>
      </c>
      <c r="B5887" t="str">
        <f t="shared" si="377"/>
        <v>113863</v>
      </c>
      <c r="C5887" t="str">
        <f t="shared" si="378"/>
        <v>00255</v>
      </c>
      <c r="D5887" t="s">
        <v>489</v>
      </c>
      <c r="E5887">
        <v>151.51</v>
      </c>
      <c r="F5887">
        <v>20140123</v>
      </c>
      <c r="G5887" t="s">
        <v>1186</v>
      </c>
      <c r="H5887" t="s">
        <v>488</v>
      </c>
      <c r="I5887" t="s">
        <v>21</v>
      </c>
    </row>
    <row r="5888" spans="1:9" x14ac:dyDescent="0.25">
      <c r="A5888">
        <v>20140130</v>
      </c>
      <c r="B5888" t="str">
        <f>"113864"</f>
        <v>113864</v>
      </c>
      <c r="C5888" t="str">
        <f>"09575"</f>
        <v>09575</v>
      </c>
      <c r="D5888" t="s">
        <v>2109</v>
      </c>
      <c r="E5888">
        <v>297.5</v>
      </c>
      <c r="F5888">
        <v>20140124</v>
      </c>
      <c r="G5888" t="s">
        <v>2219</v>
      </c>
      <c r="H5888" t="s">
        <v>3102</v>
      </c>
      <c r="I5888" t="s">
        <v>61</v>
      </c>
    </row>
    <row r="5889" spans="1:9" x14ac:dyDescent="0.25">
      <c r="A5889">
        <v>20140130</v>
      </c>
      <c r="B5889" t="str">
        <f>"113865"</f>
        <v>113865</v>
      </c>
      <c r="C5889" t="str">
        <f>"00728"</f>
        <v>00728</v>
      </c>
      <c r="D5889" t="s">
        <v>1557</v>
      </c>
      <c r="E5889" s="1">
        <v>1976.59</v>
      </c>
      <c r="F5889">
        <v>20140129</v>
      </c>
      <c r="G5889" t="s">
        <v>1067</v>
      </c>
      <c r="H5889" t="s">
        <v>3103</v>
      </c>
      <c r="I5889" t="s">
        <v>21</v>
      </c>
    </row>
    <row r="5890" spans="1:9" x14ac:dyDescent="0.25">
      <c r="A5890">
        <v>20140130</v>
      </c>
      <c r="B5890" t="str">
        <f>"113865"</f>
        <v>113865</v>
      </c>
      <c r="C5890" t="str">
        <f>"00728"</f>
        <v>00728</v>
      </c>
      <c r="D5890" t="s">
        <v>1557</v>
      </c>
      <c r="E5890">
        <v>148.65</v>
      </c>
      <c r="F5890">
        <v>20140128</v>
      </c>
      <c r="G5890" t="s">
        <v>837</v>
      </c>
      <c r="H5890" t="s">
        <v>3104</v>
      </c>
      <c r="I5890" t="s">
        <v>21</v>
      </c>
    </row>
    <row r="5891" spans="1:9" x14ac:dyDescent="0.25">
      <c r="A5891">
        <v>20140130</v>
      </c>
      <c r="B5891" t="str">
        <f>"113866"</f>
        <v>113866</v>
      </c>
      <c r="C5891" t="str">
        <f>"87651"</f>
        <v>87651</v>
      </c>
      <c r="D5891" t="s">
        <v>2584</v>
      </c>
      <c r="E5891">
        <v>85</v>
      </c>
      <c r="F5891">
        <v>20140129</v>
      </c>
      <c r="G5891" t="s">
        <v>2820</v>
      </c>
      <c r="H5891" t="s">
        <v>765</v>
      </c>
      <c r="I5891" t="s">
        <v>61</v>
      </c>
    </row>
    <row r="5892" spans="1:9" x14ac:dyDescent="0.25">
      <c r="A5892">
        <v>20140130</v>
      </c>
      <c r="B5892" t="str">
        <f>"113867"</f>
        <v>113867</v>
      </c>
      <c r="C5892" t="str">
        <f>"81653"</f>
        <v>81653</v>
      </c>
      <c r="D5892" t="s">
        <v>3105</v>
      </c>
      <c r="E5892" s="1">
        <v>1430</v>
      </c>
      <c r="F5892">
        <v>20140128</v>
      </c>
      <c r="G5892" t="s">
        <v>2663</v>
      </c>
      <c r="H5892" t="s">
        <v>954</v>
      </c>
      <c r="I5892" t="s">
        <v>21</v>
      </c>
    </row>
    <row r="5893" spans="1:9" x14ac:dyDescent="0.25">
      <c r="A5893">
        <v>20140130</v>
      </c>
      <c r="B5893" t="str">
        <f>"113868"</f>
        <v>113868</v>
      </c>
      <c r="C5893" t="str">
        <f>"84323"</f>
        <v>84323</v>
      </c>
      <c r="D5893" t="s">
        <v>2114</v>
      </c>
      <c r="E5893">
        <v>53.86</v>
      </c>
      <c r="F5893">
        <v>20140123</v>
      </c>
      <c r="G5893" t="s">
        <v>864</v>
      </c>
      <c r="H5893" t="s">
        <v>354</v>
      </c>
      <c r="I5893" t="s">
        <v>21</v>
      </c>
    </row>
    <row r="5894" spans="1:9" x14ac:dyDescent="0.25">
      <c r="A5894">
        <v>20140130</v>
      </c>
      <c r="B5894" t="str">
        <f>"113869"</f>
        <v>113869</v>
      </c>
      <c r="C5894" t="str">
        <f>"82686"</f>
        <v>82686</v>
      </c>
      <c r="D5894" t="s">
        <v>2482</v>
      </c>
      <c r="E5894">
        <v>21.73</v>
      </c>
      <c r="F5894">
        <v>20140123</v>
      </c>
      <c r="G5894" t="s">
        <v>864</v>
      </c>
      <c r="H5894" t="s">
        <v>354</v>
      </c>
      <c r="I5894" t="s">
        <v>21</v>
      </c>
    </row>
    <row r="5895" spans="1:9" x14ac:dyDescent="0.25">
      <c r="A5895">
        <v>20140130</v>
      </c>
      <c r="B5895" t="str">
        <f>"113870"</f>
        <v>113870</v>
      </c>
      <c r="C5895" t="str">
        <f>"82984"</f>
        <v>82984</v>
      </c>
      <c r="D5895" t="s">
        <v>781</v>
      </c>
      <c r="E5895">
        <v>800</v>
      </c>
      <c r="F5895">
        <v>20140127</v>
      </c>
      <c r="G5895" t="s">
        <v>347</v>
      </c>
      <c r="H5895" t="s">
        <v>361</v>
      </c>
      <c r="I5895" t="s">
        <v>61</v>
      </c>
    </row>
    <row r="5896" spans="1:9" x14ac:dyDescent="0.25">
      <c r="A5896">
        <v>20140130</v>
      </c>
      <c r="B5896" t="str">
        <f>"113871"</f>
        <v>113871</v>
      </c>
      <c r="C5896" t="str">
        <f>"00390"</f>
        <v>00390</v>
      </c>
      <c r="D5896" t="s">
        <v>3106</v>
      </c>
      <c r="E5896" s="1">
        <v>1625.5</v>
      </c>
      <c r="F5896">
        <v>20140129</v>
      </c>
      <c r="G5896" t="s">
        <v>367</v>
      </c>
      <c r="H5896" t="s">
        <v>3107</v>
      </c>
      <c r="I5896" t="s">
        <v>21</v>
      </c>
    </row>
    <row r="5897" spans="1:9" x14ac:dyDescent="0.25">
      <c r="A5897">
        <v>20140130</v>
      </c>
      <c r="B5897" t="str">
        <f>"113872"</f>
        <v>113872</v>
      </c>
      <c r="C5897" t="str">
        <f>"12395"</f>
        <v>12395</v>
      </c>
      <c r="D5897" t="s">
        <v>3108</v>
      </c>
      <c r="E5897" s="1">
        <v>28312.9</v>
      </c>
      <c r="F5897">
        <v>20140129</v>
      </c>
      <c r="G5897" t="s">
        <v>1467</v>
      </c>
      <c r="H5897" t="s">
        <v>3109</v>
      </c>
      <c r="I5897" t="s">
        <v>21</v>
      </c>
    </row>
    <row r="5898" spans="1:9" x14ac:dyDescent="0.25">
      <c r="A5898">
        <v>20140130</v>
      </c>
      <c r="B5898" t="str">
        <f>"113873"</f>
        <v>113873</v>
      </c>
      <c r="C5898" t="str">
        <f>"87624"</f>
        <v>87624</v>
      </c>
      <c r="D5898" t="s">
        <v>3110</v>
      </c>
      <c r="E5898">
        <v>797.68</v>
      </c>
      <c r="F5898">
        <v>20140129</v>
      </c>
      <c r="G5898" t="s">
        <v>1776</v>
      </c>
      <c r="H5898" t="s">
        <v>3111</v>
      </c>
      <c r="I5898" t="s">
        <v>21</v>
      </c>
    </row>
    <row r="5899" spans="1:9" x14ac:dyDescent="0.25">
      <c r="A5899">
        <v>20140130</v>
      </c>
      <c r="B5899" t="str">
        <f>"113874"</f>
        <v>113874</v>
      </c>
      <c r="C5899" t="str">
        <f>"86533"</f>
        <v>86533</v>
      </c>
      <c r="D5899" t="s">
        <v>505</v>
      </c>
      <c r="E5899">
        <v>2.4500000000000002</v>
      </c>
      <c r="F5899">
        <v>20140129</v>
      </c>
      <c r="G5899" t="s">
        <v>1640</v>
      </c>
      <c r="H5899" t="s">
        <v>414</v>
      </c>
      <c r="I5899" t="s">
        <v>21</v>
      </c>
    </row>
    <row r="5900" spans="1:9" x14ac:dyDescent="0.25">
      <c r="A5900">
        <v>20140130</v>
      </c>
      <c r="B5900" t="str">
        <f>"113874"</f>
        <v>113874</v>
      </c>
      <c r="C5900" t="str">
        <f>"86533"</f>
        <v>86533</v>
      </c>
      <c r="D5900" t="s">
        <v>505</v>
      </c>
      <c r="E5900">
        <v>65</v>
      </c>
      <c r="F5900">
        <v>20140129</v>
      </c>
      <c r="G5900" t="s">
        <v>1640</v>
      </c>
      <c r="H5900" t="s">
        <v>414</v>
      </c>
      <c r="I5900" t="s">
        <v>21</v>
      </c>
    </row>
    <row r="5901" spans="1:9" x14ac:dyDescent="0.25">
      <c r="A5901">
        <v>20140130</v>
      </c>
      <c r="B5901" t="str">
        <f>"113875"</f>
        <v>113875</v>
      </c>
      <c r="C5901" t="str">
        <f>"86713"</f>
        <v>86713</v>
      </c>
      <c r="D5901" t="s">
        <v>2485</v>
      </c>
      <c r="E5901">
        <v>135</v>
      </c>
      <c r="F5901">
        <v>20140123</v>
      </c>
      <c r="G5901" t="s">
        <v>2324</v>
      </c>
      <c r="H5901" t="s">
        <v>765</v>
      </c>
      <c r="I5901" t="s">
        <v>61</v>
      </c>
    </row>
    <row r="5902" spans="1:9" x14ac:dyDescent="0.25">
      <c r="A5902">
        <v>20140130</v>
      </c>
      <c r="B5902" t="str">
        <f>"113876"</f>
        <v>113876</v>
      </c>
      <c r="C5902" t="str">
        <f>"87203"</f>
        <v>87203</v>
      </c>
      <c r="D5902" t="s">
        <v>3112</v>
      </c>
      <c r="E5902">
        <v>105</v>
      </c>
      <c r="F5902">
        <v>20140123</v>
      </c>
      <c r="G5902" t="s">
        <v>2324</v>
      </c>
      <c r="H5902" t="s">
        <v>765</v>
      </c>
      <c r="I5902" t="s">
        <v>61</v>
      </c>
    </row>
    <row r="5903" spans="1:9" x14ac:dyDescent="0.25">
      <c r="A5903">
        <v>20140130</v>
      </c>
      <c r="B5903" t="str">
        <f>"113877"</f>
        <v>113877</v>
      </c>
      <c r="C5903" t="str">
        <f>"87205"</f>
        <v>87205</v>
      </c>
      <c r="D5903" t="s">
        <v>3113</v>
      </c>
      <c r="E5903">
        <v>85</v>
      </c>
      <c r="F5903">
        <v>20140129</v>
      </c>
      <c r="G5903" t="s">
        <v>2820</v>
      </c>
      <c r="H5903" t="s">
        <v>765</v>
      </c>
      <c r="I5903" t="s">
        <v>61</v>
      </c>
    </row>
    <row r="5904" spans="1:9" x14ac:dyDescent="0.25">
      <c r="A5904">
        <v>20140130</v>
      </c>
      <c r="B5904" t="str">
        <f>"113878"</f>
        <v>113878</v>
      </c>
      <c r="C5904" t="str">
        <f>"15897"</f>
        <v>15897</v>
      </c>
      <c r="D5904" t="s">
        <v>1012</v>
      </c>
      <c r="E5904">
        <v>270</v>
      </c>
      <c r="F5904">
        <v>20140123</v>
      </c>
      <c r="G5904" t="s">
        <v>1153</v>
      </c>
      <c r="H5904" t="s">
        <v>354</v>
      </c>
      <c r="I5904" t="s">
        <v>61</v>
      </c>
    </row>
    <row r="5905" spans="1:9" x14ac:dyDescent="0.25">
      <c r="A5905">
        <v>20140130</v>
      </c>
      <c r="B5905" t="str">
        <f>"113879"</f>
        <v>113879</v>
      </c>
      <c r="C5905" t="str">
        <f>"87178"</f>
        <v>87178</v>
      </c>
      <c r="D5905" t="s">
        <v>3114</v>
      </c>
      <c r="E5905">
        <v>73.84</v>
      </c>
      <c r="F5905">
        <v>20140124</v>
      </c>
      <c r="G5905" t="s">
        <v>145</v>
      </c>
      <c r="H5905" t="s">
        <v>3115</v>
      </c>
      <c r="I5905" t="s">
        <v>38</v>
      </c>
    </row>
    <row r="5906" spans="1:9" x14ac:dyDescent="0.25">
      <c r="A5906">
        <v>20140130</v>
      </c>
      <c r="B5906" t="str">
        <f t="shared" ref="B5906:B5945" si="379">"113880"</f>
        <v>113880</v>
      </c>
      <c r="C5906" t="str">
        <f t="shared" ref="C5906:C5945" si="380">"83878"</f>
        <v>83878</v>
      </c>
      <c r="D5906" t="s">
        <v>1016</v>
      </c>
      <c r="E5906">
        <v>264.60000000000002</v>
      </c>
      <c r="F5906">
        <v>20140129</v>
      </c>
      <c r="G5906" t="s">
        <v>1067</v>
      </c>
      <c r="H5906" t="s">
        <v>3116</v>
      </c>
      <c r="I5906" t="s">
        <v>21</v>
      </c>
    </row>
    <row r="5907" spans="1:9" x14ac:dyDescent="0.25">
      <c r="A5907">
        <v>20140130</v>
      </c>
      <c r="B5907" t="str">
        <f t="shared" si="379"/>
        <v>113880</v>
      </c>
      <c r="C5907" t="str">
        <f t="shared" si="380"/>
        <v>83878</v>
      </c>
      <c r="D5907" t="s">
        <v>1016</v>
      </c>
      <c r="E5907">
        <v>145.88</v>
      </c>
      <c r="F5907">
        <v>20140129</v>
      </c>
      <c r="G5907" t="s">
        <v>1067</v>
      </c>
      <c r="H5907" t="s">
        <v>1018</v>
      </c>
      <c r="I5907" t="s">
        <v>21</v>
      </c>
    </row>
    <row r="5908" spans="1:9" x14ac:dyDescent="0.25">
      <c r="A5908">
        <v>20140130</v>
      </c>
      <c r="B5908" t="str">
        <f t="shared" si="379"/>
        <v>113880</v>
      </c>
      <c r="C5908" t="str">
        <f t="shared" si="380"/>
        <v>83878</v>
      </c>
      <c r="D5908" t="s">
        <v>1016</v>
      </c>
      <c r="E5908">
        <v>95.9</v>
      </c>
      <c r="F5908">
        <v>20140129</v>
      </c>
      <c r="G5908" t="s">
        <v>1712</v>
      </c>
      <c r="H5908" t="s">
        <v>1018</v>
      </c>
      <c r="I5908" t="s">
        <v>21</v>
      </c>
    </row>
    <row r="5909" spans="1:9" x14ac:dyDescent="0.25">
      <c r="A5909">
        <v>20140130</v>
      </c>
      <c r="B5909" t="str">
        <f t="shared" si="379"/>
        <v>113880</v>
      </c>
      <c r="C5909" t="str">
        <f t="shared" si="380"/>
        <v>83878</v>
      </c>
      <c r="D5909" t="s">
        <v>1016</v>
      </c>
      <c r="E5909">
        <v>217.23</v>
      </c>
      <c r="F5909">
        <v>20140129</v>
      </c>
      <c r="G5909" t="s">
        <v>1924</v>
      </c>
      <c r="H5909" t="s">
        <v>3117</v>
      </c>
      <c r="I5909" t="s">
        <v>21</v>
      </c>
    </row>
    <row r="5910" spans="1:9" x14ac:dyDescent="0.25">
      <c r="A5910">
        <v>20140130</v>
      </c>
      <c r="B5910" t="str">
        <f t="shared" si="379"/>
        <v>113880</v>
      </c>
      <c r="C5910" t="str">
        <f t="shared" si="380"/>
        <v>83878</v>
      </c>
      <c r="D5910" t="s">
        <v>1016</v>
      </c>
      <c r="E5910">
        <v>155.61000000000001</v>
      </c>
      <c r="F5910">
        <v>20140129</v>
      </c>
      <c r="G5910" t="s">
        <v>1020</v>
      </c>
      <c r="H5910" t="s">
        <v>3118</v>
      </c>
      <c r="I5910" t="s">
        <v>21</v>
      </c>
    </row>
    <row r="5911" spans="1:9" x14ac:dyDescent="0.25">
      <c r="A5911">
        <v>20140130</v>
      </c>
      <c r="B5911" t="str">
        <f t="shared" si="379"/>
        <v>113880</v>
      </c>
      <c r="C5911" t="str">
        <f t="shared" si="380"/>
        <v>83878</v>
      </c>
      <c r="D5911" t="s">
        <v>1016</v>
      </c>
      <c r="E5911">
        <v>588.79999999999995</v>
      </c>
      <c r="F5911">
        <v>20140129</v>
      </c>
      <c r="G5911" t="s">
        <v>1020</v>
      </c>
      <c r="H5911" t="s">
        <v>1018</v>
      </c>
      <c r="I5911" t="s">
        <v>21</v>
      </c>
    </row>
    <row r="5912" spans="1:9" x14ac:dyDescent="0.25">
      <c r="A5912">
        <v>20140130</v>
      </c>
      <c r="B5912" t="str">
        <f t="shared" si="379"/>
        <v>113880</v>
      </c>
      <c r="C5912" t="str">
        <f t="shared" si="380"/>
        <v>83878</v>
      </c>
      <c r="D5912" t="s">
        <v>1016</v>
      </c>
      <c r="E5912">
        <v>173.39</v>
      </c>
      <c r="F5912">
        <v>20140129</v>
      </c>
      <c r="G5912" t="s">
        <v>2439</v>
      </c>
      <c r="H5912" t="s">
        <v>1018</v>
      </c>
      <c r="I5912" t="s">
        <v>21</v>
      </c>
    </row>
    <row r="5913" spans="1:9" x14ac:dyDescent="0.25">
      <c r="A5913">
        <v>20140130</v>
      </c>
      <c r="B5913" t="str">
        <f t="shared" si="379"/>
        <v>113880</v>
      </c>
      <c r="C5913" t="str">
        <f t="shared" si="380"/>
        <v>83878</v>
      </c>
      <c r="D5913" t="s">
        <v>1016</v>
      </c>
      <c r="E5913">
        <v>366.82</v>
      </c>
      <c r="F5913">
        <v>20140129</v>
      </c>
      <c r="G5913" t="s">
        <v>1605</v>
      </c>
      <c r="H5913" t="s">
        <v>3119</v>
      </c>
      <c r="I5913" t="s">
        <v>21</v>
      </c>
    </row>
    <row r="5914" spans="1:9" x14ac:dyDescent="0.25">
      <c r="A5914">
        <v>20140130</v>
      </c>
      <c r="B5914" t="str">
        <f t="shared" si="379"/>
        <v>113880</v>
      </c>
      <c r="C5914" t="str">
        <f t="shared" si="380"/>
        <v>83878</v>
      </c>
      <c r="D5914" t="s">
        <v>1016</v>
      </c>
      <c r="E5914">
        <v>336.3</v>
      </c>
      <c r="F5914">
        <v>20140129</v>
      </c>
      <c r="G5914" t="s">
        <v>864</v>
      </c>
      <c r="H5914" t="s">
        <v>1018</v>
      </c>
      <c r="I5914" t="s">
        <v>21</v>
      </c>
    </row>
    <row r="5915" spans="1:9" x14ac:dyDescent="0.25">
      <c r="A5915">
        <v>20140130</v>
      </c>
      <c r="B5915" t="str">
        <f t="shared" si="379"/>
        <v>113880</v>
      </c>
      <c r="C5915" t="str">
        <f t="shared" si="380"/>
        <v>83878</v>
      </c>
      <c r="D5915" t="s">
        <v>1016</v>
      </c>
      <c r="E5915">
        <v>153.12</v>
      </c>
      <c r="F5915">
        <v>20140129</v>
      </c>
      <c r="G5915" t="s">
        <v>1478</v>
      </c>
      <c r="H5915" t="s">
        <v>1018</v>
      </c>
      <c r="I5915" t="s">
        <v>21</v>
      </c>
    </row>
    <row r="5916" spans="1:9" x14ac:dyDescent="0.25">
      <c r="A5916">
        <v>20140130</v>
      </c>
      <c r="B5916" t="str">
        <f t="shared" si="379"/>
        <v>113880</v>
      </c>
      <c r="C5916" t="str">
        <f t="shared" si="380"/>
        <v>83878</v>
      </c>
      <c r="D5916" t="s">
        <v>1016</v>
      </c>
      <c r="E5916">
        <v>66.75</v>
      </c>
      <c r="F5916">
        <v>20140129</v>
      </c>
      <c r="G5916" t="s">
        <v>834</v>
      </c>
      <c r="H5916" t="s">
        <v>1018</v>
      </c>
      <c r="I5916" t="s">
        <v>21</v>
      </c>
    </row>
    <row r="5917" spans="1:9" x14ac:dyDescent="0.25">
      <c r="A5917">
        <v>20140130</v>
      </c>
      <c r="B5917" t="str">
        <f t="shared" si="379"/>
        <v>113880</v>
      </c>
      <c r="C5917" t="str">
        <f t="shared" si="380"/>
        <v>83878</v>
      </c>
      <c r="D5917" t="s">
        <v>1016</v>
      </c>
      <c r="E5917">
        <v>245.95</v>
      </c>
      <c r="F5917">
        <v>20140129</v>
      </c>
      <c r="G5917" t="s">
        <v>834</v>
      </c>
      <c r="H5917" t="s">
        <v>1018</v>
      </c>
      <c r="I5917" t="s">
        <v>21</v>
      </c>
    </row>
    <row r="5918" spans="1:9" x14ac:dyDescent="0.25">
      <c r="A5918">
        <v>20140130</v>
      </c>
      <c r="B5918" t="str">
        <f t="shared" si="379"/>
        <v>113880</v>
      </c>
      <c r="C5918" t="str">
        <f t="shared" si="380"/>
        <v>83878</v>
      </c>
      <c r="D5918" t="s">
        <v>1016</v>
      </c>
      <c r="E5918">
        <v>105.17</v>
      </c>
      <c r="F5918">
        <v>20140129</v>
      </c>
      <c r="G5918" t="s">
        <v>2358</v>
      </c>
      <c r="H5918" t="s">
        <v>1018</v>
      </c>
      <c r="I5918" t="s">
        <v>21</v>
      </c>
    </row>
    <row r="5919" spans="1:9" x14ac:dyDescent="0.25">
      <c r="A5919">
        <v>20140130</v>
      </c>
      <c r="B5919" t="str">
        <f t="shared" si="379"/>
        <v>113880</v>
      </c>
      <c r="C5919" t="str">
        <f t="shared" si="380"/>
        <v>83878</v>
      </c>
      <c r="D5919" t="s">
        <v>1016</v>
      </c>
      <c r="E5919">
        <v>252.63</v>
      </c>
      <c r="F5919">
        <v>20140129</v>
      </c>
      <c r="G5919" t="s">
        <v>1227</v>
      </c>
      <c r="H5919" t="s">
        <v>1018</v>
      </c>
      <c r="I5919" t="s">
        <v>21</v>
      </c>
    </row>
    <row r="5920" spans="1:9" x14ac:dyDescent="0.25">
      <c r="A5920">
        <v>20140130</v>
      </c>
      <c r="B5920" t="str">
        <f t="shared" si="379"/>
        <v>113880</v>
      </c>
      <c r="C5920" t="str">
        <f t="shared" si="380"/>
        <v>83878</v>
      </c>
      <c r="D5920" t="s">
        <v>1016</v>
      </c>
      <c r="E5920">
        <v>76</v>
      </c>
      <c r="F5920">
        <v>20140129</v>
      </c>
      <c r="G5920" t="s">
        <v>1165</v>
      </c>
      <c r="H5920" t="s">
        <v>1018</v>
      </c>
      <c r="I5920" t="s">
        <v>21</v>
      </c>
    </row>
    <row r="5921" spans="1:9" x14ac:dyDescent="0.25">
      <c r="A5921">
        <v>20140130</v>
      </c>
      <c r="B5921" t="str">
        <f t="shared" si="379"/>
        <v>113880</v>
      </c>
      <c r="C5921" t="str">
        <f t="shared" si="380"/>
        <v>83878</v>
      </c>
      <c r="D5921" t="s">
        <v>1016</v>
      </c>
      <c r="E5921">
        <v>343.59</v>
      </c>
      <c r="F5921">
        <v>20140129</v>
      </c>
      <c r="G5921" t="s">
        <v>1329</v>
      </c>
      <c r="H5921" t="s">
        <v>1330</v>
      </c>
      <c r="I5921" t="s">
        <v>21</v>
      </c>
    </row>
    <row r="5922" spans="1:9" x14ac:dyDescent="0.25">
      <c r="A5922">
        <v>20140130</v>
      </c>
      <c r="B5922" t="str">
        <f t="shared" si="379"/>
        <v>113880</v>
      </c>
      <c r="C5922" t="str">
        <f t="shared" si="380"/>
        <v>83878</v>
      </c>
      <c r="D5922" t="s">
        <v>1016</v>
      </c>
      <c r="E5922">
        <v>106.69</v>
      </c>
      <c r="F5922">
        <v>20140129</v>
      </c>
      <c r="G5922" t="s">
        <v>496</v>
      </c>
      <c r="H5922" t="s">
        <v>1018</v>
      </c>
      <c r="I5922" t="s">
        <v>21</v>
      </c>
    </row>
    <row r="5923" spans="1:9" x14ac:dyDescent="0.25">
      <c r="A5923">
        <v>20140130</v>
      </c>
      <c r="B5923" t="str">
        <f t="shared" si="379"/>
        <v>113880</v>
      </c>
      <c r="C5923" t="str">
        <f t="shared" si="380"/>
        <v>83878</v>
      </c>
      <c r="D5923" t="s">
        <v>1016</v>
      </c>
      <c r="E5923">
        <v>86.22</v>
      </c>
      <c r="F5923">
        <v>20140129</v>
      </c>
      <c r="G5923" t="s">
        <v>1672</v>
      </c>
      <c r="H5923" t="s">
        <v>1018</v>
      </c>
      <c r="I5923" t="s">
        <v>21</v>
      </c>
    </row>
    <row r="5924" spans="1:9" x14ac:dyDescent="0.25">
      <c r="A5924">
        <v>20140130</v>
      </c>
      <c r="B5924" t="str">
        <f t="shared" si="379"/>
        <v>113880</v>
      </c>
      <c r="C5924" t="str">
        <f t="shared" si="380"/>
        <v>83878</v>
      </c>
      <c r="D5924" t="s">
        <v>1016</v>
      </c>
      <c r="E5924">
        <v>66.12</v>
      </c>
      <c r="F5924">
        <v>20140129</v>
      </c>
      <c r="G5924" t="s">
        <v>1010</v>
      </c>
      <c r="H5924" t="s">
        <v>1018</v>
      </c>
      <c r="I5924" t="s">
        <v>21</v>
      </c>
    </row>
    <row r="5925" spans="1:9" x14ac:dyDescent="0.25">
      <c r="A5925">
        <v>20140130</v>
      </c>
      <c r="B5925" t="str">
        <f t="shared" si="379"/>
        <v>113880</v>
      </c>
      <c r="C5925" t="str">
        <f t="shared" si="380"/>
        <v>83878</v>
      </c>
      <c r="D5925" t="s">
        <v>1016</v>
      </c>
      <c r="E5925">
        <v>103.98</v>
      </c>
      <c r="F5925">
        <v>20140129</v>
      </c>
      <c r="G5925" t="s">
        <v>585</v>
      </c>
      <c r="H5925" t="s">
        <v>1018</v>
      </c>
      <c r="I5925" t="s">
        <v>21</v>
      </c>
    </row>
    <row r="5926" spans="1:9" x14ac:dyDescent="0.25">
      <c r="A5926">
        <v>20140130</v>
      </c>
      <c r="B5926" t="str">
        <f t="shared" si="379"/>
        <v>113880</v>
      </c>
      <c r="C5926" t="str">
        <f t="shared" si="380"/>
        <v>83878</v>
      </c>
      <c r="D5926" t="s">
        <v>1016</v>
      </c>
      <c r="E5926">
        <v>484.08</v>
      </c>
      <c r="F5926">
        <v>20140129</v>
      </c>
      <c r="G5926" t="s">
        <v>837</v>
      </c>
      <c r="H5926" t="s">
        <v>1018</v>
      </c>
      <c r="I5926" t="s">
        <v>21</v>
      </c>
    </row>
    <row r="5927" spans="1:9" x14ac:dyDescent="0.25">
      <c r="A5927">
        <v>20140130</v>
      </c>
      <c r="B5927" t="str">
        <f t="shared" si="379"/>
        <v>113880</v>
      </c>
      <c r="C5927" t="str">
        <f t="shared" si="380"/>
        <v>83878</v>
      </c>
      <c r="D5927" t="s">
        <v>1016</v>
      </c>
      <c r="E5927">
        <v>108.16</v>
      </c>
      <c r="F5927">
        <v>20140129</v>
      </c>
      <c r="G5927" t="s">
        <v>367</v>
      </c>
      <c r="H5927" t="s">
        <v>1018</v>
      </c>
      <c r="I5927" t="s">
        <v>21</v>
      </c>
    </row>
    <row r="5928" spans="1:9" x14ac:dyDescent="0.25">
      <c r="A5928">
        <v>20140130</v>
      </c>
      <c r="B5928" t="str">
        <f t="shared" si="379"/>
        <v>113880</v>
      </c>
      <c r="C5928" t="str">
        <f t="shared" si="380"/>
        <v>83878</v>
      </c>
      <c r="D5928" t="s">
        <v>1016</v>
      </c>
      <c r="E5928">
        <v>125</v>
      </c>
      <c r="F5928">
        <v>20140129</v>
      </c>
      <c r="G5928" t="s">
        <v>99</v>
      </c>
      <c r="H5928" t="s">
        <v>1018</v>
      </c>
      <c r="I5928" t="s">
        <v>21</v>
      </c>
    </row>
    <row r="5929" spans="1:9" x14ac:dyDescent="0.25">
      <c r="A5929">
        <v>20140130</v>
      </c>
      <c r="B5929" t="str">
        <f t="shared" si="379"/>
        <v>113880</v>
      </c>
      <c r="C5929" t="str">
        <f t="shared" si="380"/>
        <v>83878</v>
      </c>
      <c r="D5929" t="s">
        <v>1016</v>
      </c>
      <c r="E5929">
        <v>240</v>
      </c>
      <c r="F5929">
        <v>20140129</v>
      </c>
      <c r="G5929" t="s">
        <v>413</v>
      </c>
      <c r="H5929" t="s">
        <v>1018</v>
      </c>
      <c r="I5929" t="s">
        <v>21</v>
      </c>
    </row>
    <row r="5930" spans="1:9" x14ac:dyDescent="0.25">
      <c r="A5930">
        <v>20140130</v>
      </c>
      <c r="B5930" t="str">
        <f t="shared" si="379"/>
        <v>113880</v>
      </c>
      <c r="C5930" t="str">
        <f t="shared" si="380"/>
        <v>83878</v>
      </c>
      <c r="D5930" t="s">
        <v>1016</v>
      </c>
      <c r="E5930">
        <v>486.43</v>
      </c>
      <c r="F5930">
        <v>20140129</v>
      </c>
      <c r="G5930" t="s">
        <v>1224</v>
      </c>
      <c r="H5930" t="s">
        <v>1018</v>
      </c>
      <c r="I5930" t="s">
        <v>21</v>
      </c>
    </row>
    <row r="5931" spans="1:9" x14ac:dyDescent="0.25">
      <c r="A5931">
        <v>20140130</v>
      </c>
      <c r="B5931" t="str">
        <f t="shared" si="379"/>
        <v>113880</v>
      </c>
      <c r="C5931" t="str">
        <f t="shared" si="380"/>
        <v>83878</v>
      </c>
      <c r="D5931" t="s">
        <v>1016</v>
      </c>
      <c r="E5931">
        <v>549.79999999999995</v>
      </c>
      <c r="F5931">
        <v>20140129</v>
      </c>
      <c r="G5931" t="s">
        <v>2802</v>
      </c>
      <c r="H5931" t="s">
        <v>1018</v>
      </c>
      <c r="I5931" t="s">
        <v>21</v>
      </c>
    </row>
    <row r="5932" spans="1:9" x14ac:dyDescent="0.25">
      <c r="A5932">
        <v>20140130</v>
      </c>
      <c r="B5932" t="str">
        <f t="shared" si="379"/>
        <v>113880</v>
      </c>
      <c r="C5932" t="str">
        <f t="shared" si="380"/>
        <v>83878</v>
      </c>
      <c r="D5932" t="s">
        <v>1016</v>
      </c>
      <c r="E5932">
        <v>85.52</v>
      </c>
      <c r="F5932">
        <v>20140129</v>
      </c>
      <c r="G5932" t="s">
        <v>387</v>
      </c>
      <c r="H5932" t="s">
        <v>1018</v>
      </c>
      <c r="I5932" t="s">
        <v>21</v>
      </c>
    </row>
    <row r="5933" spans="1:9" x14ac:dyDescent="0.25">
      <c r="A5933">
        <v>20140130</v>
      </c>
      <c r="B5933" t="str">
        <f t="shared" si="379"/>
        <v>113880</v>
      </c>
      <c r="C5933" t="str">
        <f t="shared" si="380"/>
        <v>83878</v>
      </c>
      <c r="D5933" t="s">
        <v>1016</v>
      </c>
      <c r="E5933">
        <v>55.85</v>
      </c>
      <c r="F5933">
        <v>20140129</v>
      </c>
      <c r="G5933" t="s">
        <v>840</v>
      </c>
      <c r="H5933" t="s">
        <v>1018</v>
      </c>
      <c r="I5933" t="s">
        <v>21</v>
      </c>
    </row>
    <row r="5934" spans="1:9" x14ac:dyDescent="0.25">
      <c r="A5934">
        <v>20140130</v>
      </c>
      <c r="B5934" t="str">
        <f t="shared" si="379"/>
        <v>113880</v>
      </c>
      <c r="C5934" t="str">
        <f t="shared" si="380"/>
        <v>83878</v>
      </c>
      <c r="D5934" t="s">
        <v>1016</v>
      </c>
      <c r="E5934">
        <v>414.57</v>
      </c>
      <c r="F5934">
        <v>20140129</v>
      </c>
      <c r="G5934" t="s">
        <v>1721</v>
      </c>
      <c r="H5934" t="s">
        <v>1018</v>
      </c>
      <c r="I5934" t="s">
        <v>21</v>
      </c>
    </row>
    <row r="5935" spans="1:9" x14ac:dyDescent="0.25">
      <c r="A5935">
        <v>20140130</v>
      </c>
      <c r="B5935" t="str">
        <f t="shared" si="379"/>
        <v>113880</v>
      </c>
      <c r="C5935" t="str">
        <f t="shared" si="380"/>
        <v>83878</v>
      </c>
      <c r="D5935" t="s">
        <v>1016</v>
      </c>
      <c r="E5935">
        <v>31.88</v>
      </c>
      <c r="F5935">
        <v>20140129</v>
      </c>
      <c r="G5935" t="s">
        <v>1247</v>
      </c>
      <c r="H5935" t="s">
        <v>1018</v>
      </c>
      <c r="I5935" t="s">
        <v>66</v>
      </c>
    </row>
    <row r="5936" spans="1:9" x14ac:dyDescent="0.25">
      <c r="A5936">
        <v>20140130</v>
      </c>
      <c r="B5936" t="str">
        <f t="shared" si="379"/>
        <v>113880</v>
      </c>
      <c r="C5936" t="str">
        <f t="shared" si="380"/>
        <v>83878</v>
      </c>
      <c r="D5936" t="s">
        <v>1016</v>
      </c>
      <c r="E5936">
        <v>259</v>
      </c>
      <c r="F5936">
        <v>20140129</v>
      </c>
      <c r="G5936" t="s">
        <v>2745</v>
      </c>
      <c r="H5936" t="s">
        <v>1018</v>
      </c>
      <c r="I5936" t="s">
        <v>75</v>
      </c>
    </row>
    <row r="5937" spans="1:9" x14ac:dyDescent="0.25">
      <c r="A5937">
        <v>20140130</v>
      </c>
      <c r="B5937" t="str">
        <f t="shared" si="379"/>
        <v>113880</v>
      </c>
      <c r="C5937" t="str">
        <f t="shared" si="380"/>
        <v>83878</v>
      </c>
      <c r="D5937" t="s">
        <v>1016</v>
      </c>
      <c r="E5937">
        <v>450</v>
      </c>
      <c r="F5937">
        <v>20140129</v>
      </c>
      <c r="G5937" t="s">
        <v>2443</v>
      </c>
      <c r="H5937" t="s">
        <v>1018</v>
      </c>
      <c r="I5937" t="s">
        <v>233</v>
      </c>
    </row>
    <row r="5938" spans="1:9" x14ac:dyDescent="0.25">
      <c r="A5938">
        <v>20140130</v>
      </c>
      <c r="B5938" t="str">
        <f t="shared" si="379"/>
        <v>113880</v>
      </c>
      <c r="C5938" t="str">
        <f t="shared" si="380"/>
        <v>83878</v>
      </c>
      <c r="D5938" t="s">
        <v>1016</v>
      </c>
      <c r="E5938">
        <v>168</v>
      </c>
      <c r="F5938">
        <v>20140129</v>
      </c>
      <c r="G5938" t="s">
        <v>181</v>
      </c>
      <c r="H5938" t="s">
        <v>1018</v>
      </c>
      <c r="I5938" t="s">
        <v>38</v>
      </c>
    </row>
    <row r="5939" spans="1:9" x14ac:dyDescent="0.25">
      <c r="A5939">
        <v>20140130</v>
      </c>
      <c r="B5939" t="str">
        <f t="shared" si="379"/>
        <v>113880</v>
      </c>
      <c r="C5939" t="str">
        <f t="shared" si="380"/>
        <v>83878</v>
      </c>
      <c r="D5939" t="s">
        <v>1016</v>
      </c>
      <c r="E5939">
        <v>282.48</v>
      </c>
      <c r="F5939">
        <v>20140129</v>
      </c>
      <c r="G5939" t="s">
        <v>289</v>
      </c>
      <c r="H5939" t="s">
        <v>1018</v>
      </c>
      <c r="I5939" t="s">
        <v>38</v>
      </c>
    </row>
    <row r="5940" spans="1:9" x14ac:dyDescent="0.25">
      <c r="A5940">
        <v>20140130</v>
      </c>
      <c r="B5940" t="str">
        <f t="shared" si="379"/>
        <v>113880</v>
      </c>
      <c r="C5940" t="str">
        <f t="shared" si="380"/>
        <v>83878</v>
      </c>
      <c r="D5940" t="s">
        <v>1016</v>
      </c>
      <c r="E5940" s="1">
        <v>2205.36</v>
      </c>
      <c r="F5940">
        <v>20140129</v>
      </c>
      <c r="G5940" t="s">
        <v>214</v>
      </c>
      <c r="H5940" t="s">
        <v>1018</v>
      </c>
      <c r="I5940" t="s">
        <v>38</v>
      </c>
    </row>
    <row r="5941" spans="1:9" x14ac:dyDescent="0.25">
      <c r="A5941">
        <v>20140130</v>
      </c>
      <c r="B5941" t="str">
        <f t="shared" si="379"/>
        <v>113880</v>
      </c>
      <c r="C5941" t="str">
        <f t="shared" si="380"/>
        <v>83878</v>
      </c>
      <c r="D5941" t="s">
        <v>1016</v>
      </c>
      <c r="E5941">
        <v>136.63999999999999</v>
      </c>
      <c r="F5941">
        <v>20140129</v>
      </c>
      <c r="G5941" t="s">
        <v>36</v>
      </c>
      <c r="H5941" t="s">
        <v>1018</v>
      </c>
      <c r="I5941" t="s">
        <v>38</v>
      </c>
    </row>
    <row r="5942" spans="1:9" x14ac:dyDescent="0.25">
      <c r="A5942">
        <v>20140130</v>
      </c>
      <c r="B5942" t="str">
        <f t="shared" si="379"/>
        <v>113880</v>
      </c>
      <c r="C5942" t="str">
        <f t="shared" si="380"/>
        <v>83878</v>
      </c>
      <c r="D5942" t="s">
        <v>1016</v>
      </c>
      <c r="E5942" s="1">
        <v>4653.57</v>
      </c>
      <c r="F5942">
        <v>20140129</v>
      </c>
      <c r="G5942" t="s">
        <v>3120</v>
      </c>
      <c r="H5942" t="s">
        <v>1018</v>
      </c>
      <c r="I5942" t="s">
        <v>3121</v>
      </c>
    </row>
    <row r="5943" spans="1:9" x14ac:dyDescent="0.25">
      <c r="A5943">
        <v>20140130</v>
      </c>
      <c r="B5943" t="str">
        <f t="shared" si="379"/>
        <v>113880</v>
      </c>
      <c r="C5943" t="str">
        <f t="shared" si="380"/>
        <v>83878</v>
      </c>
      <c r="D5943" t="s">
        <v>1016</v>
      </c>
      <c r="E5943">
        <v>376.51</v>
      </c>
      <c r="F5943">
        <v>20140129</v>
      </c>
      <c r="G5943" t="s">
        <v>3122</v>
      </c>
      <c r="H5943" t="s">
        <v>1018</v>
      </c>
      <c r="I5943" t="s">
        <v>244</v>
      </c>
    </row>
    <row r="5944" spans="1:9" x14ac:dyDescent="0.25">
      <c r="A5944">
        <v>20140130</v>
      </c>
      <c r="B5944" t="str">
        <f t="shared" si="379"/>
        <v>113880</v>
      </c>
      <c r="C5944" t="str">
        <f t="shared" si="380"/>
        <v>83878</v>
      </c>
      <c r="D5944" t="s">
        <v>1016</v>
      </c>
      <c r="E5944">
        <v>32.520000000000003</v>
      </c>
      <c r="F5944">
        <v>20140129</v>
      </c>
      <c r="G5944" t="s">
        <v>159</v>
      </c>
      <c r="H5944" t="s">
        <v>1018</v>
      </c>
      <c r="I5944" t="s">
        <v>25</v>
      </c>
    </row>
    <row r="5945" spans="1:9" x14ac:dyDescent="0.25">
      <c r="A5945">
        <v>20140130</v>
      </c>
      <c r="B5945" t="str">
        <f t="shared" si="379"/>
        <v>113880</v>
      </c>
      <c r="C5945" t="str">
        <f t="shared" si="380"/>
        <v>83878</v>
      </c>
      <c r="D5945" t="s">
        <v>1016</v>
      </c>
      <c r="E5945">
        <v>802.88</v>
      </c>
      <c r="F5945">
        <v>20140129</v>
      </c>
      <c r="G5945" t="s">
        <v>209</v>
      </c>
      <c r="H5945" t="s">
        <v>1018</v>
      </c>
      <c r="I5945" t="s">
        <v>25</v>
      </c>
    </row>
    <row r="5946" spans="1:9" x14ac:dyDescent="0.25">
      <c r="A5946">
        <v>20140130</v>
      </c>
      <c r="B5946" t="str">
        <f>"113881"</f>
        <v>113881</v>
      </c>
      <c r="C5946" t="str">
        <f>"87723"</f>
        <v>87723</v>
      </c>
      <c r="D5946" t="s">
        <v>3123</v>
      </c>
      <c r="E5946">
        <v>197</v>
      </c>
      <c r="F5946">
        <v>20140129</v>
      </c>
      <c r="G5946" t="s">
        <v>36</v>
      </c>
      <c r="H5946" t="s">
        <v>3124</v>
      </c>
      <c r="I5946" t="s">
        <v>38</v>
      </c>
    </row>
    <row r="5947" spans="1:9" x14ac:dyDescent="0.25">
      <c r="A5947">
        <v>20140130</v>
      </c>
      <c r="B5947" t="str">
        <f>"113882"</f>
        <v>113882</v>
      </c>
      <c r="C5947" t="str">
        <f>"15950"</f>
        <v>15950</v>
      </c>
      <c r="D5947" t="s">
        <v>3125</v>
      </c>
      <c r="E5947">
        <v>344.65</v>
      </c>
      <c r="F5947">
        <v>20140123</v>
      </c>
      <c r="G5947" t="s">
        <v>1426</v>
      </c>
      <c r="H5947" t="s">
        <v>414</v>
      </c>
      <c r="I5947" t="s">
        <v>38</v>
      </c>
    </row>
    <row r="5948" spans="1:9" x14ac:dyDescent="0.25">
      <c r="A5948">
        <v>20140130</v>
      </c>
      <c r="B5948" t="str">
        <f>"113882"</f>
        <v>113882</v>
      </c>
      <c r="C5948" t="str">
        <f>"15950"</f>
        <v>15950</v>
      </c>
      <c r="D5948" t="s">
        <v>3125</v>
      </c>
      <c r="E5948" s="1">
        <v>2691</v>
      </c>
      <c r="F5948">
        <v>20140123</v>
      </c>
      <c r="G5948" t="s">
        <v>1426</v>
      </c>
      <c r="H5948" t="s">
        <v>414</v>
      </c>
      <c r="I5948" t="s">
        <v>38</v>
      </c>
    </row>
    <row r="5949" spans="1:9" x14ac:dyDescent="0.25">
      <c r="A5949">
        <v>20140130</v>
      </c>
      <c r="B5949" t="str">
        <f>"113883"</f>
        <v>113883</v>
      </c>
      <c r="C5949" t="str">
        <f>"15676"</f>
        <v>15676</v>
      </c>
      <c r="D5949" t="s">
        <v>3126</v>
      </c>
      <c r="E5949">
        <v>466.86</v>
      </c>
      <c r="F5949">
        <v>20140129</v>
      </c>
      <c r="G5949" t="s">
        <v>1064</v>
      </c>
      <c r="H5949" t="s">
        <v>3127</v>
      </c>
      <c r="I5949" t="s">
        <v>21</v>
      </c>
    </row>
    <row r="5950" spans="1:9" x14ac:dyDescent="0.25">
      <c r="A5950">
        <v>20140130</v>
      </c>
      <c r="B5950" t="str">
        <f>"113884"</f>
        <v>113884</v>
      </c>
      <c r="C5950" t="str">
        <f>"87686"</f>
        <v>87686</v>
      </c>
      <c r="D5950" t="s">
        <v>2831</v>
      </c>
      <c r="E5950">
        <v>65</v>
      </c>
      <c r="F5950">
        <v>20140127</v>
      </c>
      <c r="G5950" t="s">
        <v>2324</v>
      </c>
      <c r="H5950" t="s">
        <v>765</v>
      </c>
      <c r="I5950" t="s">
        <v>61</v>
      </c>
    </row>
    <row r="5951" spans="1:9" x14ac:dyDescent="0.25">
      <c r="A5951">
        <v>20140130</v>
      </c>
      <c r="B5951" t="str">
        <f>"113885"</f>
        <v>113885</v>
      </c>
      <c r="C5951" t="str">
        <f>"87648"</f>
        <v>87648</v>
      </c>
      <c r="D5951" t="s">
        <v>3128</v>
      </c>
      <c r="E5951">
        <v>349.27</v>
      </c>
      <c r="F5951">
        <v>20140123</v>
      </c>
      <c r="G5951" t="s">
        <v>1619</v>
      </c>
      <c r="H5951" t="s">
        <v>3129</v>
      </c>
      <c r="I5951" t="s">
        <v>21</v>
      </c>
    </row>
    <row r="5952" spans="1:9" x14ac:dyDescent="0.25">
      <c r="A5952">
        <v>20140130</v>
      </c>
      <c r="B5952" t="str">
        <f t="shared" ref="B5952:B5957" si="381">"113886"</f>
        <v>113886</v>
      </c>
      <c r="C5952" t="str">
        <f t="shared" ref="C5952:C5957" si="382">"18025"</f>
        <v>18025</v>
      </c>
      <c r="D5952" t="s">
        <v>514</v>
      </c>
      <c r="E5952">
        <v>100</v>
      </c>
      <c r="F5952">
        <v>20140128</v>
      </c>
      <c r="G5952" t="s">
        <v>356</v>
      </c>
      <c r="H5952" t="s">
        <v>2336</v>
      </c>
      <c r="I5952" t="s">
        <v>61</v>
      </c>
    </row>
    <row r="5953" spans="1:9" x14ac:dyDescent="0.25">
      <c r="A5953">
        <v>20140130</v>
      </c>
      <c r="B5953" t="str">
        <f t="shared" si="381"/>
        <v>113886</v>
      </c>
      <c r="C5953" t="str">
        <f t="shared" si="382"/>
        <v>18025</v>
      </c>
      <c r="D5953" t="s">
        <v>514</v>
      </c>
      <c r="E5953">
        <v>95.98</v>
      </c>
      <c r="F5953">
        <v>20140128</v>
      </c>
      <c r="G5953" t="s">
        <v>356</v>
      </c>
      <c r="H5953" t="s">
        <v>2336</v>
      </c>
      <c r="I5953" t="s">
        <v>61</v>
      </c>
    </row>
    <row r="5954" spans="1:9" x14ac:dyDescent="0.25">
      <c r="A5954">
        <v>20140130</v>
      </c>
      <c r="B5954" t="str">
        <f t="shared" si="381"/>
        <v>113886</v>
      </c>
      <c r="C5954" t="str">
        <f t="shared" si="382"/>
        <v>18025</v>
      </c>
      <c r="D5954" t="s">
        <v>514</v>
      </c>
      <c r="E5954">
        <v>-100</v>
      </c>
      <c r="F5954">
        <v>20140131</v>
      </c>
      <c r="G5954" t="s">
        <v>356</v>
      </c>
      <c r="H5954" t="s">
        <v>3130</v>
      </c>
      <c r="I5954" t="s">
        <v>61</v>
      </c>
    </row>
    <row r="5955" spans="1:9" x14ac:dyDescent="0.25">
      <c r="A5955">
        <v>20140130</v>
      </c>
      <c r="B5955" t="str">
        <f t="shared" si="381"/>
        <v>113886</v>
      </c>
      <c r="C5955" t="str">
        <f t="shared" si="382"/>
        <v>18025</v>
      </c>
      <c r="D5955" t="s">
        <v>514</v>
      </c>
      <c r="E5955">
        <v>-95.98</v>
      </c>
      <c r="F5955">
        <v>20140131</v>
      </c>
      <c r="G5955" t="s">
        <v>356</v>
      </c>
      <c r="H5955" t="s">
        <v>3130</v>
      </c>
      <c r="I5955" t="s">
        <v>61</v>
      </c>
    </row>
    <row r="5956" spans="1:9" x14ac:dyDescent="0.25">
      <c r="A5956">
        <v>20140130</v>
      </c>
      <c r="B5956" t="str">
        <f t="shared" si="381"/>
        <v>113886</v>
      </c>
      <c r="C5956" t="str">
        <f t="shared" si="382"/>
        <v>18025</v>
      </c>
      <c r="D5956" t="s">
        <v>514</v>
      </c>
      <c r="E5956">
        <v>221.58</v>
      </c>
      <c r="F5956">
        <v>20140129</v>
      </c>
      <c r="G5956" t="s">
        <v>3131</v>
      </c>
      <c r="H5956" t="s">
        <v>2336</v>
      </c>
      <c r="I5956" t="s">
        <v>21</v>
      </c>
    </row>
    <row r="5957" spans="1:9" x14ac:dyDescent="0.25">
      <c r="A5957">
        <v>20140130</v>
      </c>
      <c r="B5957" t="str">
        <f t="shared" si="381"/>
        <v>113886</v>
      </c>
      <c r="C5957" t="str">
        <f t="shared" si="382"/>
        <v>18025</v>
      </c>
      <c r="D5957" t="s">
        <v>514</v>
      </c>
      <c r="E5957">
        <v>-221.58</v>
      </c>
      <c r="F5957">
        <v>20140131</v>
      </c>
      <c r="G5957" t="s">
        <v>3131</v>
      </c>
      <c r="H5957" t="s">
        <v>3130</v>
      </c>
      <c r="I5957" t="s">
        <v>21</v>
      </c>
    </row>
    <row r="5958" spans="1:9" x14ac:dyDescent="0.25">
      <c r="A5958">
        <v>20140130</v>
      </c>
      <c r="B5958" t="str">
        <f>"113887"</f>
        <v>113887</v>
      </c>
      <c r="C5958" t="str">
        <f>"83876"</f>
        <v>83876</v>
      </c>
      <c r="D5958" t="s">
        <v>1211</v>
      </c>
      <c r="E5958">
        <v>65.56</v>
      </c>
      <c r="F5958">
        <v>20140129</v>
      </c>
      <c r="G5958" t="s">
        <v>473</v>
      </c>
      <c r="H5958" t="s">
        <v>414</v>
      </c>
      <c r="I5958" t="s">
        <v>21</v>
      </c>
    </row>
    <row r="5959" spans="1:9" x14ac:dyDescent="0.25">
      <c r="A5959">
        <v>20140130</v>
      </c>
      <c r="B5959" t="str">
        <f t="shared" ref="B5959:B5975" si="383">"113888"</f>
        <v>113888</v>
      </c>
      <c r="C5959" t="str">
        <f t="shared" ref="C5959:C5975" si="384">"18200"</f>
        <v>18200</v>
      </c>
      <c r="D5959" t="s">
        <v>516</v>
      </c>
      <c r="E5959">
        <v>99.12</v>
      </c>
      <c r="F5959">
        <v>20140129</v>
      </c>
      <c r="G5959" t="s">
        <v>456</v>
      </c>
      <c r="H5959" t="s">
        <v>488</v>
      </c>
      <c r="I5959" t="s">
        <v>21</v>
      </c>
    </row>
    <row r="5960" spans="1:9" x14ac:dyDescent="0.25">
      <c r="A5960">
        <v>20140130</v>
      </c>
      <c r="B5960" t="str">
        <f t="shared" si="383"/>
        <v>113888</v>
      </c>
      <c r="C5960" t="str">
        <f t="shared" si="384"/>
        <v>18200</v>
      </c>
      <c r="D5960" t="s">
        <v>516</v>
      </c>
      <c r="E5960">
        <v>444.87</v>
      </c>
      <c r="F5960">
        <v>20140129</v>
      </c>
      <c r="G5960" t="s">
        <v>456</v>
      </c>
      <c r="H5960" t="s">
        <v>488</v>
      </c>
      <c r="I5960" t="s">
        <v>21</v>
      </c>
    </row>
    <row r="5961" spans="1:9" x14ac:dyDescent="0.25">
      <c r="A5961">
        <v>20140130</v>
      </c>
      <c r="B5961" t="str">
        <f t="shared" si="383"/>
        <v>113888</v>
      </c>
      <c r="C5961" t="str">
        <f t="shared" si="384"/>
        <v>18200</v>
      </c>
      <c r="D5961" t="s">
        <v>516</v>
      </c>
      <c r="E5961">
        <v>359.35</v>
      </c>
      <c r="F5961">
        <v>20140129</v>
      </c>
      <c r="G5961" t="s">
        <v>456</v>
      </c>
      <c r="H5961" t="s">
        <v>488</v>
      </c>
      <c r="I5961" t="s">
        <v>21</v>
      </c>
    </row>
    <row r="5962" spans="1:9" x14ac:dyDescent="0.25">
      <c r="A5962">
        <v>20140130</v>
      </c>
      <c r="B5962" t="str">
        <f t="shared" si="383"/>
        <v>113888</v>
      </c>
      <c r="C5962" t="str">
        <f t="shared" si="384"/>
        <v>18200</v>
      </c>
      <c r="D5962" t="s">
        <v>516</v>
      </c>
      <c r="E5962">
        <v>623.65</v>
      </c>
      <c r="F5962">
        <v>20140129</v>
      </c>
      <c r="G5962" t="s">
        <v>457</v>
      </c>
      <c r="H5962" t="s">
        <v>488</v>
      </c>
      <c r="I5962" t="s">
        <v>21</v>
      </c>
    </row>
    <row r="5963" spans="1:9" x14ac:dyDescent="0.25">
      <c r="A5963">
        <v>20140130</v>
      </c>
      <c r="B5963" t="str">
        <f t="shared" si="383"/>
        <v>113888</v>
      </c>
      <c r="C5963" t="str">
        <f t="shared" si="384"/>
        <v>18200</v>
      </c>
      <c r="D5963" t="s">
        <v>516</v>
      </c>
      <c r="E5963">
        <v>396.12</v>
      </c>
      <c r="F5963">
        <v>20140129</v>
      </c>
      <c r="G5963" t="s">
        <v>458</v>
      </c>
      <c r="H5963" t="s">
        <v>488</v>
      </c>
      <c r="I5963" t="s">
        <v>21</v>
      </c>
    </row>
    <row r="5964" spans="1:9" x14ac:dyDescent="0.25">
      <c r="A5964">
        <v>20140130</v>
      </c>
      <c r="B5964" t="str">
        <f t="shared" si="383"/>
        <v>113888</v>
      </c>
      <c r="C5964" t="str">
        <f t="shared" si="384"/>
        <v>18200</v>
      </c>
      <c r="D5964" t="s">
        <v>516</v>
      </c>
      <c r="E5964">
        <v>365.6</v>
      </c>
      <c r="F5964">
        <v>20140129</v>
      </c>
      <c r="G5964" t="s">
        <v>458</v>
      </c>
      <c r="H5964" t="s">
        <v>488</v>
      </c>
      <c r="I5964" t="s">
        <v>21</v>
      </c>
    </row>
    <row r="5965" spans="1:9" x14ac:dyDescent="0.25">
      <c r="A5965">
        <v>20140130</v>
      </c>
      <c r="B5965" t="str">
        <f t="shared" si="383"/>
        <v>113888</v>
      </c>
      <c r="C5965" t="str">
        <f t="shared" si="384"/>
        <v>18200</v>
      </c>
      <c r="D5965" t="s">
        <v>516</v>
      </c>
      <c r="E5965">
        <v>248.62</v>
      </c>
      <c r="F5965">
        <v>20140129</v>
      </c>
      <c r="G5965" t="s">
        <v>460</v>
      </c>
      <c r="H5965" t="s">
        <v>488</v>
      </c>
      <c r="I5965" t="s">
        <v>21</v>
      </c>
    </row>
    <row r="5966" spans="1:9" x14ac:dyDescent="0.25">
      <c r="A5966">
        <v>20140130</v>
      </c>
      <c r="B5966" t="str">
        <f t="shared" si="383"/>
        <v>113888</v>
      </c>
      <c r="C5966" t="str">
        <f t="shared" si="384"/>
        <v>18200</v>
      </c>
      <c r="D5966" t="s">
        <v>516</v>
      </c>
      <c r="E5966">
        <v>28.49</v>
      </c>
      <c r="F5966">
        <v>20140129</v>
      </c>
      <c r="G5966" t="s">
        <v>460</v>
      </c>
      <c r="H5966" t="s">
        <v>488</v>
      </c>
      <c r="I5966" t="s">
        <v>21</v>
      </c>
    </row>
    <row r="5967" spans="1:9" x14ac:dyDescent="0.25">
      <c r="A5967">
        <v>20140130</v>
      </c>
      <c r="B5967" t="str">
        <f t="shared" si="383"/>
        <v>113888</v>
      </c>
      <c r="C5967" t="str">
        <f t="shared" si="384"/>
        <v>18200</v>
      </c>
      <c r="D5967" t="s">
        <v>516</v>
      </c>
      <c r="E5967">
        <v>83</v>
      </c>
      <c r="F5967">
        <v>20140129</v>
      </c>
      <c r="G5967" t="s">
        <v>461</v>
      </c>
      <c r="H5967" t="s">
        <v>488</v>
      </c>
      <c r="I5967" t="s">
        <v>21</v>
      </c>
    </row>
    <row r="5968" spans="1:9" x14ac:dyDescent="0.25">
      <c r="A5968">
        <v>20140130</v>
      </c>
      <c r="B5968" t="str">
        <f t="shared" si="383"/>
        <v>113888</v>
      </c>
      <c r="C5968" t="str">
        <f t="shared" si="384"/>
        <v>18200</v>
      </c>
      <c r="D5968" t="s">
        <v>516</v>
      </c>
      <c r="E5968">
        <v>288.62</v>
      </c>
      <c r="F5968">
        <v>20140129</v>
      </c>
      <c r="G5968" t="s">
        <v>461</v>
      </c>
      <c r="H5968" t="s">
        <v>488</v>
      </c>
      <c r="I5968" t="s">
        <v>21</v>
      </c>
    </row>
    <row r="5969" spans="1:9" x14ac:dyDescent="0.25">
      <c r="A5969">
        <v>20140130</v>
      </c>
      <c r="B5969" t="str">
        <f t="shared" si="383"/>
        <v>113888</v>
      </c>
      <c r="C5969" t="str">
        <f t="shared" si="384"/>
        <v>18200</v>
      </c>
      <c r="D5969" t="s">
        <v>516</v>
      </c>
      <c r="E5969">
        <v>86.49</v>
      </c>
      <c r="F5969">
        <v>20140129</v>
      </c>
      <c r="G5969" t="s">
        <v>461</v>
      </c>
      <c r="H5969" t="s">
        <v>488</v>
      </c>
      <c r="I5969" t="s">
        <v>21</v>
      </c>
    </row>
    <row r="5970" spans="1:9" x14ac:dyDescent="0.25">
      <c r="A5970">
        <v>20140130</v>
      </c>
      <c r="B5970" t="str">
        <f t="shared" si="383"/>
        <v>113888</v>
      </c>
      <c r="C5970" t="str">
        <f t="shared" si="384"/>
        <v>18200</v>
      </c>
      <c r="D5970" t="s">
        <v>516</v>
      </c>
      <c r="E5970">
        <v>190.12</v>
      </c>
      <c r="F5970">
        <v>20140129</v>
      </c>
      <c r="G5970" t="s">
        <v>463</v>
      </c>
      <c r="H5970" t="s">
        <v>488</v>
      </c>
      <c r="I5970" t="s">
        <v>21</v>
      </c>
    </row>
    <row r="5971" spans="1:9" x14ac:dyDescent="0.25">
      <c r="A5971">
        <v>20140130</v>
      </c>
      <c r="B5971" t="str">
        <f t="shared" si="383"/>
        <v>113888</v>
      </c>
      <c r="C5971" t="str">
        <f t="shared" si="384"/>
        <v>18200</v>
      </c>
      <c r="D5971" t="s">
        <v>516</v>
      </c>
      <c r="E5971">
        <v>28.49</v>
      </c>
      <c r="F5971">
        <v>20140129</v>
      </c>
      <c r="G5971" t="s">
        <v>463</v>
      </c>
      <c r="H5971" t="s">
        <v>488</v>
      </c>
      <c r="I5971" t="s">
        <v>21</v>
      </c>
    </row>
    <row r="5972" spans="1:9" x14ac:dyDescent="0.25">
      <c r="A5972">
        <v>20140130</v>
      </c>
      <c r="B5972" t="str">
        <f t="shared" si="383"/>
        <v>113888</v>
      </c>
      <c r="C5972" t="str">
        <f t="shared" si="384"/>
        <v>18200</v>
      </c>
      <c r="D5972" t="s">
        <v>516</v>
      </c>
      <c r="E5972">
        <v>74.489999999999995</v>
      </c>
      <c r="F5972">
        <v>20140129</v>
      </c>
      <c r="G5972" t="s">
        <v>463</v>
      </c>
      <c r="H5972" t="s">
        <v>488</v>
      </c>
      <c r="I5972" t="s">
        <v>21</v>
      </c>
    </row>
    <row r="5973" spans="1:9" x14ac:dyDescent="0.25">
      <c r="A5973">
        <v>20140130</v>
      </c>
      <c r="B5973" t="str">
        <f t="shared" si="383"/>
        <v>113888</v>
      </c>
      <c r="C5973" t="str">
        <f t="shared" si="384"/>
        <v>18200</v>
      </c>
      <c r="D5973" t="s">
        <v>516</v>
      </c>
      <c r="E5973">
        <v>154.12</v>
      </c>
      <c r="F5973">
        <v>20140129</v>
      </c>
      <c r="G5973" t="s">
        <v>464</v>
      </c>
      <c r="H5973" t="s">
        <v>488</v>
      </c>
      <c r="I5973" t="s">
        <v>21</v>
      </c>
    </row>
    <row r="5974" spans="1:9" x14ac:dyDescent="0.25">
      <c r="A5974">
        <v>20140130</v>
      </c>
      <c r="B5974" t="str">
        <f t="shared" si="383"/>
        <v>113888</v>
      </c>
      <c r="C5974" t="str">
        <f t="shared" si="384"/>
        <v>18200</v>
      </c>
      <c r="D5974" t="s">
        <v>516</v>
      </c>
      <c r="E5974">
        <v>38</v>
      </c>
      <c r="F5974">
        <v>20140129</v>
      </c>
      <c r="G5974" t="s">
        <v>464</v>
      </c>
      <c r="H5974" t="s">
        <v>488</v>
      </c>
      <c r="I5974" t="s">
        <v>21</v>
      </c>
    </row>
    <row r="5975" spans="1:9" x14ac:dyDescent="0.25">
      <c r="A5975">
        <v>20140130</v>
      </c>
      <c r="B5975" t="str">
        <f t="shared" si="383"/>
        <v>113888</v>
      </c>
      <c r="C5975" t="str">
        <f t="shared" si="384"/>
        <v>18200</v>
      </c>
      <c r="D5975" t="s">
        <v>516</v>
      </c>
      <c r="E5975">
        <v>77</v>
      </c>
      <c r="F5975">
        <v>20140129</v>
      </c>
      <c r="G5975" t="s">
        <v>1212</v>
      </c>
      <c r="H5975" t="s">
        <v>488</v>
      </c>
      <c r="I5975" t="s">
        <v>21</v>
      </c>
    </row>
    <row r="5976" spans="1:9" x14ac:dyDescent="0.25">
      <c r="A5976">
        <v>20140130</v>
      </c>
      <c r="B5976" t="str">
        <f>"113889"</f>
        <v>113889</v>
      </c>
      <c r="C5976" t="str">
        <f>"87084"</f>
        <v>87084</v>
      </c>
      <c r="D5976" t="s">
        <v>1036</v>
      </c>
      <c r="E5976">
        <v>69.48</v>
      </c>
      <c r="F5976">
        <v>20140127</v>
      </c>
      <c r="G5976" t="s">
        <v>810</v>
      </c>
      <c r="H5976" t="s">
        <v>365</v>
      </c>
      <c r="I5976" t="s">
        <v>66</v>
      </c>
    </row>
    <row r="5977" spans="1:9" x14ac:dyDescent="0.25">
      <c r="A5977">
        <v>20140130</v>
      </c>
      <c r="B5977" t="str">
        <f>"113890"</f>
        <v>113890</v>
      </c>
      <c r="C5977" t="str">
        <f>"21030"</f>
        <v>21030</v>
      </c>
      <c r="D5977" t="s">
        <v>2808</v>
      </c>
      <c r="E5977">
        <v>510</v>
      </c>
      <c r="F5977">
        <v>20140129</v>
      </c>
      <c r="G5977" t="s">
        <v>2138</v>
      </c>
      <c r="H5977" t="s">
        <v>1116</v>
      </c>
      <c r="I5977" t="s">
        <v>21</v>
      </c>
    </row>
    <row r="5978" spans="1:9" x14ac:dyDescent="0.25">
      <c r="A5978">
        <v>20140130</v>
      </c>
      <c r="B5978" t="str">
        <f>"113891"</f>
        <v>113891</v>
      </c>
      <c r="C5978" t="str">
        <f>"83483"</f>
        <v>83483</v>
      </c>
      <c r="D5978" t="s">
        <v>3132</v>
      </c>
      <c r="E5978">
        <v>21.43</v>
      </c>
      <c r="F5978">
        <v>20140129</v>
      </c>
      <c r="G5978" t="s">
        <v>39</v>
      </c>
      <c r="H5978" t="s">
        <v>354</v>
      </c>
      <c r="I5978" t="s">
        <v>38</v>
      </c>
    </row>
    <row r="5979" spans="1:9" x14ac:dyDescent="0.25">
      <c r="A5979">
        <v>20140130</v>
      </c>
      <c r="B5979" t="str">
        <f>"113892"</f>
        <v>113892</v>
      </c>
      <c r="C5979" t="str">
        <f>"22200"</f>
        <v>22200</v>
      </c>
      <c r="D5979" t="s">
        <v>519</v>
      </c>
      <c r="E5979">
        <v>28.19</v>
      </c>
      <c r="F5979">
        <v>20140129</v>
      </c>
      <c r="G5979" t="s">
        <v>737</v>
      </c>
      <c r="H5979" t="s">
        <v>2640</v>
      </c>
      <c r="I5979" t="s">
        <v>21</v>
      </c>
    </row>
    <row r="5980" spans="1:9" x14ac:dyDescent="0.25">
      <c r="A5980">
        <v>20140130</v>
      </c>
      <c r="B5980" t="str">
        <f>"113893"</f>
        <v>113893</v>
      </c>
      <c r="C5980" t="str">
        <f>"86838"</f>
        <v>86838</v>
      </c>
      <c r="D5980" t="s">
        <v>3133</v>
      </c>
      <c r="E5980">
        <v>134.24</v>
      </c>
      <c r="F5980">
        <v>20140127</v>
      </c>
      <c r="G5980" t="s">
        <v>3099</v>
      </c>
      <c r="H5980" t="s">
        <v>765</v>
      </c>
      <c r="I5980" t="s">
        <v>61</v>
      </c>
    </row>
    <row r="5981" spans="1:9" x14ac:dyDescent="0.25">
      <c r="A5981">
        <v>20140130</v>
      </c>
      <c r="B5981" t="str">
        <f>"113894"</f>
        <v>113894</v>
      </c>
      <c r="C5981" t="str">
        <f>"87718"</f>
        <v>87718</v>
      </c>
      <c r="D5981" t="s">
        <v>3134</v>
      </c>
      <c r="E5981">
        <v>65</v>
      </c>
      <c r="F5981">
        <v>20140127</v>
      </c>
      <c r="G5981" t="s">
        <v>2324</v>
      </c>
      <c r="H5981" t="s">
        <v>765</v>
      </c>
      <c r="I5981" t="s">
        <v>61</v>
      </c>
    </row>
    <row r="5982" spans="1:9" x14ac:dyDescent="0.25">
      <c r="A5982">
        <v>20140130</v>
      </c>
      <c r="B5982" t="str">
        <f>"113895"</f>
        <v>113895</v>
      </c>
      <c r="C5982" t="str">
        <f>"86266"</f>
        <v>86266</v>
      </c>
      <c r="D5982" t="s">
        <v>3135</v>
      </c>
      <c r="E5982">
        <v>110</v>
      </c>
      <c r="F5982">
        <v>20140127</v>
      </c>
      <c r="G5982" t="s">
        <v>145</v>
      </c>
      <c r="H5982" t="s">
        <v>954</v>
      </c>
      <c r="I5982" t="s">
        <v>38</v>
      </c>
    </row>
    <row r="5983" spans="1:9" x14ac:dyDescent="0.25">
      <c r="A5983">
        <v>20140130</v>
      </c>
      <c r="B5983" t="str">
        <f>"113896"</f>
        <v>113896</v>
      </c>
      <c r="C5983" t="str">
        <f>"23827"</f>
        <v>23827</v>
      </c>
      <c r="D5983" t="s">
        <v>528</v>
      </c>
      <c r="E5983">
        <v>976</v>
      </c>
      <c r="F5983">
        <v>20140129</v>
      </c>
      <c r="G5983" t="s">
        <v>1200</v>
      </c>
      <c r="H5983" t="s">
        <v>3136</v>
      </c>
      <c r="I5983" t="s">
        <v>61</v>
      </c>
    </row>
    <row r="5984" spans="1:9" x14ac:dyDescent="0.25">
      <c r="A5984">
        <v>20140130</v>
      </c>
      <c r="B5984" t="str">
        <f>"113896"</f>
        <v>113896</v>
      </c>
      <c r="C5984" t="str">
        <f>"23827"</f>
        <v>23827</v>
      </c>
      <c r="D5984" t="s">
        <v>528</v>
      </c>
      <c r="E5984">
        <v>842.88</v>
      </c>
      <c r="F5984">
        <v>20140123</v>
      </c>
      <c r="G5984" t="s">
        <v>181</v>
      </c>
      <c r="H5984" t="s">
        <v>513</v>
      </c>
      <c r="I5984" t="s">
        <v>38</v>
      </c>
    </row>
    <row r="5985" spans="1:9" x14ac:dyDescent="0.25">
      <c r="A5985">
        <v>20140130</v>
      </c>
      <c r="B5985" t="str">
        <f>"113897"</f>
        <v>113897</v>
      </c>
      <c r="C5985" t="str">
        <f>"84951"</f>
        <v>84951</v>
      </c>
      <c r="D5985" t="s">
        <v>3137</v>
      </c>
      <c r="E5985" s="1">
        <v>2044.1</v>
      </c>
      <c r="F5985">
        <v>20140129</v>
      </c>
      <c r="G5985" t="s">
        <v>3029</v>
      </c>
      <c r="H5985" t="s">
        <v>3138</v>
      </c>
      <c r="I5985" t="s">
        <v>21</v>
      </c>
    </row>
    <row r="5986" spans="1:9" x14ac:dyDescent="0.25">
      <c r="A5986">
        <v>20140130</v>
      </c>
      <c r="B5986" t="str">
        <f>"113898"</f>
        <v>113898</v>
      </c>
      <c r="C5986" t="str">
        <f>"86188"</f>
        <v>86188</v>
      </c>
      <c r="D5986" t="s">
        <v>3139</v>
      </c>
      <c r="E5986">
        <v>85</v>
      </c>
      <c r="F5986">
        <v>20140129</v>
      </c>
      <c r="G5986" t="s">
        <v>2820</v>
      </c>
      <c r="H5986" t="s">
        <v>765</v>
      </c>
      <c r="I5986" t="s">
        <v>61</v>
      </c>
    </row>
    <row r="5987" spans="1:9" x14ac:dyDescent="0.25">
      <c r="A5987">
        <v>20140130</v>
      </c>
      <c r="B5987" t="str">
        <f>"113899"</f>
        <v>113899</v>
      </c>
      <c r="C5987" t="str">
        <f>"84041"</f>
        <v>84041</v>
      </c>
      <c r="D5987" t="s">
        <v>3140</v>
      </c>
      <c r="E5987" s="1">
        <v>7279.35</v>
      </c>
      <c r="F5987">
        <v>20140127</v>
      </c>
      <c r="G5987" t="s">
        <v>1045</v>
      </c>
      <c r="H5987" t="s">
        <v>1046</v>
      </c>
      <c r="I5987" t="s">
        <v>61</v>
      </c>
    </row>
    <row r="5988" spans="1:9" x14ac:dyDescent="0.25">
      <c r="A5988">
        <v>20140130</v>
      </c>
      <c r="B5988" t="str">
        <f t="shared" ref="B5988:B6000" si="385">"113900"</f>
        <v>113900</v>
      </c>
      <c r="C5988" t="str">
        <f t="shared" ref="C5988:C6000" si="386">"87714"</f>
        <v>87714</v>
      </c>
      <c r="D5988" t="s">
        <v>3141</v>
      </c>
      <c r="E5988" s="1">
        <v>1443.91</v>
      </c>
      <c r="F5988">
        <v>20140127</v>
      </c>
      <c r="G5988" t="s">
        <v>718</v>
      </c>
      <c r="H5988" t="s">
        <v>488</v>
      </c>
      <c r="I5988" t="s">
        <v>21</v>
      </c>
    </row>
    <row r="5989" spans="1:9" x14ac:dyDescent="0.25">
      <c r="A5989">
        <v>20140130</v>
      </c>
      <c r="B5989" t="str">
        <f t="shared" si="385"/>
        <v>113900</v>
      </c>
      <c r="C5989" t="str">
        <f t="shared" si="386"/>
        <v>87714</v>
      </c>
      <c r="D5989" t="s">
        <v>3141</v>
      </c>
      <c r="E5989">
        <v>111.28</v>
      </c>
      <c r="F5989">
        <v>20140127</v>
      </c>
      <c r="G5989" t="s">
        <v>719</v>
      </c>
      <c r="H5989" t="s">
        <v>488</v>
      </c>
      <c r="I5989" t="s">
        <v>21</v>
      </c>
    </row>
    <row r="5990" spans="1:9" x14ac:dyDescent="0.25">
      <c r="A5990">
        <v>20140130</v>
      </c>
      <c r="B5990" t="str">
        <f t="shared" si="385"/>
        <v>113900</v>
      </c>
      <c r="C5990" t="str">
        <f t="shared" si="386"/>
        <v>87714</v>
      </c>
      <c r="D5990" t="s">
        <v>3141</v>
      </c>
      <c r="E5990">
        <v>118.99</v>
      </c>
      <c r="F5990">
        <v>20140127</v>
      </c>
      <c r="G5990" t="s">
        <v>720</v>
      </c>
      <c r="H5990" t="s">
        <v>488</v>
      </c>
      <c r="I5990" t="s">
        <v>21</v>
      </c>
    </row>
    <row r="5991" spans="1:9" x14ac:dyDescent="0.25">
      <c r="A5991">
        <v>20140130</v>
      </c>
      <c r="B5991" t="str">
        <f t="shared" si="385"/>
        <v>113900</v>
      </c>
      <c r="C5991" t="str">
        <f t="shared" si="386"/>
        <v>87714</v>
      </c>
      <c r="D5991" t="s">
        <v>3141</v>
      </c>
      <c r="E5991">
        <v>109.17</v>
      </c>
      <c r="F5991">
        <v>20140127</v>
      </c>
      <c r="G5991" t="s">
        <v>721</v>
      </c>
      <c r="H5991" t="s">
        <v>488</v>
      </c>
      <c r="I5991" t="s">
        <v>21</v>
      </c>
    </row>
    <row r="5992" spans="1:9" x14ac:dyDescent="0.25">
      <c r="A5992">
        <v>20140130</v>
      </c>
      <c r="B5992" t="str">
        <f t="shared" si="385"/>
        <v>113900</v>
      </c>
      <c r="C5992" t="str">
        <f t="shared" si="386"/>
        <v>87714</v>
      </c>
      <c r="D5992" t="s">
        <v>3141</v>
      </c>
      <c r="E5992">
        <v>33.35</v>
      </c>
      <c r="F5992">
        <v>20140127</v>
      </c>
      <c r="G5992" t="s">
        <v>722</v>
      </c>
      <c r="H5992" t="s">
        <v>488</v>
      </c>
      <c r="I5992" t="s">
        <v>21</v>
      </c>
    </row>
    <row r="5993" spans="1:9" x14ac:dyDescent="0.25">
      <c r="A5993">
        <v>20140130</v>
      </c>
      <c r="B5993" t="str">
        <f t="shared" si="385"/>
        <v>113900</v>
      </c>
      <c r="C5993" t="str">
        <f t="shared" si="386"/>
        <v>87714</v>
      </c>
      <c r="D5993" t="s">
        <v>3141</v>
      </c>
      <c r="E5993">
        <v>30.73</v>
      </c>
      <c r="F5993">
        <v>20140127</v>
      </c>
      <c r="G5993" t="s">
        <v>723</v>
      </c>
      <c r="H5993" t="s">
        <v>488</v>
      </c>
      <c r="I5993" t="s">
        <v>21</v>
      </c>
    </row>
    <row r="5994" spans="1:9" x14ac:dyDescent="0.25">
      <c r="A5994">
        <v>20140130</v>
      </c>
      <c r="B5994" t="str">
        <f t="shared" si="385"/>
        <v>113900</v>
      </c>
      <c r="C5994" t="str">
        <f t="shared" si="386"/>
        <v>87714</v>
      </c>
      <c r="D5994" t="s">
        <v>3141</v>
      </c>
      <c r="E5994">
        <v>86.26</v>
      </c>
      <c r="F5994">
        <v>20140127</v>
      </c>
      <c r="G5994" t="s">
        <v>724</v>
      </c>
      <c r="H5994" t="s">
        <v>488</v>
      </c>
      <c r="I5994" t="s">
        <v>21</v>
      </c>
    </row>
    <row r="5995" spans="1:9" x14ac:dyDescent="0.25">
      <c r="A5995">
        <v>20140130</v>
      </c>
      <c r="B5995" t="str">
        <f t="shared" si="385"/>
        <v>113900</v>
      </c>
      <c r="C5995" t="str">
        <f t="shared" si="386"/>
        <v>87714</v>
      </c>
      <c r="D5995" t="s">
        <v>3141</v>
      </c>
      <c r="E5995">
        <v>275.54000000000002</v>
      </c>
      <c r="F5995">
        <v>20140127</v>
      </c>
      <c r="G5995" t="s">
        <v>725</v>
      </c>
      <c r="H5995" t="s">
        <v>488</v>
      </c>
      <c r="I5995" t="s">
        <v>21</v>
      </c>
    </row>
    <row r="5996" spans="1:9" x14ac:dyDescent="0.25">
      <c r="A5996">
        <v>20140130</v>
      </c>
      <c r="B5996" t="str">
        <f t="shared" si="385"/>
        <v>113900</v>
      </c>
      <c r="C5996" t="str">
        <f t="shared" si="386"/>
        <v>87714</v>
      </c>
      <c r="D5996" t="s">
        <v>3141</v>
      </c>
      <c r="E5996">
        <v>89</v>
      </c>
      <c r="F5996">
        <v>20140127</v>
      </c>
      <c r="G5996" t="s">
        <v>726</v>
      </c>
      <c r="H5996" t="s">
        <v>488</v>
      </c>
      <c r="I5996" t="s">
        <v>21</v>
      </c>
    </row>
    <row r="5997" spans="1:9" x14ac:dyDescent="0.25">
      <c r="A5997">
        <v>20140130</v>
      </c>
      <c r="B5997" t="str">
        <f t="shared" si="385"/>
        <v>113900</v>
      </c>
      <c r="C5997" t="str">
        <f t="shared" si="386"/>
        <v>87714</v>
      </c>
      <c r="D5997" t="s">
        <v>3141</v>
      </c>
      <c r="E5997">
        <v>39.42</v>
      </c>
      <c r="F5997">
        <v>20140127</v>
      </c>
      <c r="G5997" t="s">
        <v>727</v>
      </c>
      <c r="H5997" t="s">
        <v>488</v>
      </c>
      <c r="I5997" t="s">
        <v>21</v>
      </c>
    </row>
    <row r="5998" spans="1:9" x14ac:dyDescent="0.25">
      <c r="A5998">
        <v>20140130</v>
      </c>
      <c r="B5998" t="str">
        <f t="shared" si="385"/>
        <v>113900</v>
      </c>
      <c r="C5998" t="str">
        <f t="shared" si="386"/>
        <v>87714</v>
      </c>
      <c r="D5998" t="s">
        <v>3141</v>
      </c>
      <c r="E5998">
        <v>65.760000000000005</v>
      </c>
      <c r="F5998">
        <v>20140127</v>
      </c>
      <c r="G5998" t="s">
        <v>728</v>
      </c>
      <c r="H5998" t="s">
        <v>488</v>
      </c>
      <c r="I5998" t="s">
        <v>21</v>
      </c>
    </row>
    <row r="5999" spans="1:9" x14ac:dyDescent="0.25">
      <c r="A5999">
        <v>20140130</v>
      </c>
      <c r="B5999" t="str">
        <f t="shared" si="385"/>
        <v>113900</v>
      </c>
      <c r="C5999" t="str">
        <f t="shared" si="386"/>
        <v>87714</v>
      </c>
      <c r="D5999" t="s">
        <v>3141</v>
      </c>
      <c r="E5999">
        <v>26.6</v>
      </c>
      <c r="F5999">
        <v>20140127</v>
      </c>
      <c r="G5999" t="s">
        <v>729</v>
      </c>
      <c r="H5999" t="s">
        <v>488</v>
      </c>
      <c r="I5999" t="s">
        <v>21</v>
      </c>
    </row>
    <row r="6000" spans="1:9" x14ac:dyDescent="0.25">
      <c r="A6000">
        <v>20140130</v>
      </c>
      <c r="B6000" t="str">
        <f t="shared" si="385"/>
        <v>113900</v>
      </c>
      <c r="C6000" t="str">
        <f t="shared" si="386"/>
        <v>87714</v>
      </c>
      <c r="D6000" t="s">
        <v>3141</v>
      </c>
      <c r="E6000">
        <v>51.76</v>
      </c>
      <c r="F6000">
        <v>20140127</v>
      </c>
      <c r="G6000" t="s">
        <v>467</v>
      </c>
      <c r="H6000" t="s">
        <v>488</v>
      </c>
      <c r="I6000" t="s">
        <v>21</v>
      </c>
    </row>
    <row r="6001" spans="1:9" x14ac:dyDescent="0.25">
      <c r="A6001">
        <v>20140130</v>
      </c>
      <c r="B6001" t="str">
        <f t="shared" ref="B6001:B6013" si="387">"113901"</f>
        <v>113901</v>
      </c>
      <c r="C6001" t="str">
        <f t="shared" ref="C6001:C6013" si="388">"82286"</f>
        <v>82286</v>
      </c>
      <c r="D6001" t="s">
        <v>532</v>
      </c>
      <c r="E6001" s="1">
        <v>1808.87</v>
      </c>
      <c r="F6001">
        <v>20140128</v>
      </c>
      <c r="G6001" t="s">
        <v>533</v>
      </c>
      <c r="H6001" t="s">
        <v>534</v>
      </c>
      <c r="I6001" t="s">
        <v>21</v>
      </c>
    </row>
    <row r="6002" spans="1:9" x14ac:dyDescent="0.25">
      <c r="A6002">
        <v>20140130</v>
      </c>
      <c r="B6002" t="str">
        <f t="shared" si="387"/>
        <v>113901</v>
      </c>
      <c r="C6002" t="str">
        <f t="shared" si="388"/>
        <v>82286</v>
      </c>
      <c r="D6002" t="s">
        <v>532</v>
      </c>
      <c r="E6002">
        <v>48.89</v>
      </c>
      <c r="F6002">
        <v>20140128</v>
      </c>
      <c r="G6002" t="s">
        <v>535</v>
      </c>
      <c r="H6002" t="s">
        <v>534</v>
      </c>
      <c r="I6002" t="s">
        <v>21</v>
      </c>
    </row>
    <row r="6003" spans="1:9" x14ac:dyDescent="0.25">
      <c r="A6003">
        <v>20140130</v>
      </c>
      <c r="B6003" t="str">
        <f t="shared" si="387"/>
        <v>113901</v>
      </c>
      <c r="C6003" t="str">
        <f t="shared" si="388"/>
        <v>82286</v>
      </c>
      <c r="D6003" t="s">
        <v>532</v>
      </c>
      <c r="E6003">
        <v>733.32</v>
      </c>
      <c r="F6003">
        <v>20140128</v>
      </c>
      <c r="G6003" t="s">
        <v>536</v>
      </c>
      <c r="H6003" t="s">
        <v>534</v>
      </c>
      <c r="I6003" t="s">
        <v>21</v>
      </c>
    </row>
    <row r="6004" spans="1:9" x14ac:dyDescent="0.25">
      <c r="A6004">
        <v>20140130</v>
      </c>
      <c r="B6004" t="str">
        <f t="shared" si="387"/>
        <v>113901</v>
      </c>
      <c r="C6004" t="str">
        <f t="shared" si="388"/>
        <v>82286</v>
      </c>
      <c r="D6004" t="s">
        <v>532</v>
      </c>
      <c r="E6004">
        <v>244.44</v>
      </c>
      <c r="F6004">
        <v>20140128</v>
      </c>
      <c r="G6004" t="s">
        <v>537</v>
      </c>
      <c r="H6004" t="s">
        <v>534</v>
      </c>
      <c r="I6004" t="s">
        <v>21</v>
      </c>
    </row>
    <row r="6005" spans="1:9" x14ac:dyDescent="0.25">
      <c r="A6005">
        <v>20140130</v>
      </c>
      <c r="B6005" t="str">
        <f t="shared" si="387"/>
        <v>113901</v>
      </c>
      <c r="C6005" t="str">
        <f t="shared" si="388"/>
        <v>82286</v>
      </c>
      <c r="D6005" t="s">
        <v>532</v>
      </c>
      <c r="E6005">
        <v>293.39</v>
      </c>
      <c r="F6005">
        <v>20140128</v>
      </c>
      <c r="G6005" t="s">
        <v>538</v>
      </c>
      <c r="H6005" t="s">
        <v>534</v>
      </c>
      <c r="I6005" t="s">
        <v>21</v>
      </c>
    </row>
    <row r="6006" spans="1:9" x14ac:dyDescent="0.25">
      <c r="A6006">
        <v>20140130</v>
      </c>
      <c r="B6006" t="str">
        <f t="shared" si="387"/>
        <v>113901</v>
      </c>
      <c r="C6006" t="str">
        <f t="shared" si="388"/>
        <v>82286</v>
      </c>
      <c r="D6006" t="s">
        <v>532</v>
      </c>
      <c r="E6006">
        <v>342.21</v>
      </c>
      <c r="F6006">
        <v>20140128</v>
      </c>
      <c r="G6006" t="s">
        <v>539</v>
      </c>
      <c r="H6006" t="s">
        <v>534</v>
      </c>
      <c r="I6006" t="s">
        <v>21</v>
      </c>
    </row>
    <row r="6007" spans="1:9" x14ac:dyDescent="0.25">
      <c r="A6007">
        <v>20140130</v>
      </c>
      <c r="B6007" t="str">
        <f t="shared" si="387"/>
        <v>113901</v>
      </c>
      <c r="C6007" t="str">
        <f t="shared" si="388"/>
        <v>82286</v>
      </c>
      <c r="D6007" t="s">
        <v>532</v>
      </c>
      <c r="E6007">
        <v>180.52</v>
      </c>
      <c r="F6007">
        <v>20140128</v>
      </c>
      <c r="G6007" t="s">
        <v>540</v>
      </c>
      <c r="H6007" t="s">
        <v>534</v>
      </c>
      <c r="I6007" t="s">
        <v>21</v>
      </c>
    </row>
    <row r="6008" spans="1:9" x14ac:dyDescent="0.25">
      <c r="A6008">
        <v>20140130</v>
      </c>
      <c r="B6008" t="str">
        <f t="shared" si="387"/>
        <v>113901</v>
      </c>
      <c r="C6008" t="str">
        <f t="shared" si="388"/>
        <v>82286</v>
      </c>
      <c r="D6008" t="s">
        <v>532</v>
      </c>
      <c r="E6008">
        <v>180.51</v>
      </c>
      <c r="F6008">
        <v>20140128</v>
      </c>
      <c r="G6008" t="s">
        <v>541</v>
      </c>
      <c r="H6008" t="s">
        <v>534</v>
      </c>
      <c r="I6008" t="s">
        <v>21</v>
      </c>
    </row>
    <row r="6009" spans="1:9" x14ac:dyDescent="0.25">
      <c r="A6009">
        <v>20140130</v>
      </c>
      <c r="B6009" t="str">
        <f t="shared" si="387"/>
        <v>113901</v>
      </c>
      <c r="C6009" t="str">
        <f t="shared" si="388"/>
        <v>82286</v>
      </c>
      <c r="D6009" t="s">
        <v>532</v>
      </c>
      <c r="E6009">
        <v>782.21</v>
      </c>
      <c r="F6009">
        <v>20140128</v>
      </c>
      <c r="G6009" t="s">
        <v>542</v>
      </c>
      <c r="H6009" t="s">
        <v>534</v>
      </c>
      <c r="I6009" t="s">
        <v>21</v>
      </c>
    </row>
    <row r="6010" spans="1:9" x14ac:dyDescent="0.25">
      <c r="A6010">
        <v>20140130</v>
      </c>
      <c r="B6010" t="str">
        <f t="shared" si="387"/>
        <v>113901</v>
      </c>
      <c r="C6010" t="str">
        <f t="shared" si="388"/>
        <v>82286</v>
      </c>
      <c r="D6010" t="s">
        <v>532</v>
      </c>
      <c r="E6010">
        <v>48.89</v>
      </c>
      <c r="F6010">
        <v>20140128</v>
      </c>
      <c r="G6010" t="s">
        <v>543</v>
      </c>
      <c r="H6010" t="s">
        <v>534</v>
      </c>
      <c r="I6010" t="s">
        <v>21</v>
      </c>
    </row>
    <row r="6011" spans="1:9" x14ac:dyDescent="0.25">
      <c r="A6011">
        <v>20140130</v>
      </c>
      <c r="B6011" t="str">
        <f t="shared" si="387"/>
        <v>113901</v>
      </c>
      <c r="C6011" t="str">
        <f t="shared" si="388"/>
        <v>82286</v>
      </c>
      <c r="D6011" t="s">
        <v>532</v>
      </c>
      <c r="E6011">
        <v>293.37</v>
      </c>
      <c r="F6011">
        <v>20140128</v>
      </c>
      <c r="G6011" t="s">
        <v>544</v>
      </c>
      <c r="H6011" t="s">
        <v>534</v>
      </c>
      <c r="I6011" t="s">
        <v>21</v>
      </c>
    </row>
    <row r="6012" spans="1:9" x14ac:dyDescent="0.25">
      <c r="A6012">
        <v>20140130</v>
      </c>
      <c r="B6012" t="str">
        <f t="shared" si="387"/>
        <v>113901</v>
      </c>
      <c r="C6012" t="str">
        <f t="shared" si="388"/>
        <v>82286</v>
      </c>
      <c r="D6012" t="s">
        <v>532</v>
      </c>
      <c r="E6012">
        <v>293.38</v>
      </c>
      <c r="F6012">
        <v>20140128</v>
      </c>
      <c r="G6012" t="s">
        <v>545</v>
      </c>
      <c r="H6012" t="s">
        <v>534</v>
      </c>
      <c r="I6012" t="s">
        <v>21</v>
      </c>
    </row>
    <row r="6013" spans="1:9" x14ac:dyDescent="0.25">
      <c r="A6013">
        <v>20140130</v>
      </c>
      <c r="B6013" t="str">
        <f t="shared" si="387"/>
        <v>113901</v>
      </c>
      <c r="C6013" t="str">
        <f t="shared" si="388"/>
        <v>82286</v>
      </c>
      <c r="D6013" t="s">
        <v>532</v>
      </c>
      <c r="E6013">
        <v>300</v>
      </c>
      <c r="F6013">
        <v>20140123</v>
      </c>
      <c r="G6013" t="s">
        <v>1272</v>
      </c>
      <c r="H6013" t="s">
        <v>3142</v>
      </c>
      <c r="I6013" t="s">
        <v>21</v>
      </c>
    </row>
    <row r="6014" spans="1:9" x14ac:dyDescent="0.25">
      <c r="A6014">
        <v>20140130</v>
      </c>
      <c r="B6014" t="str">
        <f>"113902"</f>
        <v>113902</v>
      </c>
      <c r="C6014" t="str">
        <f>"26180"</f>
        <v>26180</v>
      </c>
      <c r="D6014" t="s">
        <v>2933</v>
      </c>
      <c r="E6014">
        <v>173</v>
      </c>
      <c r="F6014">
        <v>20140129</v>
      </c>
      <c r="G6014" t="s">
        <v>624</v>
      </c>
      <c r="H6014" t="s">
        <v>3143</v>
      </c>
      <c r="I6014" t="s">
        <v>21</v>
      </c>
    </row>
    <row r="6015" spans="1:9" x14ac:dyDescent="0.25">
      <c r="A6015">
        <v>20140130</v>
      </c>
      <c r="B6015" t="str">
        <f>"113903"</f>
        <v>113903</v>
      </c>
      <c r="C6015" t="str">
        <f>"82740"</f>
        <v>82740</v>
      </c>
      <c r="D6015" t="s">
        <v>2502</v>
      </c>
      <c r="E6015">
        <v>75</v>
      </c>
      <c r="F6015">
        <v>20140129</v>
      </c>
      <c r="G6015" t="s">
        <v>145</v>
      </c>
      <c r="H6015" t="s">
        <v>3144</v>
      </c>
      <c r="I6015" t="s">
        <v>38</v>
      </c>
    </row>
    <row r="6016" spans="1:9" x14ac:dyDescent="0.25">
      <c r="A6016">
        <v>20140130</v>
      </c>
      <c r="B6016" t="str">
        <f>"113904"</f>
        <v>113904</v>
      </c>
      <c r="C6016" t="str">
        <f>"26990"</f>
        <v>26990</v>
      </c>
      <c r="D6016" t="s">
        <v>548</v>
      </c>
      <c r="E6016">
        <v>525</v>
      </c>
      <c r="F6016">
        <v>20140127</v>
      </c>
      <c r="G6016" t="s">
        <v>935</v>
      </c>
      <c r="H6016" t="s">
        <v>3145</v>
      </c>
      <c r="I6016" t="s">
        <v>21</v>
      </c>
    </row>
    <row r="6017" spans="1:9" x14ac:dyDescent="0.25">
      <c r="A6017">
        <v>20140130</v>
      </c>
      <c r="B6017" t="str">
        <f>"113904"</f>
        <v>113904</v>
      </c>
      <c r="C6017" t="str">
        <f>"26990"</f>
        <v>26990</v>
      </c>
      <c r="D6017" t="s">
        <v>548</v>
      </c>
      <c r="E6017">
        <v>15</v>
      </c>
      <c r="F6017">
        <v>20140123</v>
      </c>
      <c r="G6017" t="s">
        <v>426</v>
      </c>
      <c r="H6017" t="s">
        <v>1862</v>
      </c>
      <c r="I6017" t="s">
        <v>21</v>
      </c>
    </row>
    <row r="6018" spans="1:9" x14ac:dyDescent="0.25">
      <c r="A6018">
        <v>20140130</v>
      </c>
      <c r="B6018" t="str">
        <f>"113905"</f>
        <v>113905</v>
      </c>
      <c r="C6018" t="str">
        <f>"87711"</f>
        <v>87711</v>
      </c>
      <c r="D6018" t="s">
        <v>3146</v>
      </c>
      <c r="E6018">
        <v>75</v>
      </c>
      <c r="F6018">
        <v>20140123</v>
      </c>
      <c r="G6018" t="s">
        <v>3147</v>
      </c>
      <c r="H6018" t="s">
        <v>3148</v>
      </c>
      <c r="I6018" t="s">
        <v>131</v>
      </c>
    </row>
    <row r="6019" spans="1:9" x14ac:dyDescent="0.25">
      <c r="A6019">
        <v>20140130</v>
      </c>
      <c r="B6019" t="str">
        <f>"113906"</f>
        <v>113906</v>
      </c>
      <c r="C6019" t="str">
        <f>"27962"</f>
        <v>27962</v>
      </c>
      <c r="D6019" t="s">
        <v>823</v>
      </c>
      <c r="E6019">
        <v>244.5</v>
      </c>
      <c r="F6019">
        <v>20140123</v>
      </c>
      <c r="G6019" t="s">
        <v>450</v>
      </c>
      <c r="H6019" t="s">
        <v>3149</v>
      </c>
      <c r="I6019" t="s">
        <v>21</v>
      </c>
    </row>
    <row r="6020" spans="1:9" x14ac:dyDescent="0.25">
      <c r="A6020">
        <v>20140130</v>
      </c>
      <c r="B6020" t="str">
        <f>"113907"</f>
        <v>113907</v>
      </c>
      <c r="C6020" t="str">
        <f>"00653"</f>
        <v>00653</v>
      </c>
      <c r="D6020" t="s">
        <v>552</v>
      </c>
      <c r="E6020" s="1">
        <v>2180.31</v>
      </c>
      <c r="F6020">
        <v>20140123</v>
      </c>
      <c r="G6020" t="s">
        <v>206</v>
      </c>
      <c r="H6020" t="s">
        <v>553</v>
      </c>
      <c r="I6020" t="s">
        <v>25</v>
      </c>
    </row>
    <row r="6021" spans="1:9" x14ac:dyDescent="0.25">
      <c r="A6021">
        <v>20140130</v>
      </c>
      <c r="B6021" t="str">
        <f>"113908"</f>
        <v>113908</v>
      </c>
      <c r="C6021" t="str">
        <f>"81292"</f>
        <v>81292</v>
      </c>
      <c r="D6021" t="s">
        <v>1417</v>
      </c>
      <c r="E6021">
        <v>22.24</v>
      </c>
      <c r="F6021">
        <v>20140128</v>
      </c>
      <c r="G6021" t="s">
        <v>496</v>
      </c>
      <c r="H6021" t="s">
        <v>414</v>
      </c>
      <c r="I6021" t="s">
        <v>21</v>
      </c>
    </row>
    <row r="6022" spans="1:9" x14ac:dyDescent="0.25">
      <c r="A6022">
        <v>20140130</v>
      </c>
      <c r="B6022" t="str">
        <f>"113909"</f>
        <v>113909</v>
      </c>
      <c r="C6022" t="str">
        <f>"87683"</f>
        <v>87683</v>
      </c>
      <c r="D6022" t="s">
        <v>2841</v>
      </c>
      <c r="E6022">
        <v>55</v>
      </c>
      <c r="F6022">
        <v>20140129</v>
      </c>
      <c r="G6022" t="s">
        <v>2820</v>
      </c>
      <c r="H6022" t="s">
        <v>765</v>
      </c>
      <c r="I6022" t="s">
        <v>61</v>
      </c>
    </row>
    <row r="6023" spans="1:9" x14ac:dyDescent="0.25">
      <c r="A6023">
        <v>20140130</v>
      </c>
      <c r="B6023" t="str">
        <f>"113910"</f>
        <v>113910</v>
      </c>
      <c r="C6023" t="str">
        <f>"30000"</f>
        <v>30000</v>
      </c>
      <c r="D6023" t="s">
        <v>556</v>
      </c>
      <c r="E6023">
        <v>197</v>
      </c>
      <c r="F6023">
        <v>20140129</v>
      </c>
      <c r="G6023" t="s">
        <v>1649</v>
      </c>
      <c r="H6023" t="s">
        <v>3150</v>
      </c>
      <c r="I6023" t="s">
        <v>21</v>
      </c>
    </row>
    <row r="6024" spans="1:9" x14ac:dyDescent="0.25">
      <c r="A6024">
        <v>20140130</v>
      </c>
      <c r="B6024" t="str">
        <f>"113910"</f>
        <v>113910</v>
      </c>
      <c r="C6024" t="str">
        <f>"30000"</f>
        <v>30000</v>
      </c>
      <c r="D6024" t="s">
        <v>556</v>
      </c>
      <c r="E6024">
        <v>281.39</v>
      </c>
      <c r="F6024">
        <v>20140129</v>
      </c>
      <c r="G6024" t="s">
        <v>840</v>
      </c>
      <c r="H6024" t="s">
        <v>3151</v>
      </c>
      <c r="I6024" t="s">
        <v>21</v>
      </c>
    </row>
    <row r="6025" spans="1:9" x14ac:dyDescent="0.25">
      <c r="A6025">
        <v>20140130</v>
      </c>
      <c r="B6025" t="str">
        <f>"113910"</f>
        <v>113910</v>
      </c>
      <c r="C6025" t="str">
        <f>"30000"</f>
        <v>30000</v>
      </c>
      <c r="D6025" t="s">
        <v>556</v>
      </c>
      <c r="E6025">
        <v>299.99</v>
      </c>
      <c r="F6025">
        <v>20140129</v>
      </c>
      <c r="G6025" t="s">
        <v>932</v>
      </c>
      <c r="H6025" t="s">
        <v>3152</v>
      </c>
      <c r="I6025" t="s">
        <v>77</v>
      </c>
    </row>
    <row r="6026" spans="1:9" x14ac:dyDescent="0.25">
      <c r="A6026">
        <v>20140130</v>
      </c>
      <c r="B6026" t="str">
        <f>"113910"</f>
        <v>113910</v>
      </c>
      <c r="C6026" t="str">
        <f>"30000"</f>
        <v>30000</v>
      </c>
      <c r="D6026" t="s">
        <v>556</v>
      </c>
      <c r="E6026">
        <v>176.58</v>
      </c>
      <c r="F6026">
        <v>20140129</v>
      </c>
      <c r="G6026" t="s">
        <v>36</v>
      </c>
      <c r="H6026" t="s">
        <v>3153</v>
      </c>
      <c r="I6026" t="s">
        <v>38</v>
      </c>
    </row>
    <row r="6027" spans="1:9" x14ac:dyDescent="0.25">
      <c r="A6027">
        <v>20140130</v>
      </c>
      <c r="B6027" t="str">
        <f>"113911"</f>
        <v>113911</v>
      </c>
      <c r="C6027" t="str">
        <f>"30125"</f>
        <v>30125</v>
      </c>
      <c r="D6027" t="s">
        <v>2509</v>
      </c>
      <c r="E6027">
        <v>934.12</v>
      </c>
      <c r="F6027">
        <v>20140129</v>
      </c>
      <c r="G6027" t="s">
        <v>2622</v>
      </c>
      <c r="H6027" t="s">
        <v>3154</v>
      </c>
      <c r="I6027" t="s">
        <v>21</v>
      </c>
    </row>
    <row r="6028" spans="1:9" x14ac:dyDescent="0.25">
      <c r="A6028">
        <v>20140130</v>
      </c>
      <c r="B6028" t="str">
        <f>"113912"</f>
        <v>113912</v>
      </c>
      <c r="C6028" t="str">
        <f>"87024"</f>
        <v>87024</v>
      </c>
      <c r="D6028" t="s">
        <v>566</v>
      </c>
      <c r="E6028">
        <v>35.06</v>
      </c>
      <c r="F6028">
        <v>20140129</v>
      </c>
      <c r="G6028" t="s">
        <v>562</v>
      </c>
      <c r="H6028" t="s">
        <v>563</v>
      </c>
      <c r="I6028" t="s">
        <v>21</v>
      </c>
    </row>
    <row r="6029" spans="1:9" x14ac:dyDescent="0.25">
      <c r="A6029">
        <v>20140130</v>
      </c>
      <c r="B6029" t="str">
        <f>"113913"</f>
        <v>113913</v>
      </c>
      <c r="C6029" t="str">
        <f>"87592"</f>
        <v>87592</v>
      </c>
      <c r="D6029" t="s">
        <v>1985</v>
      </c>
      <c r="E6029">
        <v>106.2</v>
      </c>
      <c r="F6029">
        <v>20140123</v>
      </c>
      <c r="G6029" t="s">
        <v>1738</v>
      </c>
      <c r="H6029" t="s">
        <v>365</v>
      </c>
      <c r="I6029" t="s">
        <v>21</v>
      </c>
    </row>
    <row r="6030" spans="1:9" x14ac:dyDescent="0.25">
      <c r="A6030">
        <v>20140130</v>
      </c>
      <c r="B6030" t="str">
        <f>"113914"</f>
        <v>113914</v>
      </c>
      <c r="C6030" t="str">
        <f>"84971"</f>
        <v>84971</v>
      </c>
      <c r="D6030" t="s">
        <v>3155</v>
      </c>
      <c r="E6030">
        <v>345.37</v>
      </c>
      <c r="F6030">
        <v>20140129</v>
      </c>
      <c r="G6030" t="s">
        <v>1227</v>
      </c>
      <c r="H6030" t="s">
        <v>921</v>
      </c>
      <c r="I6030" t="s">
        <v>21</v>
      </c>
    </row>
    <row r="6031" spans="1:9" x14ac:dyDescent="0.25">
      <c r="A6031">
        <v>20140130</v>
      </c>
      <c r="B6031" t="str">
        <f>"113915"</f>
        <v>113915</v>
      </c>
      <c r="C6031" t="str">
        <f>"87101"</f>
        <v>87101</v>
      </c>
      <c r="D6031" t="s">
        <v>3156</v>
      </c>
      <c r="E6031">
        <v>105</v>
      </c>
      <c r="F6031">
        <v>20140123</v>
      </c>
      <c r="G6031" t="s">
        <v>2324</v>
      </c>
      <c r="H6031" t="s">
        <v>765</v>
      </c>
      <c r="I6031" t="s">
        <v>61</v>
      </c>
    </row>
    <row r="6032" spans="1:9" x14ac:dyDescent="0.25">
      <c r="A6032">
        <v>20140130</v>
      </c>
      <c r="B6032" t="str">
        <f t="shared" ref="B6032:B6049" si="389">"113916"</f>
        <v>113916</v>
      </c>
      <c r="C6032" t="str">
        <f t="shared" ref="C6032:C6049" si="390">"31570"</f>
        <v>31570</v>
      </c>
      <c r="D6032" t="s">
        <v>1244</v>
      </c>
      <c r="E6032">
        <v>26.63</v>
      </c>
      <c r="F6032">
        <v>20140129</v>
      </c>
      <c r="G6032" t="s">
        <v>496</v>
      </c>
      <c r="H6032" t="s">
        <v>414</v>
      </c>
      <c r="I6032" t="s">
        <v>21</v>
      </c>
    </row>
    <row r="6033" spans="1:9" x14ac:dyDescent="0.25">
      <c r="A6033">
        <v>20140130</v>
      </c>
      <c r="B6033" t="str">
        <f t="shared" si="389"/>
        <v>113916</v>
      </c>
      <c r="C6033" t="str">
        <f t="shared" si="390"/>
        <v>31570</v>
      </c>
      <c r="D6033" t="s">
        <v>1244</v>
      </c>
      <c r="E6033">
        <v>20.64</v>
      </c>
      <c r="F6033">
        <v>20140129</v>
      </c>
      <c r="G6033" t="s">
        <v>413</v>
      </c>
      <c r="H6033" t="s">
        <v>414</v>
      </c>
      <c r="I6033" t="s">
        <v>21</v>
      </c>
    </row>
    <row r="6034" spans="1:9" x14ac:dyDescent="0.25">
      <c r="A6034">
        <v>20140130</v>
      </c>
      <c r="B6034" t="str">
        <f t="shared" si="389"/>
        <v>113916</v>
      </c>
      <c r="C6034" t="str">
        <f t="shared" si="390"/>
        <v>31570</v>
      </c>
      <c r="D6034" t="s">
        <v>1244</v>
      </c>
      <c r="E6034">
        <v>59.9</v>
      </c>
      <c r="F6034">
        <v>20140129</v>
      </c>
      <c r="G6034" t="s">
        <v>483</v>
      </c>
      <c r="H6034" t="s">
        <v>414</v>
      </c>
      <c r="I6034" t="s">
        <v>21</v>
      </c>
    </row>
    <row r="6035" spans="1:9" x14ac:dyDescent="0.25">
      <c r="A6035">
        <v>20140130</v>
      </c>
      <c r="B6035" t="str">
        <f t="shared" si="389"/>
        <v>113916</v>
      </c>
      <c r="C6035" t="str">
        <f t="shared" si="390"/>
        <v>31570</v>
      </c>
      <c r="D6035" t="s">
        <v>1244</v>
      </c>
      <c r="E6035">
        <v>715.82</v>
      </c>
      <c r="F6035">
        <v>20140129</v>
      </c>
      <c r="G6035" t="s">
        <v>415</v>
      </c>
      <c r="H6035" t="s">
        <v>414</v>
      </c>
      <c r="I6035" t="s">
        <v>21</v>
      </c>
    </row>
    <row r="6036" spans="1:9" x14ac:dyDescent="0.25">
      <c r="A6036">
        <v>20140130</v>
      </c>
      <c r="B6036" t="str">
        <f t="shared" si="389"/>
        <v>113916</v>
      </c>
      <c r="C6036" t="str">
        <f t="shared" si="390"/>
        <v>31570</v>
      </c>
      <c r="D6036" t="s">
        <v>1244</v>
      </c>
      <c r="E6036">
        <v>132.63</v>
      </c>
      <c r="F6036">
        <v>20140129</v>
      </c>
      <c r="G6036" t="s">
        <v>627</v>
      </c>
      <c r="H6036" t="s">
        <v>414</v>
      </c>
      <c r="I6036" t="s">
        <v>21</v>
      </c>
    </row>
    <row r="6037" spans="1:9" x14ac:dyDescent="0.25">
      <c r="A6037">
        <v>20140130</v>
      </c>
      <c r="B6037" t="str">
        <f t="shared" si="389"/>
        <v>113916</v>
      </c>
      <c r="C6037" t="str">
        <f t="shared" si="390"/>
        <v>31570</v>
      </c>
      <c r="D6037" t="s">
        <v>1244</v>
      </c>
      <c r="E6037">
        <v>14.29</v>
      </c>
      <c r="F6037">
        <v>20140129</v>
      </c>
      <c r="G6037" t="s">
        <v>1222</v>
      </c>
      <c r="H6037" t="s">
        <v>414</v>
      </c>
      <c r="I6037" t="s">
        <v>21</v>
      </c>
    </row>
    <row r="6038" spans="1:9" x14ac:dyDescent="0.25">
      <c r="A6038">
        <v>20140130</v>
      </c>
      <c r="B6038" t="str">
        <f t="shared" si="389"/>
        <v>113916</v>
      </c>
      <c r="C6038" t="str">
        <f t="shared" si="390"/>
        <v>31570</v>
      </c>
      <c r="D6038" t="s">
        <v>1244</v>
      </c>
      <c r="E6038">
        <v>261.89999999999998</v>
      </c>
      <c r="F6038">
        <v>20140129</v>
      </c>
      <c r="G6038" t="s">
        <v>628</v>
      </c>
      <c r="H6038" t="s">
        <v>414</v>
      </c>
      <c r="I6038" t="s">
        <v>21</v>
      </c>
    </row>
    <row r="6039" spans="1:9" x14ac:dyDescent="0.25">
      <c r="A6039">
        <v>20140130</v>
      </c>
      <c r="B6039" t="str">
        <f t="shared" si="389"/>
        <v>113916</v>
      </c>
      <c r="C6039" t="str">
        <f t="shared" si="390"/>
        <v>31570</v>
      </c>
      <c r="D6039" t="s">
        <v>1244</v>
      </c>
      <c r="E6039">
        <v>26.54</v>
      </c>
      <c r="F6039">
        <v>20140129</v>
      </c>
      <c r="G6039" t="s">
        <v>629</v>
      </c>
      <c r="H6039" t="s">
        <v>414</v>
      </c>
      <c r="I6039" t="s">
        <v>21</v>
      </c>
    </row>
    <row r="6040" spans="1:9" x14ac:dyDescent="0.25">
      <c r="A6040">
        <v>20140130</v>
      </c>
      <c r="B6040" t="str">
        <f t="shared" si="389"/>
        <v>113916</v>
      </c>
      <c r="C6040" t="str">
        <f t="shared" si="390"/>
        <v>31570</v>
      </c>
      <c r="D6040" t="s">
        <v>1244</v>
      </c>
      <c r="E6040">
        <v>131.37</v>
      </c>
      <c r="F6040">
        <v>20140129</v>
      </c>
      <c r="G6040" t="s">
        <v>630</v>
      </c>
      <c r="H6040" t="s">
        <v>414</v>
      </c>
      <c r="I6040" t="s">
        <v>21</v>
      </c>
    </row>
    <row r="6041" spans="1:9" x14ac:dyDescent="0.25">
      <c r="A6041">
        <v>20140130</v>
      </c>
      <c r="B6041" t="str">
        <f t="shared" si="389"/>
        <v>113916</v>
      </c>
      <c r="C6041" t="str">
        <f t="shared" si="390"/>
        <v>31570</v>
      </c>
      <c r="D6041" t="s">
        <v>1244</v>
      </c>
      <c r="E6041">
        <v>398.06</v>
      </c>
      <c r="F6041">
        <v>20140129</v>
      </c>
      <c r="G6041" t="s">
        <v>530</v>
      </c>
      <c r="H6041" t="s">
        <v>414</v>
      </c>
      <c r="I6041" t="s">
        <v>21</v>
      </c>
    </row>
    <row r="6042" spans="1:9" x14ac:dyDescent="0.25">
      <c r="A6042">
        <v>20140130</v>
      </c>
      <c r="B6042" t="str">
        <f t="shared" si="389"/>
        <v>113916</v>
      </c>
      <c r="C6042" t="str">
        <f t="shared" si="390"/>
        <v>31570</v>
      </c>
      <c r="D6042" t="s">
        <v>1244</v>
      </c>
      <c r="E6042">
        <v>53.6</v>
      </c>
      <c r="F6042">
        <v>20140129</v>
      </c>
      <c r="G6042" t="s">
        <v>631</v>
      </c>
      <c r="H6042" t="s">
        <v>414</v>
      </c>
      <c r="I6042" t="s">
        <v>21</v>
      </c>
    </row>
    <row r="6043" spans="1:9" x14ac:dyDescent="0.25">
      <c r="A6043">
        <v>20140130</v>
      </c>
      <c r="B6043" t="str">
        <f t="shared" si="389"/>
        <v>113916</v>
      </c>
      <c r="C6043" t="str">
        <f t="shared" si="390"/>
        <v>31570</v>
      </c>
      <c r="D6043" t="s">
        <v>1244</v>
      </c>
      <c r="E6043" s="1">
        <v>1125.78</v>
      </c>
      <c r="F6043">
        <v>20140129</v>
      </c>
      <c r="G6043" t="s">
        <v>392</v>
      </c>
      <c r="H6043" t="s">
        <v>414</v>
      </c>
      <c r="I6043" t="s">
        <v>21</v>
      </c>
    </row>
    <row r="6044" spans="1:9" x14ac:dyDescent="0.25">
      <c r="A6044">
        <v>20140130</v>
      </c>
      <c r="B6044" t="str">
        <f t="shared" si="389"/>
        <v>113916</v>
      </c>
      <c r="C6044" t="str">
        <f t="shared" si="390"/>
        <v>31570</v>
      </c>
      <c r="D6044" t="s">
        <v>1244</v>
      </c>
      <c r="E6044">
        <v>257.02</v>
      </c>
      <c r="F6044">
        <v>20140129</v>
      </c>
      <c r="G6044" t="s">
        <v>1224</v>
      </c>
      <c r="H6044" t="s">
        <v>414</v>
      </c>
      <c r="I6044" t="s">
        <v>21</v>
      </c>
    </row>
    <row r="6045" spans="1:9" x14ac:dyDescent="0.25">
      <c r="A6045">
        <v>20140130</v>
      </c>
      <c r="B6045" t="str">
        <f t="shared" si="389"/>
        <v>113916</v>
      </c>
      <c r="C6045" t="str">
        <f t="shared" si="390"/>
        <v>31570</v>
      </c>
      <c r="D6045" t="s">
        <v>1244</v>
      </c>
      <c r="E6045">
        <v>58.17</v>
      </c>
      <c r="F6045">
        <v>20140129</v>
      </c>
      <c r="G6045" t="s">
        <v>531</v>
      </c>
      <c r="H6045" t="s">
        <v>414</v>
      </c>
      <c r="I6045" t="s">
        <v>21</v>
      </c>
    </row>
    <row r="6046" spans="1:9" x14ac:dyDescent="0.25">
      <c r="A6046">
        <v>20140130</v>
      </c>
      <c r="B6046" t="str">
        <f t="shared" si="389"/>
        <v>113916</v>
      </c>
      <c r="C6046" t="str">
        <f t="shared" si="390"/>
        <v>31570</v>
      </c>
      <c r="D6046" t="s">
        <v>1244</v>
      </c>
      <c r="E6046">
        <v>130.16999999999999</v>
      </c>
      <c r="F6046">
        <v>20140129</v>
      </c>
      <c r="G6046" t="s">
        <v>1245</v>
      </c>
      <c r="H6046" t="s">
        <v>414</v>
      </c>
      <c r="I6046" t="s">
        <v>21</v>
      </c>
    </row>
    <row r="6047" spans="1:9" x14ac:dyDescent="0.25">
      <c r="A6047">
        <v>20140130</v>
      </c>
      <c r="B6047" t="str">
        <f t="shared" si="389"/>
        <v>113916</v>
      </c>
      <c r="C6047" t="str">
        <f t="shared" si="390"/>
        <v>31570</v>
      </c>
      <c r="D6047" t="s">
        <v>1244</v>
      </c>
      <c r="E6047">
        <v>201.34</v>
      </c>
      <c r="F6047">
        <v>20140129</v>
      </c>
      <c r="G6047" t="s">
        <v>417</v>
      </c>
      <c r="H6047" t="s">
        <v>414</v>
      </c>
      <c r="I6047" t="s">
        <v>21</v>
      </c>
    </row>
    <row r="6048" spans="1:9" x14ac:dyDescent="0.25">
      <c r="A6048">
        <v>20140130</v>
      </c>
      <c r="B6048" t="str">
        <f t="shared" si="389"/>
        <v>113916</v>
      </c>
      <c r="C6048" t="str">
        <f t="shared" si="390"/>
        <v>31570</v>
      </c>
      <c r="D6048" t="s">
        <v>1244</v>
      </c>
      <c r="E6048">
        <v>69.48</v>
      </c>
      <c r="F6048">
        <v>20140129</v>
      </c>
      <c r="G6048" t="s">
        <v>734</v>
      </c>
      <c r="H6048" t="s">
        <v>414</v>
      </c>
      <c r="I6048" t="s">
        <v>21</v>
      </c>
    </row>
    <row r="6049" spans="1:9" x14ac:dyDescent="0.25">
      <c r="A6049">
        <v>20140130</v>
      </c>
      <c r="B6049" t="str">
        <f t="shared" si="389"/>
        <v>113916</v>
      </c>
      <c r="C6049" t="str">
        <f t="shared" si="390"/>
        <v>31570</v>
      </c>
      <c r="D6049" t="s">
        <v>1244</v>
      </c>
      <c r="E6049">
        <v>81.180000000000007</v>
      </c>
      <c r="F6049">
        <v>20140129</v>
      </c>
      <c r="G6049" t="s">
        <v>331</v>
      </c>
      <c r="H6049" t="s">
        <v>414</v>
      </c>
      <c r="I6049" t="s">
        <v>12</v>
      </c>
    </row>
    <row r="6050" spans="1:9" x14ac:dyDescent="0.25">
      <c r="A6050">
        <v>20140130</v>
      </c>
      <c r="B6050" t="str">
        <f>"113917"</f>
        <v>113917</v>
      </c>
      <c r="C6050" t="str">
        <f>"31573"</f>
        <v>31573</v>
      </c>
      <c r="D6050" t="s">
        <v>3157</v>
      </c>
      <c r="E6050">
        <v>505.4</v>
      </c>
      <c r="F6050">
        <v>20140127</v>
      </c>
      <c r="G6050" t="s">
        <v>137</v>
      </c>
      <c r="H6050" t="s">
        <v>3158</v>
      </c>
      <c r="I6050" t="s">
        <v>21</v>
      </c>
    </row>
    <row r="6051" spans="1:9" x14ac:dyDescent="0.25">
      <c r="A6051">
        <v>20140130</v>
      </c>
      <c r="B6051" t="str">
        <f>"113918"</f>
        <v>113918</v>
      </c>
      <c r="C6051" t="str">
        <f>"84980"</f>
        <v>84980</v>
      </c>
      <c r="D6051" t="s">
        <v>591</v>
      </c>
      <c r="E6051">
        <v>297.19</v>
      </c>
      <c r="F6051">
        <v>20140124</v>
      </c>
      <c r="G6051" t="s">
        <v>3159</v>
      </c>
      <c r="H6051" t="s">
        <v>3160</v>
      </c>
      <c r="I6051" t="s">
        <v>75</v>
      </c>
    </row>
    <row r="6052" spans="1:9" x14ac:dyDescent="0.25">
      <c r="A6052">
        <v>20140130</v>
      </c>
      <c r="B6052" t="str">
        <f>"113919"</f>
        <v>113919</v>
      </c>
      <c r="C6052" t="str">
        <f>"86053"</f>
        <v>86053</v>
      </c>
      <c r="D6052" t="s">
        <v>2522</v>
      </c>
      <c r="E6052">
        <v>135</v>
      </c>
      <c r="F6052">
        <v>20140127</v>
      </c>
      <c r="G6052" t="s">
        <v>2324</v>
      </c>
      <c r="H6052" t="s">
        <v>765</v>
      </c>
      <c r="I6052" t="s">
        <v>61</v>
      </c>
    </row>
    <row r="6053" spans="1:9" x14ac:dyDescent="0.25">
      <c r="A6053">
        <v>20140130</v>
      </c>
      <c r="B6053" t="str">
        <f>"113920"</f>
        <v>113920</v>
      </c>
      <c r="C6053" t="str">
        <f>"35337"</f>
        <v>35337</v>
      </c>
      <c r="D6053" t="s">
        <v>599</v>
      </c>
      <c r="E6053">
        <v>167.01</v>
      </c>
      <c r="F6053">
        <v>20140129</v>
      </c>
      <c r="G6053" t="s">
        <v>498</v>
      </c>
      <c r="H6053" t="s">
        <v>499</v>
      </c>
      <c r="I6053" t="s">
        <v>21</v>
      </c>
    </row>
    <row r="6054" spans="1:9" x14ac:dyDescent="0.25">
      <c r="A6054">
        <v>20140130</v>
      </c>
      <c r="B6054" t="str">
        <f>"113920"</f>
        <v>113920</v>
      </c>
      <c r="C6054" t="str">
        <f>"35337"</f>
        <v>35337</v>
      </c>
      <c r="D6054" t="s">
        <v>599</v>
      </c>
      <c r="E6054">
        <v>149.97999999999999</v>
      </c>
      <c r="F6054">
        <v>20140129</v>
      </c>
      <c r="G6054" t="s">
        <v>498</v>
      </c>
      <c r="H6054" t="s">
        <v>499</v>
      </c>
      <c r="I6054" t="s">
        <v>21</v>
      </c>
    </row>
    <row r="6055" spans="1:9" x14ac:dyDescent="0.25">
      <c r="A6055">
        <v>20140130</v>
      </c>
      <c r="B6055" t="str">
        <f>"113920"</f>
        <v>113920</v>
      </c>
      <c r="C6055" t="str">
        <f>"35337"</f>
        <v>35337</v>
      </c>
      <c r="D6055" t="s">
        <v>599</v>
      </c>
      <c r="E6055">
        <v>-309.83</v>
      </c>
      <c r="F6055">
        <v>20140130</v>
      </c>
      <c r="G6055" t="s">
        <v>498</v>
      </c>
      <c r="H6055" t="s">
        <v>3161</v>
      </c>
      <c r="I6055" t="s">
        <v>21</v>
      </c>
    </row>
    <row r="6056" spans="1:9" x14ac:dyDescent="0.25">
      <c r="A6056">
        <v>20140130</v>
      </c>
      <c r="B6056" t="str">
        <f>"113921"</f>
        <v>113921</v>
      </c>
      <c r="C6056" t="str">
        <f>"87088"</f>
        <v>87088</v>
      </c>
      <c r="D6056" t="s">
        <v>1097</v>
      </c>
      <c r="E6056" s="1">
        <v>5542.46</v>
      </c>
      <c r="F6056">
        <v>20140123</v>
      </c>
      <c r="G6056" t="s">
        <v>1271</v>
      </c>
      <c r="H6056" t="s">
        <v>1098</v>
      </c>
      <c r="I6056" t="s">
        <v>21</v>
      </c>
    </row>
    <row r="6057" spans="1:9" x14ac:dyDescent="0.25">
      <c r="A6057">
        <v>20140130</v>
      </c>
      <c r="B6057" t="str">
        <f>"113922"</f>
        <v>113922</v>
      </c>
      <c r="C6057" t="str">
        <f>"00268"</f>
        <v>00268</v>
      </c>
      <c r="D6057" t="s">
        <v>1878</v>
      </c>
      <c r="E6057">
        <v>487.23</v>
      </c>
      <c r="F6057">
        <v>20140128</v>
      </c>
      <c r="G6057" t="s">
        <v>503</v>
      </c>
      <c r="H6057" t="s">
        <v>921</v>
      </c>
      <c r="I6057" t="s">
        <v>21</v>
      </c>
    </row>
    <row r="6058" spans="1:9" x14ac:dyDescent="0.25">
      <c r="A6058">
        <v>20140130</v>
      </c>
      <c r="B6058" t="str">
        <f>"113923"</f>
        <v>113923</v>
      </c>
      <c r="C6058" t="str">
        <f>"36028"</f>
        <v>36028</v>
      </c>
      <c r="D6058" t="s">
        <v>1758</v>
      </c>
      <c r="E6058">
        <v>579.15</v>
      </c>
      <c r="F6058">
        <v>20140129</v>
      </c>
      <c r="G6058" t="s">
        <v>982</v>
      </c>
      <c r="H6058" t="s">
        <v>921</v>
      </c>
      <c r="I6058" t="s">
        <v>21</v>
      </c>
    </row>
    <row r="6059" spans="1:9" x14ac:dyDescent="0.25">
      <c r="A6059">
        <v>20140130</v>
      </c>
      <c r="B6059" t="str">
        <f>"113924"</f>
        <v>113924</v>
      </c>
      <c r="C6059" t="str">
        <f>"86199"</f>
        <v>86199</v>
      </c>
      <c r="D6059" t="s">
        <v>3041</v>
      </c>
      <c r="E6059">
        <v>352.2</v>
      </c>
      <c r="F6059">
        <v>20140129</v>
      </c>
      <c r="G6059" t="s">
        <v>3162</v>
      </c>
      <c r="H6059" t="s">
        <v>921</v>
      </c>
      <c r="I6059" t="s">
        <v>21</v>
      </c>
    </row>
    <row r="6060" spans="1:9" x14ac:dyDescent="0.25">
      <c r="A6060">
        <v>20140130</v>
      </c>
      <c r="B6060" t="str">
        <f>"113925"</f>
        <v>113925</v>
      </c>
      <c r="C6060" t="str">
        <f>"00198"</f>
        <v>00198</v>
      </c>
      <c r="D6060" t="s">
        <v>605</v>
      </c>
      <c r="E6060">
        <v>117.72</v>
      </c>
      <c r="F6060">
        <v>20140127</v>
      </c>
      <c r="G6060" t="s">
        <v>606</v>
      </c>
      <c r="H6060" t="s">
        <v>607</v>
      </c>
      <c r="I6060" t="s">
        <v>608</v>
      </c>
    </row>
    <row r="6061" spans="1:9" x14ac:dyDescent="0.25">
      <c r="A6061">
        <v>20140130</v>
      </c>
      <c r="B6061" t="str">
        <f>"113926"</f>
        <v>113926</v>
      </c>
      <c r="C6061" t="str">
        <f>"83064"</f>
        <v>83064</v>
      </c>
      <c r="D6061" t="s">
        <v>1760</v>
      </c>
      <c r="E6061">
        <v>93.86</v>
      </c>
      <c r="F6061">
        <v>20140129</v>
      </c>
      <c r="G6061" t="s">
        <v>637</v>
      </c>
      <c r="H6061" t="s">
        <v>354</v>
      </c>
      <c r="I6061" t="s">
        <v>38</v>
      </c>
    </row>
    <row r="6062" spans="1:9" x14ac:dyDescent="0.25">
      <c r="A6062">
        <v>20140130</v>
      </c>
      <c r="B6062" t="str">
        <f>"113927"</f>
        <v>113927</v>
      </c>
      <c r="C6062" t="str">
        <f>"86701"</f>
        <v>86701</v>
      </c>
      <c r="D6062" t="s">
        <v>2528</v>
      </c>
      <c r="E6062">
        <v>105</v>
      </c>
      <c r="F6062">
        <v>20140123</v>
      </c>
      <c r="G6062" t="s">
        <v>2324</v>
      </c>
      <c r="H6062" t="s">
        <v>765</v>
      </c>
      <c r="I6062" t="s">
        <v>61</v>
      </c>
    </row>
    <row r="6063" spans="1:9" x14ac:dyDescent="0.25">
      <c r="A6063">
        <v>20140130</v>
      </c>
      <c r="B6063" t="str">
        <f>"113927"</f>
        <v>113927</v>
      </c>
      <c r="C6063" t="str">
        <f>"86701"</f>
        <v>86701</v>
      </c>
      <c r="D6063" t="s">
        <v>2528</v>
      </c>
      <c r="E6063">
        <v>55</v>
      </c>
      <c r="F6063">
        <v>20140129</v>
      </c>
      <c r="G6063" t="s">
        <v>2324</v>
      </c>
      <c r="H6063" t="s">
        <v>765</v>
      </c>
      <c r="I6063" t="s">
        <v>61</v>
      </c>
    </row>
    <row r="6064" spans="1:9" x14ac:dyDescent="0.25">
      <c r="A6064">
        <v>20140130</v>
      </c>
      <c r="B6064" t="str">
        <f>"113928"</f>
        <v>113928</v>
      </c>
      <c r="C6064" t="str">
        <f>"87652"</f>
        <v>87652</v>
      </c>
      <c r="D6064" t="s">
        <v>2596</v>
      </c>
      <c r="E6064">
        <v>135</v>
      </c>
      <c r="F6064">
        <v>20140123</v>
      </c>
      <c r="G6064" t="s">
        <v>2324</v>
      </c>
      <c r="H6064" t="s">
        <v>765</v>
      </c>
      <c r="I6064" t="s">
        <v>61</v>
      </c>
    </row>
    <row r="6065" spans="1:9" x14ac:dyDescent="0.25">
      <c r="A6065">
        <v>20140130</v>
      </c>
      <c r="B6065" t="str">
        <f>"113929"</f>
        <v>113929</v>
      </c>
      <c r="C6065" t="str">
        <f>"87716"</f>
        <v>87716</v>
      </c>
      <c r="D6065" t="s">
        <v>3163</v>
      </c>
      <c r="E6065">
        <v>105</v>
      </c>
      <c r="F6065">
        <v>20140127</v>
      </c>
      <c r="G6065" t="s">
        <v>2324</v>
      </c>
      <c r="H6065" t="s">
        <v>765</v>
      </c>
      <c r="I6065" t="s">
        <v>61</v>
      </c>
    </row>
    <row r="6066" spans="1:9" x14ac:dyDescent="0.25">
      <c r="A6066">
        <v>20140130</v>
      </c>
      <c r="B6066" t="str">
        <f>"113930"</f>
        <v>113930</v>
      </c>
      <c r="C6066" t="str">
        <f>"87722"</f>
        <v>87722</v>
      </c>
      <c r="D6066" t="s">
        <v>3164</v>
      </c>
      <c r="E6066">
        <v>656</v>
      </c>
      <c r="F6066">
        <v>20140129</v>
      </c>
      <c r="G6066" t="s">
        <v>440</v>
      </c>
      <c r="H6066" t="s">
        <v>954</v>
      </c>
      <c r="I6066" t="s">
        <v>66</v>
      </c>
    </row>
    <row r="6067" spans="1:9" x14ac:dyDescent="0.25">
      <c r="A6067">
        <v>20140130</v>
      </c>
      <c r="B6067" t="str">
        <f>"113931"</f>
        <v>113931</v>
      </c>
      <c r="C6067" t="str">
        <f>"39190"</f>
        <v>39190</v>
      </c>
      <c r="D6067" t="s">
        <v>1100</v>
      </c>
      <c r="E6067">
        <v>54</v>
      </c>
      <c r="F6067">
        <v>20140127</v>
      </c>
      <c r="G6067" t="s">
        <v>742</v>
      </c>
      <c r="H6067" t="s">
        <v>743</v>
      </c>
      <c r="I6067" t="s">
        <v>21</v>
      </c>
    </row>
    <row r="6068" spans="1:9" x14ac:dyDescent="0.25">
      <c r="A6068">
        <v>20140130</v>
      </c>
      <c r="B6068" t="str">
        <f>"113931"</f>
        <v>113931</v>
      </c>
      <c r="C6068" t="str">
        <f>"39190"</f>
        <v>39190</v>
      </c>
      <c r="D6068" t="s">
        <v>1100</v>
      </c>
      <c r="E6068">
        <v>231.3</v>
      </c>
      <c r="F6068">
        <v>20140129</v>
      </c>
      <c r="G6068" t="s">
        <v>742</v>
      </c>
      <c r="H6068" t="s">
        <v>743</v>
      </c>
      <c r="I6068" t="s">
        <v>21</v>
      </c>
    </row>
    <row r="6069" spans="1:9" x14ac:dyDescent="0.25">
      <c r="A6069">
        <v>20140130</v>
      </c>
      <c r="B6069" t="str">
        <f>"113931"</f>
        <v>113931</v>
      </c>
      <c r="C6069" t="str">
        <f>"39190"</f>
        <v>39190</v>
      </c>
      <c r="D6069" t="s">
        <v>1100</v>
      </c>
      <c r="E6069">
        <v>67.5</v>
      </c>
      <c r="F6069">
        <v>20140127</v>
      </c>
      <c r="G6069" t="s">
        <v>589</v>
      </c>
      <c r="H6069" t="s">
        <v>743</v>
      </c>
      <c r="I6069" t="s">
        <v>68</v>
      </c>
    </row>
    <row r="6070" spans="1:9" x14ac:dyDescent="0.25">
      <c r="A6070">
        <v>20140130</v>
      </c>
      <c r="B6070" t="str">
        <f>"113932"</f>
        <v>113932</v>
      </c>
      <c r="C6070" t="str">
        <f>"87354"</f>
        <v>87354</v>
      </c>
      <c r="D6070" t="s">
        <v>2224</v>
      </c>
      <c r="E6070" s="1">
        <v>2050</v>
      </c>
      <c r="F6070">
        <v>20140128</v>
      </c>
      <c r="G6070" t="s">
        <v>840</v>
      </c>
      <c r="H6070" t="s">
        <v>3165</v>
      </c>
      <c r="I6070" t="s">
        <v>21</v>
      </c>
    </row>
    <row r="6071" spans="1:9" x14ac:dyDescent="0.25">
      <c r="A6071">
        <v>20140130</v>
      </c>
      <c r="B6071" t="str">
        <f>"113933"</f>
        <v>113933</v>
      </c>
      <c r="C6071" t="str">
        <f>"42750"</f>
        <v>42750</v>
      </c>
      <c r="D6071" t="s">
        <v>888</v>
      </c>
      <c r="E6071">
        <v>138.91</v>
      </c>
      <c r="F6071">
        <v>20140123</v>
      </c>
      <c r="G6071" t="s">
        <v>181</v>
      </c>
      <c r="H6071" t="s">
        <v>354</v>
      </c>
      <c r="I6071" t="s">
        <v>38</v>
      </c>
    </row>
    <row r="6072" spans="1:9" x14ac:dyDescent="0.25">
      <c r="A6072">
        <v>20140130</v>
      </c>
      <c r="B6072" t="str">
        <f>"113933"</f>
        <v>113933</v>
      </c>
      <c r="C6072" t="str">
        <f>"42750"</f>
        <v>42750</v>
      </c>
      <c r="D6072" t="s">
        <v>888</v>
      </c>
      <c r="E6072">
        <v>220.4</v>
      </c>
      <c r="F6072">
        <v>20140129</v>
      </c>
      <c r="G6072" t="s">
        <v>181</v>
      </c>
      <c r="H6072" t="s">
        <v>354</v>
      </c>
      <c r="I6072" t="s">
        <v>38</v>
      </c>
    </row>
    <row r="6073" spans="1:9" x14ac:dyDescent="0.25">
      <c r="A6073">
        <v>20140130</v>
      </c>
      <c r="B6073" t="str">
        <f>"113934"</f>
        <v>113934</v>
      </c>
      <c r="C6073" t="str">
        <f>"87717"</f>
        <v>87717</v>
      </c>
      <c r="D6073" t="s">
        <v>3166</v>
      </c>
      <c r="E6073">
        <v>105</v>
      </c>
      <c r="F6073">
        <v>20140127</v>
      </c>
      <c r="G6073" t="s">
        <v>2324</v>
      </c>
      <c r="H6073" t="s">
        <v>765</v>
      </c>
      <c r="I6073" t="s">
        <v>61</v>
      </c>
    </row>
    <row r="6074" spans="1:9" x14ac:dyDescent="0.25">
      <c r="A6074">
        <v>20140130</v>
      </c>
      <c r="B6074" t="str">
        <f>"113935"</f>
        <v>113935</v>
      </c>
      <c r="C6074" t="str">
        <f>"44875"</f>
        <v>44875</v>
      </c>
      <c r="D6074" t="s">
        <v>424</v>
      </c>
      <c r="E6074">
        <v>55.92</v>
      </c>
      <c r="F6074">
        <v>20140128</v>
      </c>
      <c r="G6074" t="s">
        <v>410</v>
      </c>
      <c r="H6074" t="s">
        <v>3167</v>
      </c>
      <c r="I6074" t="s">
        <v>12</v>
      </c>
    </row>
    <row r="6075" spans="1:9" x14ac:dyDescent="0.25">
      <c r="A6075">
        <v>20140130</v>
      </c>
      <c r="B6075" t="str">
        <f>"113936"</f>
        <v>113936</v>
      </c>
      <c r="C6075" t="str">
        <f>"85883"</f>
        <v>85883</v>
      </c>
      <c r="D6075" t="s">
        <v>3168</v>
      </c>
      <c r="E6075">
        <v>700</v>
      </c>
      <c r="F6075">
        <v>20140129</v>
      </c>
      <c r="G6075" t="s">
        <v>214</v>
      </c>
      <c r="H6075" t="s">
        <v>3169</v>
      </c>
      <c r="I6075" t="s">
        <v>38</v>
      </c>
    </row>
    <row r="6076" spans="1:9" x14ac:dyDescent="0.25">
      <c r="A6076">
        <v>20140130</v>
      </c>
      <c r="B6076" t="str">
        <f>"113937"</f>
        <v>113937</v>
      </c>
      <c r="C6076" t="str">
        <f>"86116"</f>
        <v>86116</v>
      </c>
      <c r="D6076" t="s">
        <v>2535</v>
      </c>
      <c r="E6076">
        <v>85</v>
      </c>
      <c r="F6076">
        <v>20140129</v>
      </c>
      <c r="G6076" t="s">
        <v>2820</v>
      </c>
      <c r="H6076" t="s">
        <v>765</v>
      </c>
      <c r="I6076" t="s">
        <v>61</v>
      </c>
    </row>
    <row r="6077" spans="1:9" x14ac:dyDescent="0.25">
      <c r="A6077">
        <v>20140130</v>
      </c>
      <c r="B6077" t="str">
        <f>"113938"</f>
        <v>113938</v>
      </c>
      <c r="C6077" t="str">
        <f>"48820"</f>
        <v>48820</v>
      </c>
      <c r="D6077" t="s">
        <v>1106</v>
      </c>
      <c r="E6077">
        <v>223.5</v>
      </c>
      <c r="F6077">
        <v>20140129</v>
      </c>
      <c r="G6077" t="s">
        <v>1067</v>
      </c>
      <c r="H6077" t="s">
        <v>354</v>
      </c>
      <c r="I6077" t="s">
        <v>21</v>
      </c>
    </row>
    <row r="6078" spans="1:9" x14ac:dyDescent="0.25">
      <c r="A6078">
        <v>20140130</v>
      </c>
      <c r="B6078" t="str">
        <f>"113938"</f>
        <v>113938</v>
      </c>
      <c r="C6078" t="str">
        <f>"48820"</f>
        <v>48820</v>
      </c>
      <c r="D6078" t="s">
        <v>1106</v>
      </c>
      <c r="E6078">
        <v>97.84</v>
      </c>
      <c r="F6078">
        <v>20140129</v>
      </c>
      <c r="G6078" t="s">
        <v>209</v>
      </c>
      <c r="H6078" t="s">
        <v>3170</v>
      </c>
      <c r="I6078" t="s">
        <v>25</v>
      </c>
    </row>
    <row r="6079" spans="1:9" x14ac:dyDescent="0.25">
      <c r="A6079">
        <v>20140130</v>
      </c>
      <c r="B6079" t="str">
        <f>"113939"</f>
        <v>113939</v>
      </c>
      <c r="C6079" t="str">
        <f>"48820"</f>
        <v>48820</v>
      </c>
      <c r="D6079" t="s">
        <v>1106</v>
      </c>
      <c r="E6079">
        <v>500</v>
      </c>
      <c r="F6079">
        <v>20140129</v>
      </c>
      <c r="G6079" t="s">
        <v>209</v>
      </c>
      <c r="H6079" t="s">
        <v>357</v>
      </c>
      <c r="I6079" t="s">
        <v>25</v>
      </c>
    </row>
    <row r="6080" spans="1:9" x14ac:dyDescent="0.25">
      <c r="A6080">
        <v>20140130</v>
      </c>
      <c r="B6080" t="str">
        <f>"113940"</f>
        <v>113940</v>
      </c>
      <c r="C6080" t="str">
        <f>"86578"</f>
        <v>86578</v>
      </c>
      <c r="D6080" t="s">
        <v>905</v>
      </c>
      <c r="E6080">
        <v>6.5</v>
      </c>
      <c r="F6080">
        <v>20140123</v>
      </c>
      <c r="G6080" t="s">
        <v>181</v>
      </c>
      <c r="H6080" t="s">
        <v>354</v>
      </c>
      <c r="I6080" t="s">
        <v>38</v>
      </c>
    </row>
    <row r="6081" spans="1:9" x14ac:dyDescent="0.25">
      <c r="A6081">
        <v>20140130</v>
      </c>
      <c r="B6081" t="str">
        <f>"113941"</f>
        <v>113941</v>
      </c>
      <c r="C6081" t="str">
        <f>"87404"</f>
        <v>87404</v>
      </c>
      <c r="D6081" t="s">
        <v>1108</v>
      </c>
      <c r="E6081">
        <v>4.97</v>
      </c>
      <c r="F6081">
        <v>20140123</v>
      </c>
      <c r="G6081" t="s">
        <v>426</v>
      </c>
      <c r="H6081" t="s">
        <v>968</v>
      </c>
      <c r="I6081" t="s">
        <v>21</v>
      </c>
    </row>
    <row r="6082" spans="1:9" x14ac:dyDescent="0.25">
      <c r="A6082">
        <v>20140130</v>
      </c>
      <c r="B6082" t="str">
        <f>"113942"</f>
        <v>113942</v>
      </c>
      <c r="C6082" t="str">
        <f>"49450"</f>
        <v>49450</v>
      </c>
      <c r="D6082" t="s">
        <v>3171</v>
      </c>
      <c r="E6082">
        <v>99.95</v>
      </c>
      <c r="F6082">
        <v>20140123</v>
      </c>
      <c r="G6082" t="s">
        <v>830</v>
      </c>
      <c r="H6082" t="s">
        <v>3172</v>
      </c>
      <c r="I6082" t="s">
        <v>21</v>
      </c>
    </row>
    <row r="6083" spans="1:9" x14ac:dyDescent="0.25">
      <c r="A6083">
        <v>20140130</v>
      </c>
      <c r="B6083" t="str">
        <f>"113943"</f>
        <v>113943</v>
      </c>
      <c r="C6083" t="str">
        <f>"49832"</f>
        <v>49832</v>
      </c>
      <c r="D6083" t="s">
        <v>1631</v>
      </c>
      <c r="E6083" s="1">
        <v>73840.38</v>
      </c>
      <c r="F6083">
        <v>20140127</v>
      </c>
      <c r="G6083" t="s">
        <v>568</v>
      </c>
      <c r="H6083" t="s">
        <v>3173</v>
      </c>
      <c r="I6083" t="s">
        <v>21</v>
      </c>
    </row>
    <row r="6084" spans="1:9" x14ac:dyDescent="0.25">
      <c r="A6084">
        <v>20140130</v>
      </c>
      <c r="B6084" t="str">
        <f>"113944"</f>
        <v>113944</v>
      </c>
      <c r="C6084" t="str">
        <f>"81137"</f>
        <v>81137</v>
      </c>
      <c r="D6084" t="s">
        <v>1266</v>
      </c>
      <c r="E6084">
        <v>515</v>
      </c>
      <c r="F6084">
        <v>20140129</v>
      </c>
      <c r="G6084" t="s">
        <v>870</v>
      </c>
      <c r="H6084" t="s">
        <v>3054</v>
      </c>
      <c r="I6084" t="s">
        <v>21</v>
      </c>
    </row>
    <row r="6085" spans="1:9" x14ac:dyDescent="0.25">
      <c r="A6085">
        <v>20140130</v>
      </c>
      <c r="B6085" t="str">
        <f>"113945"</f>
        <v>113945</v>
      </c>
      <c r="C6085" t="str">
        <f>"50820"</f>
        <v>50820</v>
      </c>
      <c r="D6085" t="s">
        <v>3174</v>
      </c>
      <c r="E6085">
        <v>50</v>
      </c>
      <c r="F6085">
        <v>20140127</v>
      </c>
      <c r="G6085" t="s">
        <v>2211</v>
      </c>
      <c r="H6085" t="s">
        <v>354</v>
      </c>
      <c r="I6085" t="s">
        <v>2212</v>
      </c>
    </row>
    <row r="6086" spans="1:9" x14ac:dyDescent="0.25">
      <c r="A6086">
        <v>20140130</v>
      </c>
      <c r="B6086" t="str">
        <f>"113946"</f>
        <v>113946</v>
      </c>
      <c r="C6086" t="str">
        <f>"50950"</f>
        <v>50950</v>
      </c>
      <c r="D6086" t="s">
        <v>2240</v>
      </c>
      <c r="E6086">
        <v>128.75</v>
      </c>
      <c r="F6086">
        <v>20140129</v>
      </c>
      <c r="G6086" t="s">
        <v>2801</v>
      </c>
      <c r="H6086" t="s">
        <v>3175</v>
      </c>
      <c r="I6086" t="s">
        <v>21</v>
      </c>
    </row>
    <row r="6087" spans="1:9" x14ac:dyDescent="0.25">
      <c r="A6087">
        <v>20140130</v>
      </c>
      <c r="B6087" t="str">
        <f>"113947"</f>
        <v>113947</v>
      </c>
      <c r="C6087" t="str">
        <f>"51000"</f>
        <v>51000</v>
      </c>
      <c r="D6087" t="s">
        <v>366</v>
      </c>
      <c r="E6087">
        <v>40.97</v>
      </c>
      <c r="F6087">
        <v>20140128</v>
      </c>
      <c r="G6087" t="s">
        <v>367</v>
      </c>
      <c r="H6087" t="s">
        <v>368</v>
      </c>
      <c r="I6087" t="s">
        <v>21</v>
      </c>
    </row>
    <row r="6088" spans="1:9" x14ac:dyDescent="0.25">
      <c r="A6088">
        <v>20140130</v>
      </c>
      <c r="B6088" t="str">
        <f>"113948"</f>
        <v>113948</v>
      </c>
      <c r="C6088" t="str">
        <f>"51550"</f>
        <v>51550</v>
      </c>
      <c r="D6088" t="s">
        <v>2868</v>
      </c>
      <c r="E6088">
        <v>95.9</v>
      </c>
      <c r="F6088">
        <v>20140128</v>
      </c>
      <c r="G6088" t="s">
        <v>1010</v>
      </c>
      <c r="H6088" t="s">
        <v>414</v>
      </c>
      <c r="I6088" t="s">
        <v>21</v>
      </c>
    </row>
    <row r="6089" spans="1:9" x14ac:dyDescent="0.25">
      <c r="A6089">
        <v>20140130</v>
      </c>
      <c r="B6089" t="str">
        <f>"113949"</f>
        <v>113949</v>
      </c>
      <c r="C6089" t="str">
        <f>"86137"</f>
        <v>86137</v>
      </c>
      <c r="D6089" t="s">
        <v>916</v>
      </c>
      <c r="E6089">
        <v>135</v>
      </c>
      <c r="F6089">
        <v>20140127</v>
      </c>
      <c r="G6089" t="s">
        <v>2324</v>
      </c>
      <c r="H6089" t="s">
        <v>765</v>
      </c>
      <c r="I6089" t="s">
        <v>61</v>
      </c>
    </row>
    <row r="6090" spans="1:9" x14ac:dyDescent="0.25">
      <c r="A6090">
        <v>20140130</v>
      </c>
      <c r="B6090" t="str">
        <f>"113950"</f>
        <v>113950</v>
      </c>
      <c r="C6090" t="str">
        <f>"87231"</f>
        <v>87231</v>
      </c>
      <c r="D6090" t="s">
        <v>428</v>
      </c>
      <c r="E6090">
        <v>12.15</v>
      </c>
      <c r="F6090">
        <v>20140128</v>
      </c>
      <c r="G6090" t="s">
        <v>410</v>
      </c>
      <c r="H6090" t="s">
        <v>411</v>
      </c>
      <c r="I6090" t="s">
        <v>12</v>
      </c>
    </row>
    <row r="6091" spans="1:9" x14ac:dyDescent="0.25">
      <c r="A6091">
        <v>20140130</v>
      </c>
      <c r="B6091" t="str">
        <f>"113951"</f>
        <v>113951</v>
      </c>
      <c r="C6091" t="str">
        <f>"53300"</f>
        <v>53300</v>
      </c>
      <c r="D6091" t="s">
        <v>1491</v>
      </c>
      <c r="E6091">
        <v>157.65</v>
      </c>
      <c r="F6091">
        <v>20140129</v>
      </c>
      <c r="G6091" t="s">
        <v>415</v>
      </c>
      <c r="H6091" t="s">
        <v>414</v>
      </c>
      <c r="I6091" t="s">
        <v>21</v>
      </c>
    </row>
    <row r="6092" spans="1:9" x14ac:dyDescent="0.25">
      <c r="A6092">
        <v>20140130</v>
      </c>
      <c r="B6092" t="str">
        <f>"113951"</f>
        <v>113951</v>
      </c>
      <c r="C6092" t="str">
        <f>"53300"</f>
        <v>53300</v>
      </c>
      <c r="D6092" t="s">
        <v>1491</v>
      </c>
      <c r="E6092">
        <v>3.76</v>
      </c>
      <c r="F6092">
        <v>20140129</v>
      </c>
      <c r="G6092" t="s">
        <v>631</v>
      </c>
      <c r="H6092" t="s">
        <v>414</v>
      </c>
      <c r="I6092" t="s">
        <v>21</v>
      </c>
    </row>
    <row r="6093" spans="1:9" x14ac:dyDescent="0.25">
      <c r="A6093">
        <v>20140130</v>
      </c>
      <c r="B6093" t="str">
        <f>"113951"</f>
        <v>113951</v>
      </c>
      <c r="C6093" t="str">
        <f>"53300"</f>
        <v>53300</v>
      </c>
      <c r="D6093" t="s">
        <v>1491</v>
      </c>
      <c r="E6093">
        <v>46.82</v>
      </c>
      <c r="F6093">
        <v>20140129</v>
      </c>
      <c r="G6093" t="s">
        <v>392</v>
      </c>
      <c r="H6093" t="s">
        <v>414</v>
      </c>
      <c r="I6093" t="s">
        <v>21</v>
      </c>
    </row>
    <row r="6094" spans="1:9" x14ac:dyDescent="0.25">
      <c r="A6094">
        <v>20140130</v>
      </c>
      <c r="B6094" t="str">
        <f>"113952"</f>
        <v>113952</v>
      </c>
      <c r="C6094" t="str">
        <f>"87719"</f>
        <v>87719</v>
      </c>
      <c r="D6094" t="s">
        <v>3176</v>
      </c>
      <c r="E6094">
        <v>240</v>
      </c>
      <c r="F6094">
        <v>20140127</v>
      </c>
      <c r="G6094" t="s">
        <v>995</v>
      </c>
      <c r="H6094" t="s">
        <v>2191</v>
      </c>
      <c r="I6094" t="s">
        <v>61</v>
      </c>
    </row>
    <row r="6095" spans="1:9" x14ac:dyDescent="0.25">
      <c r="A6095">
        <v>20140130</v>
      </c>
      <c r="B6095" t="str">
        <f>"113953"</f>
        <v>113953</v>
      </c>
      <c r="C6095" t="str">
        <f>"87713"</f>
        <v>87713</v>
      </c>
      <c r="D6095" t="s">
        <v>3177</v>
      </c>
      <c r="E6095">
        <v>22.01</v>
      </c>
      <c r="F6095">
        <v>20140123</v>
      </c>
      <c r="G6095" t="s">
        <v>181</v>
      </c>
      <c r="H6095" t="s">
        <v>354</v>
      </c>
      <c r="I6095" t="s">
        <v>38</v>
      </c>
    </row>
    <row r="6096" spans="1:9" x14ac:dyDescent="0.25">
      <c r="A6096">
        <v>20140130</v>
      </c>
      <c r="B6096" t="str">
        <f>"113954"</f>
        <v>113954</v>
      </c>
      <c r="C6096" t="str">
        <f>"86173"</f>
        <v>86173</v>
      </c>
      <c r="D6096" t="s">
        <v>3178</v>
      </c>
      <c r="E6096">
        <v>85</v>
      </c>
      <c r="F6096">
        <v>20140129</v>
      </c>
      <c r="G6096" t="s">
        <v>2820</v>
      </c>
      <c r="H6096" t="s">
        <v>765</v>
      </c>
      <c r="I6096" t="s">
        <v>61</v>
      </c>
    </row>
    <row r="6097" spans="1:9" x14ac:dyDescent="0.25">
      <c r="A6097">
        <v>20140130</v>
      </c>
      <c r="B6097" t="str">
        <f t="shared" ref="B6097:B6104" si="391">"113955"</f>
        <v>113955</v>
      </c>
      <c r="C6097" t="str">
        <f t="shared" ref="C6097:C6104" si="392">"55675"</f>
        <v>55675</v>
      </c>
      <c r="D6097" t="s">
        <v>1114</v>
      </c>
      <c r="E6097">
        <v>160.49</v>
      </c>
      <c r="F6097">
        <v>20140129</v>
      </c>
      <c r="G6097" t="s">
        <v>1640</v>
      </c>
      <c r="H6097" t="s">
        <v>414</v>
      </c>
      <c r="I6097" t="s">
        <v>21</v>
      </c>
    </row>
    <row r="6098" spans="1:9" x14ac:dyDescent="0.25">
      <c r="A6098">
        <v>20140130</v>
      </c>
      <c r="B6098" t="str">
        <f t="shared" si="391"/>
        <v>113955</v>
      </c>
      <c r="C6098" t="str">
        <f t="shared" si="392"/>
        <v>55675</v>
      </c>
      <c r="D6098" t="s">
        <v>1114</v>
      </c>
      <c r="E6098">
        <v>137.5</v>
      </c>
      <c r="F6098">
        <v>20140129</v>
      </c>
      <c r="G6098" t="s">
        <v>1115</v>
      </c>
      <c r="H6098" t="s">
        <v>414</v>
      </c>
      <c r="I6098" t="s">
        <v>21</v>
      </c>
    </row>
    <row r="6099" spans="1:9" x14ac:dyDescent="0.25">
      <c r="A6099">
        <v>20140130</v>
      </c>
      <c r="B6099" t="str">
        <f t="shared" si="391"/>
        <v>113955</v>
      </c>
      <c r="C6099" t="str">
        <f t="shared" si="392"/>
        <v>55675</v>
      </c>
      <c r="D6099" t="s">
        <v>1114</v>
      </c>
      <c r="E6099">
        <v>68.78</v>
      </c>
      <c r="F6099">
        <v>20140129</v>
      </c>
      <c r="G6099" t="s">
        <v>1115</v>
      </c>
      <c r="H6099" t="s">
        <v>414</v>
      </c>
      <c r="I6099" t="s">
        <v>21</v>
      </c>
    </row>
    <row r="6100" spans="1:9" x14ac:dyDescent="0.25">
      <c r="A6100">
        <v>20140130</v>
      </c>
      <c r="B6100" t="str">
        <f t="shared" si="391"/>
        <v>113955</v>
      </c>
      <c r="C6100" t="str">
        <f t="shared" si="392"/>
        <v>55675</v>
      </c>
      <c r="D6100" t="s">
        <v>1114</v>
      </c>
      <c r="E6100">
        <v>35.979999999999997</v>
      </c>
      <c r="F6100">
        <v>20140129</v>
      </c>
      <c r="G6100" t="s">
        <v>1115</v>
      </c>
      <c r="H6100" t="s">
        <v>414</v>
      </c>
      <c r="I6100" t="s">
        <v>21</v>
      </c>
    </row>
    <row r="6101" spans="1:9" x14ac:dyDescent="0.25">
      <c r="A6101">
        <v>20140130</v>
      </c>
      <c r="B6101" t="str">
        <f t="shared" si="391"/>
        <v>113955</v>
      </c>
      <c r="C6101" t="str">
        <f t="shared" si="392"/>
        <v>55675</v>
      </c>
      <c r="D6101" t="s">
        <v>1114</v>
      </c>
      <c r="E6101">
        <v>80.989999999999995</v>
      </c>
      <c r="F6101">
        <v>20140129</v>
      </c>
      <c r="G6101" t="s">
        <v>1115</v>
      </c>
      <c r="H6101" t="s">
        <v>414</v>
      </c>
      <c r="I6101" t="s">
        <v>21</v>
      </c>
    </row>
    <row r="6102" spans="1:9" x14ac:dyDescent="0.25">
      <c r="A6102">
        <v>20140130</v>
      </c>
      <c r="B6102" t="str">
        <f t="shared" si="391"/>
        <v>113955</v>
      </c>
      <c r="C6102" t="str">
        <f t="shared" si="392"/>
        <v>55675</v>
      </c>
      <c r="D6102" t="s">
        <v>1114</v>
      </c>
      <c r="E6102">
        <v>71.25</v>
      </c>
      <c r="F6102">
        <v>20140129</v>
      </c>
      <c r="G6102" t="s">
        <v>1115</v>
      </c>
      <c r="H6102" t="s">
        <v>414</v>
      </c>
      <c r="I6102" t="s">
        <v>21</v>
      </c>
    </row>
    <row r="6103" spans="1:9" x14ac:dyDescent="0.25">
      <c r="A6103">
        <v>20140130</v>
      </c>
      <c r="B6103" t="str">
        <f t="shared" si="391"/>
        <v>113955</v>
      </c>
      <c r="C6103" t="str">
        <f t="shared" si="392"/>
        <v>55675</v>
      </c>
      <c r="D6103" t="s">
        <v>1114</v>
      </c>
      <c r="E6103">
        <v>64.989999999999995</v>
      </c>
      <c r="F6103">
        <v>20140123</v>
      </c>
      <c r="G6103" t="s">
        <v>1910</v>
      </c>
      <c r="H6103" t="s">
        <v>414</v>
      </c>
      <c r="I6103" t="s">
        <v>21</v>
      </c>
    </row>
    <row r="6104" spans="1:9" x14ac:dyDescent="0.25">
      <c r="A6104">
        <v>20140130</v>
      </c>
      <c r="B6104" t="str">
        <f t="shared" si="391"/>
        <v>113955</v>
      </c>
      <c r="C6104" t="str">
        <f t="shared" si="392"/>
        <v>55675</v>
      </c>
      <c r="D6104" t="s">
        <v>1114</v>
      </c>
      <c r="E6104">
        <v>61.39</v>
      </c>
      <c r="F6104">
        <v>20140123</v>
      </c>
      <c r="G6104" t="s">
        <v>1910</v>
      </c>
      <c r="H6104" t="s">
        <v>414</v>
      </c>
      <c r="I6104" t="s">
        <v>21</v>
      </c>
    </row>
    <row r="6105" spans="1:9" x14ac:dyDescent="0.25">
      <c r="A6105">
        <v>20140130</v>
      </c>
      <c r="B6105" t="str">
        <f>"113956"</f>
        <v>113956</v>
      </c>
      <c r="C6105" t="str">
        <f>"55795"</f>
        <v>55795</v>
      </c>
      <c r="D6105" t="s">
        <v>931</v>
      </c>
      <c r="E6105">
        <v>413.95</v>
      </c>
      <c r="F6105">
        <v>20140129</v>
      </c>
      <c r="G6105" t="s">
        <v>3179</v>
      </c>
      <c r="H6105" t="s">
        <v>563</v>
      </c>
      <c r="I6105" t="s">
        <v>79</v>
      </c>
    </row>
    <row r="6106" spans="1:9" x14ac:dyDescent="0.25">
      <c r="A6106">
        <v>20140130</v>
      </c>
      <c r="B6106" t="str">
        <f>"113957"</f>
        <v>113957</v>
      </c>
      <c r="C6106" t="str">
        <f>"87212"</f>
        <v>87212</v>
      </c>
      <c r="D6106" t="s">
        <v>652</v>
      </c>
      <c r="E6106">
        <v>450</v>
      </c>
      <c r="F6106">
        <v>20140123</v>
      </c>
      <c r="G6106" t="s">
        <v>653</v>
      </c>
      <c r="H6106" t="s">
        <v>679</v>
      </c>
      <c r="I6106" t="s">
        <v>21</v>
      </c>
    </row>
    <row r="6107" spans="1:9" x14ac:dyDescent="0.25">
      <c r="A6107">
        <v>20140130</v>
      </c>
      <c r="B6107" t="str">
        <f>"113958"</f>
        <v>113958</v>
      </c>
      <c r="C6107" t="str">
        <f>"86712"</f>
        <v>86712</v>
      </c>
      <c r="D6107" t="s">
        <v>2556</v>
      </c>
      <c r="E6107">
        <v>135</v>
      </c>
      <c r="F6107">
        <v>20140127</v>
      </c>
      <c r="G6107" t="s">
        <v>2324</v>
      </c>
      <c r="H6107" t="s">
        <v>765</v>
      </c>
      <c r="I6107" t="s">
        <v>61</v>
      </c>
    </row>
    <row r="6108" spans="1:9" x14ac:dyDescent="0.25">
      <c r="A6108">
        <v>20140130</v>
      </c>
      <c r="B6108" t="str">
        <f>"113959"</f>
        <v>113959</v>
      </c>
      <c r="C6108" t="str">
        <f>"57041"</f>
        <v>57041</v>
      </c>
      <c r="D6108" t="s">
        <v>1496</v>
      </c>
      <c r="E6108" s="1">
        <v>17373</v>
      </c>
      <c r="F6108">
        <v>20140123</v>
      </c>
      <c r="G6108" t="s">
        <v>621</v>
      </c>
      <c r="H6108" t="s">
        <v>3180</v>
      </c>
      <c r="I6108" t="s">
        <v>21</v>
      </c>
    </row>
    <row r="6109" spans="1:9" x14ac:dyDescent="0.25">
      <c r="A6109">
        <v>20140130</v>
      </c>
      <c r="B6109" t="str">
        <f>"113960"</f>
        <v>113960</v>
      </c>
      <c r="C6109" t="str">
        <f>"85323"</f>
        <v>85323</v>
      </c>
      <c r="D6109" t="s">
        <v>2874</v>
      </c>
      <c r="E6109" s="1">
        <v>1426.12</v>
      </c>
      <c r="F6109">
        <v>20140123</v>
      </c>
      <c r="G6109" t="s">
        <v>1064</v>
      </c>
      <c r="H6109" t="s">
        <v>3181</v>
      </c>
      <c r="I6109" t="s">
        <v>21</v>
      </c>
    </row>
    <row r="6110" spans="1:9" x14ac:dyDescent="0.25">
      <c r="A6110">
        <v>20140130</v>
      </c>
      <c r="B6110" t="str">
        <f>"113961"</f>
        <v>113961</v>
      </c>
      <c r="C6110" t="str">
        <f>"81360"</f>
        <v>81360</v>
      </c>
      <c r="D6110" t="s">
        <v>2249</v>
      </c>
      <c r="E6110">
        <v>100</v>
      </c>
      <c r="F6110">
        <v>20140123</v>
      </c>
      <c r="G6110" t="s">
        <v>181</v>
      </c>
      <c r="H6110" t="s">
        <v>2336</v>
      </c>
      <c r="I6110" t="s">
        <v>38</v>
      </c>
    </row>
    <row r="6111" spans="1:9" x14ac:dyDescent="0.25">
      <c r="A6111">
        <v>20140130</v>
      </c>
      <c r="B6111" t="str">
        <f>"113962"</f>
        <v>113962</v>
      </c>
      <c r="C6111" t="str">
        <f>"58585"</f>
        <v>58585</v>
      </c>
      <c r="D6111" t="s">
        <v>1913</v>
      </c>
      <c r="E6111">
        <v>774.75</v>
      </c>
      <c r="F6111">
        <v>20140123</v>
      </c>
      <c r="G6111" t="s">
        <v>579</v>
      </c>
      <c r="H6111" t="s">
        <v>3182</v>
      </c>
      <c r="I6111" t="s">
        <v>21</v>
      </c>
    </row>
    <row r="6112" spans="1:9" x14ac:dyDescent="0.25">
      <c r="A6112">
        <v>20140130</v>
      </c>
      <c r="B6112" t="str">
        <f>"113963"</f>
        <v>113963</v>
      </c>
      <c r="C6112" t="str">
        <f>"82182"</f>
        <v>82182</v>
      </c>
      <c r="D6112" t="s">
        <v>2741</v>
      </c>
      <c r="E6112" s="1">
        <v>1288.5</v>
      </c>
      <c r="F6112">
        <v>20140123</v>
      </c>
      <c r="G6112" t="s">
        <v>1271</v>
      </c>
      <c r="H6112" t="s">
        <v>525</v>
      </c>
      <c r="I6112" t="s">
        <v>21</v>
      </c>
    </row>
    <row r="6113" spans="1:9" x14ac:dyDescent="0.25">
      <c r="A6113">
        <v>20140130</v>
      </c>
      <c r="B6113" t="str">
        <f>"113964"</f>
        <v>113964</v>
      </c>
      <c r="C6113" t="str">
        <f>"00298"</f>
        <v>00298</v>
      </c>
      <c r="D6113" t="s">
        <v>2265</v>
      </c>
      <c r="E6113">
        <v>425.73</v>
      </c>
      <c r="F6113">
        <v>20140124</v>
      </c>
      <c r="G6113" t="s">
        <v>1774</v>
      </c>
      <c r="H6113" t="s">
        <v>3183</v>
      </c>
      <c r="I6113" t="s">
        <v>21</v>
      </c>
    </row>
    <row r="6114" spans="1:9" x14ac:dyDescent="0.25">
      <c r="A6114">
        <v>20140130</v>
      </c>
      <c r="B6114" t="str">
        <f>"113965"</f>
        <v>113965</v>
      </c>
      <c r="C6114" t="str">
        <f>"87641"</f>
        <v>87641</v>
      </c>
      <c r="D6114" t="s">
        <v>2559</v>
      </c>
      <c r="E6114">
        <v>262.57</v>
      </c>
      <c r="F6114">
        <v>20140123</v>
      </c>
      <c r="G6114" t="s">
        <v>734</v>
      </c>
      <c r="H6114" t="s">
        <v>3184</v>
      </c>
      <c r="I6114" t="s">
        <v>21</v>
      </c>
    </row>
    <row r="6115" spans="1:9" x14ac:dyDescent="0.25">
      <c r="A6115">
        <v>20140130</v>
      </c>
      <c r="B6115" t="str">
        <f>"113966"</f>
        <v>113966</v>
      </c>
      <c r="C6115" t="str">
        <f>"86715"</f>
        <v>86715</v>
      </c>
      <c r="D6115" t="s">
        <v>3185</v>
      </c>
      <c r="E6115">
        <v>135</v>
      </c>
      <c r="F6115">
        <v>20140123</v>
      </c>
      <c r="G6115" t="s">
        <v>2324</v>
      </c>
      <c r="H6115" t="s">
        <v>765</v>
      </c>
      <c r="I6115" t="s">
        <v>61</v>
      </c>
    </row>
    <row r="6116" spans="1:9" x14ac:dyDescent="0.25">
      <c r="A6116">
        <v>20140130</v>
      </c>
      <c r="B6116" t="str">
        <f>"113967"</f>
        <v>113967</v>
      </c>
      <c r="C6116" t="str">
        <f>"83007"</f>
        <v>83007</v>
      </c>
      <c r="D6116" t="s">
        <v>3186</v>
      </c>
      <c r="E6116" s="1">
        <v>1287.4100000000001</v>
      </c>
      <c r="F6116">
        <v>20140124</v>
      </c>
      <c r="G6116" t="s">
        <v>1795</v>
      </c>
      <c r="H6116" t="s">
        <v>3187</v>
      </c>
      <c r="I6116" t="s">
        <v>38</v>
      </c>
    </row>
    <row r="6117" spans="1:9" x14ac:dyDescent="0.25">
      <c r="A6117">
        <v>20140130</v>
      </c>
      <c r="B6117" t="str">
        <f>"113968"</f>
        <v>113968</v>
      </c>
      <c r="C6117" t="str">
        <f>"84165"</f>
        <v>84165</v>
      </c>
      <c r="D6117" t="s">
        <v>1298</v>
      </c>
      <c r="E6117">
        <v>7</v>
      </c>
      <c r="F6117">
        <v>20140128</v>
      </c>
      <c r="G6117" t="s">
        <v>503</v>
      </c>
      <c r="H6117" t="s">
        <v>354</v>
      </c>
      <c r="I6117" t="s">
        <v>21</v>
      </c>
    </row>
    <row r="6118" spans="1:9" x14ac:dyDescent="0.25">
      <c r="A6118">
        <v>20140130</v>
      </c>
      <c r="B6118" t="str">
        <f>"113969"</f>
        <v>113969</v>
      </c>
      <c r="C6118" t="str">
        <f>"87712"</f>
        <v>87712</v>
      </c>
      <c r="D6118" t="s">
        <v>3188</v>
      </c>
      <c r="E6118">
        <v>105</v>
      </c>
      <c r="F6118">
        <v>20140123</v>
      </c>
      <c r="G6118" t="s">
        <v>2324</v>
      </c>
      <c r="H6118" t="s">
        <v>765</v>
      </c>
      <c r="I6118" t="s">
        <v>61</v>
      </c>
    </row>
    <row r="6119" spans="1:9" x14ac:dyDescent="0.25">
      <c r="A6119">
        <v>20140130</v>
      </c>
      <c r="B6119" t="str">
        <f>"113970"</f>
        <v>113970</v>
      </c>
      <c r="C6119" t="str">
        <f>"87245"</f>
        <v>87245</v>
      </c>
      <c r="D6119" t="s">
        <v>3189</v>
      </c>
      <c r="E6119">
        <v>150</v>
      </c>
      <c r="F6119">
        <v>20140129</v>
      </c>
      <c r="G6119" t="s">
        <v>1488</v>
      </c>
      <c r="H6119" t="s">
        <v>1109</v>
      </c>
      <c r="I6119" t="s">
        <v>25</v>
      </c>
    </row>
    <row r="6120" spans="1:9" x14ac:dyDescent="0.25">
      <c r="A6120">
        <v>20140130</v>
      </c>
      <c r="B6120" t="str">
        <f>"113971"</f>
        <v>113971</v>
      </c>
      <c r="C6120" t="str">
        <f>"67000"</f>
        <v>67000</v>
      </c>
      <c r="D6120" t="s">
        <v>3190</v>
      </c>
      <c r="E6120">
        <v>365</v>
      </c>
      <c r="F6120">
        <v>20140123</v>
      </c>
      <c r="G6120" t="s">
        <v>1271</v>
      </c>
      <c r="H6120" t="s">
        <v>525</v>
      </c>
      <c r="I6120" t="s">
        <v>21</v>
      </c>
    </row>
    <row r="6121" spans="1:9" x14ac:dyDescent="0.25">
      <c r="A6121">
        <v>20140130</v>
      </c>
      <c r="B6121" t="str">
        <f>"113972"</f>
        <v>113972</v>
      </c>
      <c r="C6121" t="str">
        <f>"68960"</f>
        <v>68960</v>
      </c>
      <c r="D6121" t="s">
        <v>689</v>
      </c>
      <c r="E6121">
        <v>200</v>
      </c>
      <c r="F6121">
        <v>20140123</v>
      </c>
      <c r="G6121" t="s">
        <v>356</v>
      </c>
      <c r="H6121" t="s">
        <v>357</v>
      </c>
      <c r="I6121" t="s">
        <v>61</v>
      </c>
    </row>
    <row r="6122" spans="1:9" x14ac:dyDescent="0.25">
      <c r="A6122">
        <v>20140130</v>
      </c>
      <c r="B6122" t="str">
        <f>"113972"</f>
        <v>113972</v>
      </c>
      <c r="C6122" t="str">
        <f>"68960"</f>
        <v>68960</v>
      </c>
      <c r="D6122" t="s">
        <v>689</v>
      </c>
      <c r="E6122">
        <v>137.75</v>
      </c>
      <c r="F6122">
        <v>20140127</v>
      </c>
      <c r="G6122" t="s">
        <v>356</v>
      </c>
      <c r="H6122" t="s">
        <v>357</v>
      </c>
      <c r="I6122" t="s">
        <v>61</v>
      </c>
    </row>
    <row r="6123" spans="1:9" x14ac:dyDescent="0.25">
      <c r="A6123">
        <v>20140130</v>
      </c>
      <c r="B6123" t="str">
        <f>"113972"</f>
        <v>113972</v>
      </c>
      <c r="C6123" t="str">
        <f>"68960"</f>
        <v>68960</v>
      </c>
      <c r="D6123" t="s">
        <v>689</v>
      </c>
      <c r="E6123">
        <v>100</v>
      </c>
      <c r="F6123">
        <v>20140129</v>
      </c>
      <c r="G6123" t="s">
        <v>356</v>
      </c>
      <c r="H6123" t="s">
        <v>357</v>
      </c>
      <c r="I6123" t="s">
        <v>61</v>
      </c>
    </row>
    <row r="6124" spans="1:9" x14ac:dyDescent="0.25">
      <c r="A6124">
        <v>20140130</v>
      </c>
      <c r="B6124" t="str">
        <f>"113973"</f>
        <v>113973</v>
      </c>
      <c r="C6124" t="str">
        <f>"70681"</f>
        <v>70681</v>
      </c>
      <c r="D6124" t="s">
        <v>3191</v>
      </c>
      <c r="E6124" s="1">
        <v>1500</v>
      </c>
      <c r="F6124">
        <v>20140129</v>
      </c>
      <c r="G6124" t="s">
        <v>1145</v>
      </c>
      <c r="H6124" t="s">
        <v>1054</v>
      </c>
      <c r="I6124" t="s">
        <v>73</v>
      </c>
    </row>
    <row r="6125" spans="1:9" x14ac:dyDescent="0.25">
      <c r="A6125">
        <v>20140130</v>
      </c>
      <c r="B6125" t="str">
        <f>"113974"</f>
        <v>113974</v>
      </c>
      <c r="C6125" t="str">
        <f>"82245"</f>
        <v>82245</v>
      </c>
      <c r="D6125" t="s">
        <v>3192</v>
      </c>
      <c r="E6125">
        <v>12</v>
      </c>
      <c r="F6125">
        <v>20140130</v>
      </c>
      <c r="G6125" t="s">
        <v>387</v>
      </c>
      <c r="H6125" t="s">
        <v>3193</v>
      </c>
      <c r="I6125" t="s">
        <v>21</v>
      </c>
    </row>
    <row r="6126" spans="1:9" x14ac:dyDescent="0.25">
      <c r="A6126">
        <v>20140130</v>
      </c>
      <c r="B6126" t="str">
        <f>"113975"</f>
        <v>113975</v>
      </c>
      <c r="C6126" t="str">
        <f>"00304"</f>
        <v>00304</v>
      </c>
      <c r="D6126" t="s">
        <v>3194</v>
      </c>
      <c r="E6126" s="1">
        <v>2310</v>
      </c>
      <c r="F6126">
        <v>20140129</v>
      </c>
      <c r="G6126" t="s">
        <v>2432</v>
      </c>
      <c r="H6126" t="s">
        <v>954</v>
      </c>
      <c r="I6126" t="s">
        <v>66</v>
      </c>
    </row>
    <row r="6127" spans="1:9" x14ac:dyDescent="0.25">
      <c r="A6127">
        <v>20140130</v>
      </c>
      <c r="B6127" t="str">
        <f>"113976"</f>
        <v>113976</v>
      </c>
      <c r="C6127" t="str">
        <f>"86596"</f>
        <v>86596</v>
      </c>
      <c r="D6127" t="s">
        <v>1683</v>
      </c>
      <c r="E6127" s="1">
        <v>1312.05</v>
      </c>
      <c r="F6127">
        <v>20140127</v>
      </c>
      <c r="G6127" t="s">
        <v>1684</v>
      </c>
      <c r="H6127" t="s">
        <v>3195</v>
      </c>
      <c r="I6127" t="s">
        <v>21</v>
      </c>
    </row>
    <row r="6128" spans="1:9" x14ac:dyDescent="0.25">
      <c r="A6128">
        <v>20140130</v>
      </c>
      <c r="B6128" t="str">
        <f>"113977"</f>
        <v>113977</v>
      </c>
      <c r="C6128" t="str">
        <f>"87614"</f>
        <v>87614</v>
      </c>
      <c r="D6128" t="s">
        <v>2415</v>
      </c>
      <c r="E6128">
        <v>671</v>
      </c>
      <c r="F6128">
        <v>20140129</v>
      </c>
      <c r="G6128" t="s">
        <v>1954</v>
      </c>
      <c r="H6128" t="s">
        <v>679</v>
      </c>
      <c r="I6128" t="s">
        <v>38</v>
      </c>
    </row>
    <row r="6129" spans="1:9" x14ac:dyDescent="0.25">
      <c r="A6129">
        <v>20140130</v>
      </c>
      <c r="B6129" t="str">
        <f>"113978"</f>
        <v>113978</v>
      </c>
      <c r="C6129" t="str">
        <f>"74090"</f>
        <v>74090</v>
      </c>
      <c r="D6129" t="s">
        <v>3196</v>
      </c>
      <c r="E6129">
        <v>50</v>
      </c>
      <c r="F6129">
        <v>20140127</v>
      </c>
      <c r="G6129" t="s">
        <v>2211</v>
      </c>
      <c r="H6129" t="s">
        <v>354</v>
      </c>
      <c r="I6129" t="s">
        <v>2212</v>
      </c>
    </row>
    <row r="6130" spans="1:9" x14ac:dyDescent="0.25">
      <c r="A6130">
        <v>20140130</v>
      </c>
      <c r="B6130" t="str">
        <f>"113979"</f>
        <v>113979</v>
      </c>
      <c r="C6130" t="str">
        <f>"74338"</f>
        <v>74338</v>
      </c>
      <c r="D6130" t="s">
        <v>2773</v>
      </c>
      <c r="E6130">
        <v>64.510000000000005</v>
      </c>
      <c r="F6130">
        <v>20140123</v>
      </c>
      <c r="G6130" t="s">
        <v>39</v>
      </c>
      <c r="H6130" t="s">
        <v>354</v>
      </c>
      <c r="I6130" t="s">
        <v>38</v>
      </c>
    </row>
    <row r="6131" spans="1:9" x14ac:dyDescent="0.25">
      <c r="A6131">
        <v>20140130</v>
      </c>
      <c r="B6131" t="str">
        <f>"113980"</f>
        <v>113980</v>
      </c>
      <c r="C6131" t="str">
        <f>"87616"</f>
        <v>87616</v>
      </c>
      <c r="D6131" t="s">
        <v>711</v>
      </c>
      <c r="E6131">
        <v>124</v>
      </c>
      <c r="F6131">
        <v>20140128</v>
      </c>
      <c r="G6131" t="s">
        <v>1052</v>
      </c>
      <c r="H6131" t="s">
        <v>2418</v>
      </c>
      <c r="I6131" t="s">
        <v>25</v>
      </c>
    </row>
    <row r="6132" spans="1:9" x14ac:dyDescent="0.25">
      <c r="A6132">
        <v>20140130</v>
      </c>
      <c r="B6132" t="str">
        <f>"113981"</f>
        <v>113981</v>
      </c>
      <c r="C6132" t="str">
        <f>"84819"</f>
        <v>84819</v>
      </c>
      <c r="D6132" t="s">
        <v>2899</v>
      </c>
      <c r="E6132">
        <v>235</v>
      </c>
      <c r="F6132">
        <v>20140129</v>
      </c>
      <c r="G6132" t="s">
        <v>789</v>
      </c>
      <c r="H6132" t="s">
        <v>1207</v>
      </c>
      <c r="I6132" t="s">
        <v>61</v>
      </c>
    </row>
    <row r="6133" spans="1:9" x14ac:dyDescent="0.25">
      <c r="A6133">
        <v>20140130</v>
      </c>
      <c r="B6133" t="str">
        <f>"113982"</f>
        <v>113982</v>
      </c>
      <c r="C6133" t="str">
        <f>"82068"</f>
        <v>82068</v>
      </c>
      <c r="D6133" t="s">
        <v>3197</v>
      </c>
      <c r="E6133">
        <v>604.24</v>
      </c>
      <c r="F6133">
        <v>20140129</v>
      </c>
      <c r="G6133" t="s">
        <v>1605</v>
      </c>
      <c r="H6133" t="s">
        <v>3198</v>
      </c>
      <c r="I6133" t="s">
        <v>21</v>
      </c>
    </row>
    <row r="6134" spans="1:9" x14ac:dyDescent="0.25">
      <c r="A6134">
        <v>20140130</v>
      </c>
      <c r="B6134" t="str">
        <f>"113983"</f>
        <v>113983</v>
      </c>
      <c r="C6134" t="str">
        <f>"77705"</f>
        <v>77705</v>
      </c>
      <c r="D6134" t="s">
        <v>2312</v>
      </c>
      <c r="E6134">
        <v>798.4</v>
      </c>
      <c r="F6134">
        <v>20140129</v>
      </c>
      <c r="G6134" t="s">
        <v>1271</v>
      </c>
      <c r="H6134" t="s">
        <v>525</v>
      </c>
      <c r="I6134" t="s">
        <v>21</v>
      </c>
    </row>
    <row r="6135" spans="1:9" x14ac:dyDescent="0.25">
      <c r="A6135">
        <v>20140130</v>
      </c>
      <c r="B6135" t="str">
        <f>"113984"</f>
        <v>113984</v>
      </c>
      <c r="C6135" t="str">
        <f>"87366"</f>
        <v>87366</v>
      </c>
      <c r="D6135" t="s">
        <v>3199</v>
      </c>
      <c r="E6135">
        <v>64.900000000000006</v>
      </c>
      <c r="F6135">
        <v>20140129</v>
      </c>
      <c r="G6135" t="s">
        <v>932</v>
      </c>
      <c r="H6135" t="s">
        <v>3200</v>
      </c>
      <c r="I6135" t="s">
        <v>77</v>
      </c>
    </row>
    <row r="6136" spans="1:9" x14ac:dyDescent="0.25">
      <c r="A6136">
        <v>20140130</v>
      </c>
      <c r="B6136" t="str">
        <f>"113985"</f>
        <v>113985</v>
      </c>
      <c r="C6136" t="str">
        <f>"87152"</f>
        <v>87152</v>
      </c>
      <c r="D6136" t="s">
        <v>2316</v>
      </c>
      <c r="E6136" s="1">
        <v>1190</v>
      </c>
      <c r="F6136">
        <v>20140123</v>
      </c>
      <c r="G6136" t="s">
        <v>1193</v>
      </c>
      <c r="H6136" t="s">
        <v>414</v>
      </c>
      <c r="I6136" t="s">
        <v>25</v>
      </c>
    </row>
    <row r="6137" spans="1:9" x14ac:dyDescent="0.25">
      <c r="A6137">
        <v>20140130</v>
      </c>
      <c r="B6137" t="str">
        <f t="shared" ref="B6137:B6149" si="393">"113986"</f>
        <v>113986</v>
      </c>
      <c r="C6137" t="str">
        <f t="shared" ref="C6137:C6149" si="394">"80825"</f>
        <v>80825</v>
      </c>
      <c r="D6137" t="s">
        <v>747</v>
      </c>
      <c r="E6137">
        <v>641.76</v>
      </c>
      <c r="F6137">
        <v>20140128</v>
      </c>
      <c r="G6137" t="s">
        <v>748</v>
      </c>
      <c r="H6137" t="s">
        <v>749</v>
      </c>
      <c r="I6137" t="s">
        <v>21</v>
      </c>
    </row>
    <row r="6138" spans="1:9" x14ac:dyDescent="0.25">
      <c r="A6138">
        <v>20140130</v>
      </c>
      <c r="B6138" t="str">
        <f t="shared" si="393"/>
        <v>113986</v>
      </c>
      <c r="C6138" t="str">
        <f t="shared" si="394"/>
        <v>80825</v>
      </c>
      <c r="D6138" t="s">
        <v>747</v>
      </c>
      <c r="E6138">
        <v>320.88</v>
      </c>
      <c r="F6138">
        <v>20140128</v>
      </c>
      <c r="G6138" t="s">
        <v>750</v>
      </c>
      <c r="H6138" t="s">
        <v>749</v>
      </c>
      <c r="I6138" t="s">
        <v>21</v>
      </c>
    </row>
    <row r="6139" spans="1:9" x14ac:dyDescent="0.25">
      <c r="A6139">
        <v>20140130</v>
      </c>
      <c r="B6139" t="str">
        <f t="shared" si="393"/>
        <v>113986</v>
      </c>
      <c r="C6139" t="str">
        <f t="shared" si="394"/>
        <v>80825</v>
      </c>
      <c r="D6139" t="s">
        <v>747</v>
      </c>
      <c r="E6139">
        <v>320.88</v>
      </c>
      <c r="F6139">
        <v>20140128</v>
      </c>
      <c r="G6139" t="s">
        <v>752</v>
      </c>
      <c r="H6139" t="s">
        <v>749</v>
      </c>
      <c r="I6139" t="s">
        <v>21</v>
      </c>
    </row>
    <row r="6140" spans="1:9" x14ac:dyDescent="0.25">
      <c r="A6140">
        <v>20140130</v>
      </c>
      <c r="B6140" t="str">
        <f t="shared" si="393"/>
        <v>113986</v>
      </c>
      <c r="C6140" t="str">
        <f t="shared" si="394"/>
        <v>80825</v>
      </c>
      <c r="D6140" t="s">
        <v>747</v>
      </c>
      <c r="E6140">
        <v>320.88</v>
      </c>
      <c r="F6140">
        <v>20140128</v>
      </c>
      <c r="G6140" t="s">
        <v>753</v>
      </c>
      <c r="H6140" t="s">
        <v>749</v>
      </c>
      <c r="I6140" t="s">
        <v>21</v>
      </c>
    </row>
    <row r="6141" spans="1:9" x14ac:dyDescent="0.25">
      <c r="A6141">
        <v>20140130</v>
      </c>
      <c r="B6141" t="str">
        <f t="shared" si="393"/>
        <v>113986</v>
      </c>
      <c r="C6141" t="str">
        <f t="shared" si="394"/>
        <v>80825</v>
      </c>
      <c r="D6141" t="s">
        <v>747</v>
      </c>
      <c r="E6141">
        <v>320.88</v>
      </c>
      <c r="F6141">
        <v>20140128</v>
      </c>
      <c r="G6141" t="s">
        <v>754</v>
      </c>
      <c r="H6141" t="s">
        <v>749</v>
      </c>
      <c r="I6141" t="s">
        <v>21</v>
      </c>
    </row>
    <row r="6142" spans="1:9" x14ac:dyDescent="0.25">
      <c r="A6142">
        <v>20140130</v>
      </c>
      <c r="B6142" t="str">
        <f t="shared" si="393"/>
        <v>113986</v>
      </c>
      <c r="C6142" t="str">
        <f t="shared" si="394"/>
        <v>80825</v>
      </c>
      <c r="D6142" t="s">
        <v>747</v>
      </c>
      <c r="E6142">
        <v>320.88</v>
      </c>
      <c r="F6142">
        <v>20140128</v>
      </c>
      <c r="G6142" t="s">
        <v>990</v>
      </c>
      <c r="H6142" t="s">
        <v>749</v>
      </c>
      <c r="I6142" t="s">
        <v>21</v>
      </c>
    </row>
    <row r="6143" spans="1:9" x14ac:dyDescent="0.25">
      <c r="A6143">
        <v>20140130</v>
      </c>
      <c r="B6143" t="str">
        <f t="shared" si="393"/>
        <v>113986</v>
      </c>
      <c r="C6143" t="str">
        <f t="shared" si="394"/>
        <v>80825</v>
      </c>
      <c r="D6143" t="s">
        <v>747</v>
      </c>
      <c r="E6143">
        <v>320.88</v>
      </c>
      <c r="F6143">
        <v>20140128</v>
      </c>
      <c r="G6143" t="s">
        <v>755</v>
      </c>
      <c r="H6143" t="s">
        <v>749</v>
      </c>
      <c r="I6143" t="s">
        <v>21</v>
      </c>
    </row>
    <row r="6144" spans="1:9" x14ac:dyDescent="0.25">
      <c r="A6144">
        <v>20140130</v>
      </c>
      <c r="B6144" t="str">
        <f t="shared" si="393"/>
        <v>113986</v>
      </c>
      <c r="C6144" t="str">
        <f t="shared" si="394"/>
        <v>80825</v>
      </c>
      <c r="D6144" t="s">
        <v>747</v>
      </c>
      <c r="E6144">
        <v>320.88</v>
      </c>
      <c r="F6144">
        <v>20140128</v>
      </c>
      <c r="G6144" t="s">
        <v>756</v>
      </c>
      <c r="H6144" t="s">
        <v>749</v>
      </c>
      <c r="I6144" t="s">
        <v>21</v>
      </c>
    </row>
    <row r="6145" spans="1:9" x14ac:dyDescent="0.25">
      <c r="A6145">
        <v>20140130</v>
      </c>
      <c r="B6145" t="str">
        <f t="shared" si="393"/>
        <v>113986</v>
      </c>
      <c r="C6145" t="str">
        <f t="shared" si="394"/>
        <v>80825</v>
      </c>
      <c r="D6145" t="s">
        <v>747</v>
      </c>
      <c r="E6145">
        <v>106.95</v>
      </c>
      <c r="F6145">
        <v>20140128</v>
      </c>
      <c r="G6145" t="s">
        <v>757</v>
      </c>
      <c r="H6145" t="s">
        <v>749</v>
      </c>
      <c r="I6145" t="s">
        <v>21</v>
      </c>
    </row>
    <row r="6146" spans="1:9" x14ac:dyDescent="0.25">
      <c r="A6146">
        <v>20140130</v>
      </c>
      <c r="B6146" t="str">
        <f t="shared" si="393"/>
        <v>113986</v>
      </c>
      <c r="C6146" t="str">
        <f t="shared" si="394"/>
        <v>80825</v>
      </c>
      <c r="D6146" t="s">
        <v>747</v>
      </c>
      <c r="E6146">
        <v>424.58</v>
      </c>
      <c r="F6146">
        <v>20140128</v>
      </c>
      <c r="G6146" t="s">
        <v>1175</v>
      </c>
      <c r="H6146" t="s">
        <v>749</v>
      </c>
      <c r="I6146" t="s">
        <v>21</v>
      </c>
    </row>
    <row r="6147" spans="1:9" x14ac:dyDescent="0.25">
      <c r="A6147">
        <v>20140130</v>
      </c>
      <c r="B6147" t="str">
        <f t="shared" si="393"/>
        <v>113986</v>
      </c>
      <c r="C6147" t="str">
        <f t="shared" si="394"/>
        <v>80825</v>
      </c>
      <c r="D6147" t="s">
        <v>747</v>
      </c>
      <c r="E6147">
        <v>106.95</v>
      </c>
      <c r="F6147">
        <v>20140128</v>
      </c>
      <c r="G6147" t="s">
        <v>544</v>
      </c>
      <c r="H6147" t="s">
        <v>749</v>
      </c>
      <c r="I6147" t="s">
        <v>21</v>
      </c>
    </row>
    <row r="6148" spans="1:9" x14ac:dyDescent="0.25">
      <c r="A6148">
        <v>20140130</v>
      </c>
      <c r="B6148" t="str">
        <f t="shared" si="393"/>
        <v>113986</v>
      </c>
      <c r="C6148" t="str">
        <f t="shared" si="394"/>
        <v>80825</v>
      </c>
      <c r="D6148" t="s">
        <v>747</v>
      </c>
      <c r="E6148">
        <v>106.95</v>
      </c>
      <c r="F6148">
        <v>20140128</v>
      </c>
      <c r="G6148" t="s">
        <v>545</v>
      </c>
      <c r="H6148" t="s">
        <v>749</v>
      </c>
      <c r="I6148" t="s">
        <v>21</v>
      </c>
    </row>
    <row r="6149" spans="1:9" x14ac:dyDescent="0.25">
      <c r="A6149">
        <v>20140130</v>
      </c>
      <c r="B6149" t="str">
        <f t="shared" si="393"/>
        <v>113986</v>
      </c>
      <c r="C6149" t="str">
        <f t="shared" si="394"/>
        <v>80825</v>
      </c>
      <c r="D6149" t="s">
        <v>747</v>
      </c>
      <c r="E6149">
        <v>345.9</v>
      </c>
      <c r="F6149">
        <v>20140128</v>
      </c>
      <c r="G6149" t="s">
        <v>1176</v>
      </c>
      <c r="H6149" t="s">
        <v>749</v>
      </c>
      <c r="I6149" t="s">
        <v>21</v>
      </c>
    </row>
    <row r="6150" spans="1:9" x14ac:dyDescent="0.25">
      <c r="A6150">
        <v>20140131</v>
      </c>
      <c r="B6150" t="str">
        <f>"113987"</f>
        <v>113987</v>
      </c>
      <c r="C6150" t="str">
        <f>"87563"</f>
        <v>87563</v>
      </c>
      <c r="D6150" t="s">
        <v>2427</v>
      </c>
      <c r="E6150" s="1">
        <v>1722.74</v>
      </c>
      <c r="F6150">
        <v>20140130</v>
      </c>
      <c r="G6150" t="s">
        <v>3201</v>
      </c>
      <c r="H6150" t="s">
        <v>3202</v>
      </c>
      <c r="I6150" t="s">
        <v>61</v>
      </c>
    </row>
    <row r="6151" spans="1:9" x14ac:dyDescent="0.25">
      <c r="A6151">
        <v>20140131</v>
      </c>
      <c r="B6151" t="str">
        <f>"113987"</f>
        <v>113987</v>
      </c>
      <c r="C6151" t="str">
        <f>"87563"</f>
        <v>87563</v>
      </c>
      <c r="D6151" t="s">
        <v>2427</v>
      </c>
      <c r="E6151" s="1">
        <v>-1722.74</v>
      </c>
      <c r="F6151">
        <v>20140317</v>
      </c>
      <c r="G6151" t="s">
        <v>3201</v>
      </c>
      <c r="H6151" t="s">
        <v>3203</v>
      </c>
      <c r="I6151" t="s">
        <v>61</v>
      </c>
    </row>
    <row r="6152" spans="1:9" x14ac:dyDescent="0.25">
      <c r="A6152">
        <v>20140131</v>
      </c>
      <c r="B6152" t="str">
        <f>"113988"</f>
        <v>113988</v>
      </c>
      <c r="C6152" t="str">
        <f>"87676"</f>
        <v>87676</v>
      </c>
      <c r="D6152" t="s">
        <v>3204</v>
      </c>
      <c r="E6152" s="1">
        <v>6112.95</v>
      </c>
      <c r="F6152">
        <v>20140130</v>
      </c>
      <c r="G6152" t="s">
        <v>3205</v>
      </c>
      <c r="H6152" t="s">
        <v>3206</v>
      </c>
      <c r="I6152" t="s">
        <v>21</v>
      </c>
    </row>
    <row r="6153" spans="1:9" x14ac:dyDescent="0.25">
      <c r="A6153">
        <v>20140131</v>
      </c>
      <c r="B6153" t="str">
        <f>"113989"</f>
        <v>113989</v>
      </c>
      <c r="C6153" t="str">
        <f>"18025"</f>
        <v>18025</v>
      </c>
      <c r="D6153" t="s">
        <v>514</v>
      </c>
      <c r="E6153">
        <v>100</v>
      </c>
      <c r="F6153">
        <v>20140130</v>
      </c>
      <c r="G6153" t="s">
        <v>356</v>
      </c>
      <c r="H6153" t="s">
        <v>357</v>
      </c>
      <c r="I6153" t="s">
        <v>61</v>
      </c>
    </row>
    <row r="6154" spans="1:9" x14ac:dyDescent="0.25">
      <c r="A6154">
        <v>20140131</v>
      </c>
      <c r="B6154" t="str">
        <f>"113989"</f>
        <v>113989</v>
      </c>
      <c r="C6154" t="str">
        <f>"18025"</f>
        <v>18025</v>
      </c>
      <c r="D6154" t="s">
        <v>514</v>
      </c>
      <c r="E6154">
        <v>95.98</v>
      </c>
      <c r="F6154">
        <v>20140130</v>
      </c>
      <c r="G6154" t="s">
        <v>356</v>
      </c>
      <c r="H6154" t="s">
        <v>357</v>
      </c>
      <c r="I6154" t="s">
        <v>61</v>
      </c>
    </row>
    <row r="6155" spans="1:9" x14ac:dyDescent="0.25">
      <c r="A6155">
        <v>20140131</v>
      </c>
      <c r="B6155" t="str">
        <f>"113990"</f>
        <v>113990</v>
      </c>
      <c r="C6155" t="str">
        <f>"18025"</f>
        <v>18025</v>
      </c>
      <c r="D6155" t="s">
        <v>514</v>
      </c>
      <c r="E6155">
        <v>221.58</v>
      </c>
      <c r="F6155">
        <v>20140130</v>
      </c>
      <c r="G6155" t="s">
        <v>3131</v>
      </c>
      <c r="H6155" t="s">
        <v>357</v>
      </c>
      <c r="I6155" t="s">
        <v>21</v>
      </c>
    </row>
    <row r="6156" spans="1:9" x14ac:dyDescent="0.25">
      <c r="A6156">
        <v>20140131</v>
      </c>
      <c r="B6156" t="str">
        <f>"113991"</f>
        <v>113991</v>
      </c>
      <c r="C6156" t="str">
        <f>"81026"</f>
        <v>81026</v>
      </c>
      <c r="D6156" t="s">
        <v>2923</v>
      </c>
      <c r="E6156">
        <v>445.12</v>
      </c>
      <c r="F6156">
        <v>20140130</v>
      </c>
      <c r="G6156" t="s">
        <v>1145</v>
      </c>
      <c r="H6156" t="s">
        <v>921</v>
      </c>
      <c r="I6156" t="s">
        <v>73</v>
      </c>
    </row>
    <row r="6157" spans="1:9" x14ac:dyDescent="0.25">
      <c r="A6157">
        <v>20140131</v>
      </c>
      <c r="B6157" t="str">
        <f>"113992"</f>
        <v>113992</v>
      </c>
      <c r="C6157" t="str">
        <f>"40371"</f>
        <v>40371</v>
      </c>
      <c r="D6157" t="s">
        <v>3207</v>
      </c>
      <c r="E6157">
        <v>93.02</v>
      </c>
      <c r="F6157">
        <v>20140130</v>
      </c>
      <c r="G6157" t="s">
        <v>1126</v>
      </c>
      <c r="H6157" t="s">
        <v>3208</v>
      </c>
      <c r="I6157" t="s">
        <v>21</v>
      </c>
    </row>
    <row r="6158" spans="1:9" x14ac:dyDescent="0.25">
      <c r="A6158">
        <v>20140131</v>
      </c>
      <c r="B6158" t="str">
        <f>"113993"</f>
        <v>113993</v>
      </c>
      <c r="C6158" t="str">
        <f>"82625"</f>
        <v>82625</v>
      </c>
      <c r="D6158" t="s">
        <v>649</v>
      </c>
      <c r="E6158" s="1">
        <v>8805.75</v>
      </c>
      <c r="F6158">
        <v>20140130</v>
      </c>
      <c r="G6158" t="s">
        <v>3209</v>
      </c>
      <c r="H6158" t="s">
        <v>3210</v>
      </c>
      <c r="I6158" t="s">
        <v>21</v>
      </c>
    </row>
    <row r="6159" spans="1:9" x14ac:dyDescent="0.25">
      <c r="A6159">
        <v>20140131</v>
      </c>
      <c r="B6159" t="str">
        <f>"113994"</f>
        <v>113994</v>
      </c>
      <c r="C6159" t="str">
        <f>"00639"</f>
        <v>00639</v>
      </c>
      <c r="D6159" t="s">
        <v>3211</v>
      </c>
      <c r="E6159">
        <v>255</v>
      </c>
      <c r="F6159">
        <v>20140130</v>
      </c>
      <c r="G6159" t="s">
        <v>1981</v>
      </c>
      <c r="H6159" t="s">
        <v>3212</v>
      </c>
      <c r="I6159" t="s">
        <v>38</v>
      </c>
    </row>
    <row r="6160" spans="1:9" x14ac:dyDescent="0.25">
      <c r="A6160">
        <v>20140131</v>
      </c>
      <c r="B6160" t="str">
        <f>"113995"</f>
        <v>113995</v>
      </c>
      <c r="C6160" t="str">
        <f>"80825"</f>
        <v>80825</v>
      </c>
      <c r="D6160" t="s">
        <v>747</v>
      </c>
      <c r="E6160">
        <v>276.89999999999998</v>
      </c>
      <c r="F6160">
        <v>20140130</v>
      </c>
      <c r="G6160" t="s">
        <v>748</v>
      </c>
      <c r="H6160" t="s">
        <v>749</v>
      </c>
      <c r="I6160" t="s">
        <v>21</v>
      </c>
    </row>
    <row r="6161" spans="1:9" x14ac:dyDescent="0.25">
      <c r="A6161">
        <v>20140131</v>
      </c>
      <c r="B6161" t="str">
        <f>"113996"</f>
        <v>113996</v>
      </c>
      <c r="C6161" t="str">
        <f>"82984"</f>
        <v>82984</v>
      </c>
      <c r="D6161" t="s">
        <v>1710</v>
      </c>
      <c r="E6161">
        <v>170</v>
      </c>
      <c r="F6161">
        <v>20140131</v>
      </c>
      <c r="G6161" t="s">
        <v>356</v>
      </c>
      <c r="H6161" t="s">
        <v>357</v>
      </c>
      <c r="I6161" t="s">
        <v>61</v>
      </c>
    </row>
    <row r="6162" spans="1:9" x14ac:dyDescent="0.25">
      <c r="A6162">
        <v>20140131</v>
      </c>
      <c r="B6162" t="str">
        <f>"113997"</f>
        <v>113997</v>
      </c>
      <c r="C6162" t="str">
        <f>"87228"</f>
        <v>87228</v>
      </c>
      <c r="D6162" t="s">
        <v>792</v>
      </c>
      <c r="E6162">
        <v>10</v>
      </c>
      <c r="F6162">
        <v>20140131</v>
      </c>
      <c r="G6162" t="s">
        <v>3213</v>
      </c>
      <c r="H6162" t="s">
        <v>357</v>
      </c>
      <c r="I6162" t="s">
        <v>21</v>
      </c>
    </row>
    <row r="6163" spans="1:9" x14ac:dyDescent="0.25">
      <c r="A6163">
        <v>20140131</v>
      </c>
      <c r="B6163" t="str">
        <f>"113997"</f>
        <v>113997</v>
      </c>
      <c r="C6163" t="str">
        <f>"87228"</f>
        <v>87228</v>
      </c>
      <c r="D6163" t="s">
        <v>792</v>
      </c>
      <c r="E6163">
        <v>20</v>
      </c>
      <c r="F6163">
        <v>20140131</v>
      </c>
      <c r="G6163" t="s">
        <v>3213</v>
      </c>
      <c r="H6163" t="s">
        <v>357</v>
      </c>
      <c r="I6163" t="s">
        <v>21</v>
      </c>
    </row>
    <row r="6164" spans="1:9" x14ac:dyDescent="0.25">
      <c r="A6164">
        <v>20140131</v>
      </c>
      <c r="B6164" t="str">
        <f>"113997"</f>
        <v>113997</v>
      </c>
      <c r="C6164" t="str">
        <f>"87228"</f>
        <v>87228</v>
      </c>
      <c r="D6164" t="s">
        <v>792</v>
      </c>
      <c r="E6164">
        <v>40</v>
      </c>
      <c r="F6164">
        <v>20140131</v>
      </c>
      <c r="G6164" t="s">
        <v>2009</v>
      </c>
      <c r="H6164" t="s">
        <v>357</v>
      </c>
      <c r="I6164" t="s">
        <v>21</v>
      </c>
    </row>
    <row r="6165" spans="1:9" x14ac:dyDescent="0.25">
      <c r="A6165">
        <v>20140131</v>
      </c>
      <c r="B6165" t="str">
        <f>"113997"</f>
        <v>113997</v>
      </c>
      <c r="C6165" t="str">
        <f>"87228"</f>
        <v>87228</v>
      </c>
      <c r="D6165" t="s">
        <v>792</v>
      </c>
      <c r="E6165">
        <v>50</v>
      </c>
      <c r="F6165">
        <v>20140131</v>
      </c>
      <c r="G6165" t="s">
        <v>2009</v>
      </c>
      <c r="H6165" t="s">
        <v>357</v>
      </c>
      <c r="I6165" t="s">
        <v>21</v>
      </c>
    </row>
    <row r="6166" spans="1:9" x14ac:dyDescent="0.25">
      <c r="A6166">
        <v>20140131</v>
      </c>
      <c r="B6166" t="str">
        <f>"113997"</f>
        <v>113997</v>
      </c>
      <c r="C6166" t="str">
        <f>"87228"</f>
        <v>87228</v>
      </c>
      <c r="D6166" t="s">
        <v>792</v>
      </c>
      <c r="E6166">
        <v>60</v>
      </c>
      <c r="F6166">
        <v>20140131</v>
      </c>
      <c r="G6166" t="s">
        <v>965</v>
      </c>
      <c r="H6166" t="s">
        <v>361</v>
      </c>
      <c r="I6166" t="s">
        <v>21</v>
      </c>
    </row>
    <row r="6167" spans="1:9" x14ac:dyDescent="0.25">
      <c r="A6167">
        <v>20140131</v>
      </c>
      <c r="B6167" t="str">
        <f>"113998"</f>
        <v>113998</v>
      </c>
      <c r="C6167" t="str">
        <f>"82957"</f>
        <v>82957</v>
      </c>
      <c r="D6167" t="s">
        <v>1927</v>
      </c>
      <c r="E6167" s="1">
        <v>1984.5</v>
      </c>
      <c r="F6167">
        <v>20140131</v>
      </c>
      <c r="G6167" t="s">
        <v>3214</v>
      </c>
      <c r="H6167" t="s">
        <v>3215</v>
      </c>
      <c r="I6167" t="s">
        <v>61</v>
      </c>
    </row>
    <row r="6168" spans="1:9" x14ac:dyDescent="0.25">
      <c r="A6168">
        <v>20140131</v>
      </c>
      <c r="B6168" t="str">
        <f>"113998"</f>
        <v>113998</v>
      </c>
      <c r="C6168" t="str">
        <f>"82957"</f>
        <v>82957</v>
      </c>
      <c r="D6168" t="s">
        <v>1927</v>
      </c>
      <c r="E6168">
        <v>94.5</v>
      </c>
      <c r="F6168">
        <v>20140131</v>
      </c>
      <c r="G6168" t="s">
        <v>971</v>
      </c>
      <c r="H6168" t="s">
        <v>3216</v>
      </c>
      <c r="I6168" t="s">
        <v>21</v>
      </c>
    </row>
    <row r="6169" spans="1:9" x14ac:dyDescent="0.25">
      <c r="A6169">
        <v>20140131</v>
      </c>
      <c r="B6169" t="str">
        <f>"113998"</f>
        <v>113998</v>
      </c>
      <c r="C6169" t="str">
        <f>"82957"</f>
        <v>82957</v>
      </c>
      <c r="D6169" t="s">
        <v>1927</v>
      </c>
      <c r="E6169">
        <v>708.75</v>
      </c>
      <c r="F6169">
        <v>20140131</v>
      </c>
      <c r="G6169" t="s">
        <v>866</v>
      </c>
      <c r="H6169" t="s">
        <v>3217</v>
      </c>
      <c r="I6169" t="s">
        <v>25</v>
      </c>
    </row>
    <row r="6170" spans="1:9" x14ac:dyDescent="0.25">
      <c r="A6170">
        <v>20140206</v>
      </c>
      <c r="B6170" t="str">
        <f>"113999"</f>
        <v>113999</v>
      </c>
      <c r="C6170" t="str">
        <f>"86892"</f>
        <v>86892</v>
      </c>
      <c r="D6170" t="s">
        <v>3218</v>
      </c>
      <c r="E6170">
        <v>157.19999999999999</v>
      </c>
      <c r="F6170">
        <v>20140204</v>
      </c>
      <c r="G6170" t="s">
        <v>41</v>
      </c>
      <c r="H6170" t="s">
        <v>3219</v>
      </c>
      <c r="I6170" t="s">
        <v>38</v>
      </c>
    </row>
    <row r="6171" spans="1:9" x14ac:dyDescent="0.25">
      <c r="A6171">
        <v>20140206</v>
      </c>
      <c r="B6171" t="str">
        <f>"114000"</f>
        <v>114000</v>
      </c>
      <c r="C6171" t="str">
        <f>"82906"</f>
        <v>82906</v>
      </c>
      <c r="D6171" t="s">
        <v>3220</v>
      </c>
      <c r="E6171" s="1">
        <v>7975</v>
      </c>
      <c r="F6171">
        <v>20140205</v>
      </c>
      <c r="G6171" t="s">
        <v>1145</v>
      </c>
      <c r="H6171" t="s">
        <v>2468</v>
      </c>
      <c r="I6171" t="s">
        <v>73</v>
      </c>
    </row>
    <row r="6172" spans="1:9" x14ac:dyDescent="0.25">
      <c r="A6172">
        <v>20140206</v>
      </c>
      <c r="B6172" t="str">
        <f t="shared" ref="B6172:B6178" si="395">"114001"</f>
        <v>114001</v>
      </c>
      <c r="C6172" t="str">
        <f t="shared" ref="C6172:C6178" si="396">"00255"</f>
        <v>00255</v>
      </c>
      <c r="D6172" t="s">
        <v>489</v>
      </c>
      <c r="E6172">
        <v>309.54000000000002</v>
      </c>
      <c r="F6172">
        <v>20140204</v>
      </c>
      <c r="G6172" t="s">
        <v>490</v>
      </c>
      <c r="H6172" t="s">
        <v>488</v>
      </c>
      <c r="I6172" t="s">
        <v>21</v>
      </c>
    </row>
    <row r="6173" spans="1:9" x14ac:dyDescent="0.25">
      <c r="A6173">
        <v>20140206</v>
      </c>
      <c r="B6173" t="str">
        <f t="shared" si="395"/>
        <v>114001</v>
      </c>
      <c r="C6173" t="str">
        <f t="shared" si="396"/>
        <v>00255</v>
      </c>
      <c r="D6173" t="s">
        <v>489</v>
      </c>
      <c r="E6173" s="1">
        <v>2874.67</v>
      </c>
      <c r="F6173">
        <v>20140204</v>
      </c>
      <c r="G6173" t="s">
        <v>490</v>
      </c>
      <c r="H6173" t="s">
        <v>488</v>
      </c>
      <c r="I6173" t="s">
        <v>21</v>
      </c>
    </row>
    <row r="6174" spans="1:9" x14ac:dyDescent="0.25">
      <c r="A6174">
        <v>20140206</v>
      </c>
      <c r="B6174" t="str">
        <f t="shared" si="395"/>
        <v>114001</v>
      </c>
      <c r="C6174" t="str">
        <f t="shared" si="396"/>
        <v>00255</v>
      </c>
      <c r="D6174" t="s">
        <v>489</v>
      </c>
      <c r="E6174">
        <v>38.380000000000003</v>
      </c>
      <c r="F6174">
        <v>20140204</v>
      </c>
      <c r="G6174" t="s">
        <v>490</v>
      </c>
      <c r="H6174" t="s">
        <v>488</v>
      </c>
      <c r="I6174" t="s">
        <v>21</v>
      </c>
    </row>
    <row r="6175" spans="1:9" x14ac:dyDescent="0.25">
      <c r="A6175">
        <v>20140206</v>
      </c>
      <c r="B6175" t="str">
        <f t="shared" si="395"/>
        <v>114001</v>
      </c>
      <c r="C6175" t="str">
        <f t="shared" si="396"/>
        <v>00255</v>
      </c>
      <c r="D6175" t="s">
        <v>489</v>
      </c>
      <c r="E6175" s="1">
        <v>1681.34</v>
      </c>
      <c r="F6175">
        <v>20140204</v>
      </c>
      <c r="G6175" t="s">
        <v>1184</v>
      </c>
      <c r="H6175" t="s">
        <v>488</v>
      </c>
      <c r="I6175" t="s">
        <v>21</v>
      </c>
    </row>
    <row r="6176" spans="1:9" x14ac:dyDescent="0.25">
      <c r="A6176">
        <v>20140206</v>
      </c>
      <c r="B6176" t="str">
        <f t="shared" si="395"/>
        <v>114001</v>
      </c>
      <c r="C6176" t="str">
        <f t="shared" si="396"/>
        <v>00255</v>
      </c>
      <c r="D6176" t="s">
        <v>489</v>
      </c>
      <c r="E6176" s="1">
        <v>1435.51</v>
      </c>
      <c r="F6176">
        <v>20140204</v>
      </c>
      <c r="G6176" t="s">
        <v>492</v>
      </c>
      <c r="H6176" t="s">
        <v>488</v>
      </c>
      <c r="I6176" t="s">
        <v>21</v>
      </c>
    </row>
    <row r="6177" spans="1:9" x14ac:dyDescent="0.25">
      <c r="A6177">
        <v>20140206</v>
      </c>
      <c r="B6177" t="str">
        <f t="shared" si="395"/>
        <v>114001</v>
      </c>
      <c r="C6177" t="str">
        <f t="shared" si="396"/>
        <v>00255</v>
      </c>
      <c r="D6177" t="s">
        <v>489</v>
      </c>
      <c r="E6177">
        <v>140.13999999999999</v>
      </c>
      <c r="F6177">
        <v>20140204</v>
      </c>
      <c r="G6177" t="s">
        <v>492</v>
      </c>
      <c r="H6177" t="s">
        <v>488</v>
      </c>
      <c r="I6177" t="s">
        <v>21</v>
      </c>
    </row>
    <row r="6178" spans="1:9" x14ac:dyDescent="0.25">
      <c r="A6178">
        <v>20140206</v>
      </c>
      <c r="B6178" t="str">
        <f t="shared" si="395"/>
        <v>114001</v>
      </c>
      <c r="C6178" t="str">
        <f t="shared" si="396"/>
        <v>00255</v>
      </c>
      <c r="D6178" t="s">
        <v>489</v>
      </c>
      <c r="E6178">
        <v>819.23</v>
      </c>
      <c r="F6178">
        <v>20140204</v>
      </c>
      <c r="G6178" t="s">
        <v>1352</v>
      </c>
      <c r="H6178" t="s">
        <v>488</v>
      </c>
      <c r="I6178" t="s">
        <v>21</v>
      </c>
    </row>
    <row r="6179" spans="1:9" x14ac:dyDescent="0.25">
      <c r="A6179">
        <v>20140206</v>
      </c>
      <c r="B6179" t="str">
        <f>"114002"</f>
        <v>114002</v>
      </c>
      <c r="C6179" t="str">
        <f>"83627"</f>
        <v>83627</v>
      </c>
      <c r="D6179" t="s">
        <v>1556</v>
      </c>
      <c r="E6179">
        <v>75</v>
      </c>
      <c r="F6179">
        <v>20140204</v>
      </c>
      <c r="G6179" t="s">
        <v>356</v>
      </c>
      <c r="H6179" t="s">
        <v>357</v>
      </c>
      <c r="I6179" t="s">
        <v>61</v>
      </c>
    </row>
    <row r="6180" spans="1:9" x14ac:dyDescent="0.25">
      <c r="A6180">
        <v>20140206</v>
      </c>
      <c r="B6180" t="str">
        <f>"114003"</f>
        <v>114003</v>
      </c>
      <c r="C6180" t="str">
        <f>"09575"</f>
        <v>09575</v>
      </c>
      <c r="D6180" t="s">
        <v>2109</v>
      </c>
      <c r="E6180">
        <v>522</v>
      </c>
      <c r="F6180">
        <v>20140204</v>
      </c>
      <c r="G6180" t="s">
        <v>603</v>
      </c>
      <c r="H6180" t="s">
        <v>3221</v>
      </c>
      <c r="I6180" t="s">
        <v>25</v>
      </c>
    </row>
    <row r="6181" spans="1:9" x14ac:dyDescent="0.25">
      <c r="A6181">
        <v>20140206</v>
      </c>
      <c r="B6181" t="str">
        <f>"114004"</f>
        <v>114004</v>
      </c>
      <c r="C6181" t="str">
        <f>"00728"</f>
        <v>00728</v>
      </c>
      <c r="D6181" t="s">
        <v>1557</v>
      </c>
      <c r="E6181">
        <v>62.9</v>
      </c>
      <c r="F6181">
        <v>20140205</v>
      </c>
      <c r="G6181" t="s">
        <v>3222</v>
      </c>
      <c r="H6181" t="s">
        <v>3223</v>
      </c>
      <c r="I6181" t="s">
        <v>21</v>
      </c>
    </row>
    <row r="6182" spans="1:9" x14ac:dyDescent="0.25">
      <c r="A6182">
        <v>20140206</v>
      </c>
      <c r="B6182" t="str">
        <f>"114004"</f>
        <v>114004</v>
      </c>
      <c r="C6182" t="str">
        <f>"00728"</f>
        <v>00728</v>
      </c>
      <c r="D6182" t="s">
        <v>1557</v>
      </c>
      <c r="E6182">
        <v>400</v>
      </c>
      <c r="F6182">
        <v>20140205</v>
      </c>
      <c r="G6182" t="s">
        <v>3224</v>
      </c>
      <c r="H6182" t="s">
        <v>3223</v>
      </c>
      <c r="I6182" t="s">
        <v>21</v>
      </c>
    </row>
    <row r="6183" spans="1:9" x14ac:dyDescent="0.25">
      <c r="A6183">
        <v>20140206</v>
      </c>
      <c r="B6183" t="str">
        <f>"114005"</f>
        <v>114005</v>
      </c>
      <c r="C6183" t="str">
        <f>"86177"</f>
        <v>86177</v>
      </c>
      <c r="D6183" t="s">
        <v>3225</v>
      </c>
      <c r="E6183">
        <v>106.8</v>
      </c>
      <c r="F6183">
        <v>20140203</v>
      </c>
      <c r="G6183" t="s">
        <v>156</v>
      </c>
      <c r="H6183" t="s">
        <v>553</v>
      </c>
      <c r="I6183" t="s">
        <v>25</v>
      </c>
    </row>
    <row r="6184" spans="1:9" x14ac:dyDescent="0.25">
      <c r="A6184">
        <v>20140206</v>
      </c>
      <c r="B6184" t="str">
        <f>"114005"</f>
        <v>114005</v>
      </c>
      <c r="C6184" t="str">
        <f>"86177"</f>
        <v>86177</v>
      </c>
      <c r="D6184" t="s">
        <v>3225</v>
      </c>
      <c r="E6184" s="1">
        <v>1451.55</v>
      </c>
      <c r="F6184">
        <v>20140203</v>
      </c>
      <c r="G6184" t="s">
        <v>156</v>
      </c>
      <c r="H6184" t="s">
        <v>553</v>
      </c>
      <c r="I6184" t="s">
        <v>25</v>
      </c>
    </row>
    <row r="6185" spans="1:9" x14ac:dyDescent="0.25">
      <c r="A6185">
        <v>20140206</v>
      </c>
      <c r="B6185" t="str">
        <f>"114006"</f>
        <v>114006</v>
      </c>
      <c r="C6185" t="str">
        <f>"11488"</f>
        <v>11488</v>
      </c>
      <c r="D6185" t="s">
        <v>1561</v>
      </c>
      <c r="E6185">
        <v>75.2</v>
      </c>
      <c r="F6185">
        <v>20140205</v>
      </c>
      <c r="G6185" t="s">
        <v>340</v>
      </c>
      <c r="H6185" t="s">
        <v>614</v>
      </c>
      <c r="I6185" t="s">
        <v>21</v>
      </c>
    </row>
    <row r="6186" spans="1:9" x14ac:dyDescent="0.25">
      <c r="A6186">
        <v>20140206</v>
      </c>
      <c r="B6186" t="str">
        <f>"114007"</f>
        <v>114007</v>
      </c>
      <c r="C6186" t="str">
        <f>"83193"</f>
        <v>83193</v>
      </c>
      <c r="D6186" t="s">
        <v>1008</v>
      </c>
      <c r="E6186">
        <v>270</v>
      </c>
      <c r="F6186">
        <v>20140203</v>
      </c>
      <c r="G6186" t="s">
        <v>637</v>
      </c>
      <c r="H6186" t="s">
        <v>357</v>
      </c>
      <c r="I6186" t="s">
        <v>38</v>
      </c>
    </row>
    <row r="6187" spans="1:9" x14ac:dyDescent="0.25">
      <c r="A6187">
        <v>20140206</v>
      </c>
      <c r="B6187" t="str">
        <f>"114008"</f>
        <v>114008</v>
      </c>
      <c r="C6187" t="str">
        <f>"11700"</f>
        <v>11700</v>
      </c>
      <c r="D6187" t="s">
        <v>3226</v>
      </c>
      <c r="E6187">
        <v>138</v>
      </c>
      <c r="F6187">
        <v>20140204</v>
      </c>
      <c r="G6187" t="s">
        <v>1071</v>
      </c>
      <c r="H6187" t="s">
        <v>3227</v>
      </c>
      <c r="I6187" t="s">
        <v>21</v>
      </c>
    </row>
    <row r="6188" spans="1:9" x14ac:dyDescent="0.25">
      <c r="A6188">
        <v>20140206</v>
      </c>
      <c r="B6188" t="str">
        <f>"114009"</f>
        <v>114009</v>
      </c>
      <c r="C6188" t="str">
        <f>"12392"</f>
        <v>12392</v>
      </c>
      <c r="D6188" t="s">
        <v>1196</v>
      </c>
      <c r="E6188">
        <v>26.46</v>
      </c>
      <c r="F6188">
        <v>20140205</v>
      </c>
      <c r="G6188" t="s">
        <v>1960</v>
      </c>
      <c r="H6188" t="s">
        <v>563</v>
      </c>
      <c r="I6188" t="s">
        <v>21</v>
      </c>
    </row>
    <row r="6189" spans="1:9" x14ac:dyDescent="0.25">
      <c r="A6189">
        <v>20140206</v>
      </c>
      <c r="B6189" t="str">
        <f>"114010"</f>
        <v>114010</v>
      </c>
      <c r="C6189" t="str">
        <f>"85796"</f>
        <v>85796</v>
      </c>
      <c r="D6189" t="s">
        <v>796</v>
      </c>
      <c r="E6189">
        <v>170.07</v>
      </c>
      <c r="F6189">
        <v>20140203</v>
      </c>
      <c r="G6189" t="s">
        <v>890</v>
      </c>
      <c r="H6189" t="s">
        <v>365</v>
      </c>
      <c r="I6189" t="s">
        <v>21</v>
      </c>
    </row>
    <row r="6190" spans="1:9" x14ac:dyDescent="0.25">
      <c r="A6190">
        <v>20140206</v>
      </c>
      <c r="B6190" t="str">
        <f t="shared" ref="B6190:B6200" si="397">"114011"</f>
        <v>114011</v>
      </c>
      <c r="C6190" t="str">
        <f t="shared" ref="C6190:C6200" si="398">"18200"</f>
        <v>18200</v>
      </c>
      <c r="D6190" t="s">
        <v>516</v>
      </c>
      <c r="E6190">
        <v>98.52</v>
      </c>
      <c r="F6190">
        <v>20140204</v>
      </c>
      <c r="G6190" t="s">
        <v>453</v>
      </c>
      <c r="H6190" t="s">
        <v>488</v>
      </c>
      <c r="I6190" t="s">
        <v>21</v>
      </c>
    </row>
    <row r="6191" spans="1:9" x14ac:dyDescent="0.25">
      <c r="A6191">
        <v>20140206</v>
      </c>
      <c r="B6191" t="str">
        <f t="shared" si="397"/>
        <v>114011</v>
      </c>
      <c r="C6191" t="str">
        <f t="shared" si="398"/>
        <v>18200</v>
      </c>
      <c r="D6191" t="s">
        <v>516</v>
      </c>
      <c r="E6191">
        <v>84.12</v>
      </c>
      <c r="F6191">
        <v>20140204</v>
      </c>
      <c r="G6191" t="s">
        <v>455</v>
      </c>
      <c r="H6191" t="s">
        <v>488</v>
      </c>
      <c r="I6191" t="s">
        <v>21</v>
      </c>
    </row>
    <row r="6192" spans="1:9" x14ac:dyDescent="0.25">
      <c r="A6192">
        <v>20140206</v>
      </c>
      <c r="B6192" t="str">
        <f t="shared" si="397"/>
        <v>114011</v>
      </c>
      <c r="C6192" t="str">
        <f t="shared" si="398"/>
        <v>18200</v>
      </c>
      <c r="D6192" t="s">
        <v>516</v>
      </c>
      <c r="E6192">
        <v>936.94</v>
      </c>
      <c r="F6192">
        <v>20140204</v>
      </c>
      <c r="G6192" t="s">
        <v>455</v>
      </c>
      <c r="H6192" t="s">
        <v>488</v>
      </c>
      <c r="I6192" t="s">
        <v>21</v>
      </c>
    </row>
    <row r="6193" spans="1:9" x14ac:dyDescent="0.25">
      <c r="A6193">
        <v>20140206</v>
      </c>
      <c r="B6193" t="str">
        <f t="shared" si="397"/>
        <v>114011</v>
      </c>
      <c r="C6193" t="str">
        <f t="shared" si="398"/>
        <v>18200</v>
      </c>
      <c r="D6193" t="s">
        <v>516</v>
      </c>
      <c r="E6193">
        <v>121.99</v>
      </c>
      <c r="F6193">
        <v>20140204</v>
      </c>
      <c r="G6193" t="s">
        <v>455</v>
      </c>
      <c r="H6193" t="s">
        <v>488</v>
      </c>
      <c r="I6193" t="s">
        <v>21</v>
      </c>
    </row>
    <row r="6194" spans="1:9" x14ac:dyDescent="0.25">
      <c r="A6194">
        <v>20140206</v>
      </c>
      <c r="B6194" t="str">
        <f t="shared" si="397"/>
        <v>114011</v>
      </c>
      <c r="C6194" t="str">
        <f t="shared" si="398"/>
        <v>18200</v>
      </c>
      <c r="D6194" t="s">
        <v>516</v>
      </c>
      <c r="E6194">
        <v>733.55</v>
      </c>
      <c r="F6194">
        <v>20140204</v>
      </c>
      <c r="G6194" t="s">
        <v>459</v>
      </c>
      <c r="H6194" t="s">
        <v>488</v>
      </c>
      <c r="I6194" t="s">
        <v>21</v>
      </c>
    </row>
    <row r="6195" spans="1:9" x14ac:dyDescent="0.25">
      <c r="A6195">
        <v>20140206</v>
      </c>
      <c r="B6195" t="str">
        <f t="shared" si="397"/>
        <v>114011</v>
      </c>
      <c r="C6195" t="str">
        <f t="shared" si="398"/>
        <v>18200</v>
      </c>
      <c r="D6195" t="s">
        <v>516</v>
      </c>
      <c r="E6195">
        <v>313.62</v>
      </c>
      <c r="F6195">
        <v>20140204</v>
      </c>
      <c r="G6195" t="s">
        <v>462</v>
      </c>
      <c r="H6195" t="s">
        <v>488</v>
      </c>
      <c r="I6195" t="s">
        <v>21</v>
      </c>
    </row>
    <row r="6196" spans="1:9" x14ac:dyDescent="0.25">
      <c r="A6196">
        <v>20140206</v>
      </c>
      <c r="B6196" t="str">
        <f t="shared" si="397"/>
        <v>114011</v>
      </c>
      <c r="C6196" t="str">
        <f t="shared" si="398"/>
        <v>18200</v>
      </c>
      <c r="D6196" t="s">
        <v>516</v>
      </c>
      <c r="E6196">
        <v>976.12</v>
      </c>
      <c r="F6196">
        <v>20140204</v>
      </c>
      <c r="G6196" t="s">
        <v>465</v>
      </c>
      <c r="H6196" t="s">
        <v>488</v>
      </c>
      <c r="I6196" t="s">
        <v>21</v>
      </c>
    </row>
    <row r="6197" spans="1:9" x14ac:dyDescent="0.25">
      <c r="A6197">
        <v>20140206</v>
      </c>
      <c r="B6197" t="str">
        <f t="shared" si="397"/>
        <v>114011</v>
      </c>
      <c r="C6197" t="str">
        <f t="shared" si="398"/>
        <v>18200</v>
      </c>
      <c r="D6197" t="s">
        <v>516</v>
      </c>
      <c r="E6197" s="1">
        <v>1404</v>
      </c>
      <c r="F6197">
        <v>20140204</v>
      </c>
      <c r="G6197" t="s">
        <v>466</v>
      </c>
      <c r="H6197" t="s">
        <v>488</v>
      </c>
      <c r="I6197" t="s">
        <v>21</v>
      </c>
    </row>
    <row r="6198" spans="1:9" x14ac:dyDescent="0.25">
      <c r="A6198">
        <v>20140206</v>
      </c>
      <c r="B6198" t="str">
        <f t="shared" si="397"/>
        <v>114011</v>
      </c>
      <c r="C6198" t="str">
        <f t="shared" si="398"/>
        <v>18200</v>
      </c>
      <c r="D6198" t="s">
        <v>516</v>
      </c>
      <c r="E6198">
        <v>231.95</v>
      </c>
      <c r="F6198">
        <v>20140204</v>
      </c>
      <c r="G6198" t="s">
        <v>466</v>
      </c>
      <c r="H6198" t="s">
        <v>488</v>
      </c>
      <c r="I6198" t="s">
        <v>21</v>
      </c>
    </row>
    <row r="6199" spans="1:9" x14ac:dyDescent="0.25">
      <c r="A6199">
        <v>20140206</v>
      </c>
      <c r="B6199" t="str">
        <f t="shared" si="397"/>
        <v>114011</v>
      </c>
      <c r="C6199" t="str">
        <f t="shared" si="398"/>
        <v>18200</v>
      </c>
      <c r="D6199" t="s">
        <v>516</v>
      </c>
      <c r="E6199">
        <v>84.12</v>
      </c>
      <c r="F6199">
        <v>20140204</v>
      </c>
      <c r="G6199" t="s">
        <v>466</v>
      </c>
      <c r="H6199" t="s">
        <v>488</v>
      </c>
      <c r="I6199" t="s">
        <v>21</v>
      </c>
    </row>
    <row r="6200" spans="1:9" x14ac:dyDescent="0.25">
      <c r="A6200">
        <v>20140206</v>
      </c>
      <c r="B6200" t="str">
        <f t="shared" si="397"/>
        <v>114011</v>
      </c>
      <c r="C6200" t="str">
        <f t="shared" si="398"/>
        <v>18200</v>
      </c>
      <c r="D6200" t="s">
        <v>516</v>
      </c>
      <c r="E6200">
        <v>47</v>
      </c>
      <c r="F6200">
        <v>20140204</v>
      </c>
      <c r="G6200" t="s">
        <v>467</v>
      </c>
      <c r="H6200" t="s">
        <v>488</v>
      </c>
      <c r="I6200" t="s">
        <v>21</v>
      </c>
    </row>
    <row r="6201" spans="1:9" x14ac:dyDescent="0.25">
      <c r="A6201">
        <v>20140206</v>
      </c>
      <c r="B6201" t="str">
        <f>"114012"</f>
        <v>114012</v>
      </c>
      <c r="C6201" t="str">
        <f>"19750"</f>
        <v>19750</v>
      </c>
      <c r="D6201" t="s">
        <v>2445</v>
      </c>
      <c r="E6201">
        <v>180</v>
      </c>
      <c r="F6201">
        <v>20140205</v>
      </c>
      <c r="G6201" t="s">
        <v>356</v>
      </c>
      <c r="H6201" t="s">
        <v>357</v>
      </c>
      <c r="I6201" t="s">
        <v>61</v>
      </c>
    </row>
    <row r="6202" spans="1:9" x14ac:dyDescent="0.25">
      <c r="A6202">
        <v>20140206</v>
      </c>
      <c r="B6202" t="str">
        <f>"114013"</f>
        <v>114013</v>
      </c>
      <c r="C6202" t="str">
        <f>"19750"</f>
        <v>19750</v>
      </c>
      <c r="D6202" t="s">
        <v>2445</v>
      </c>
      <c r="E6202">
        <v>175</v>
      </c>
      <c r="F6202">
        <v>20140205</v>
      </c>
      <c r="G6202" t="s">
        <v>356</v>
      </c>
      <c r="H6202" t="s">
        <v>357</v>
      </c>
      <c r="I6202" t="s">
        <v>61</v>
      </c>
    </row>
    <row r="6203" spans="1:9" x14ac:dyDescent="0.25">
      <c r="A6203">
        <v>20140206</v>
      </c>
      <c r="B6203" t="str">
        <f>"114014"</f>
        <v>114014</v>
      </c>
      <c r="C6203" t="str">
        <f>"19750"</f>
        <v>19750</v>
      </c>
      <c r="D6203" t="s">
        <v>2445</v>
      </c>
      <c r="E6203">
        <v>175</v>
      </c>
      <c r="F6203">
        <v>20140205</v>
      </c>
      <c r="G6203" t="s">
        <v>356</v>
      </c>
      <c r="H6203" t="s">
        <v>357</v>
      </c>
      <c r="I6203" t="s">
        <v>61</v>
      </c>
    </row>
    <row r="6204" spans="1:9" x14ac:dyDescent="0.25">
      <c r="A6204">
        <v>20140206</v>
      </c>
      <c r="B6204" t="str">
        <f>"114015"</f>
        <v>114015</v>
      </c>
      <c r="C6204" t="str">
        <f>"19750"</f>
        <v>19750</v>
      </c>
      <c r="D6204" t="s">
        <v>2445</v>
      </c>
      <c r="E6204">
        <v>100</v>
      </c>
      <c r="F6204">
        <v>20140205</v>
      </c>
      <c r="G6204" t="s">
        <v>356</v>
      </c>
      <c r="H6204" t="s">
        <v>357</v>
      </c>
      <c r="I6204" t="s">
        <v>61</v>
      </c>
    </row>
    <row r="6205" spans="1:9" x14ac:dyDescent="0.25">
      <c r="A6205">
        <v>20140206</v>
      </c>
      <c r="B6205" t="str">
        <f>"114016"</f>
        <v>114016</v>
      </c>
      <c r="C6205" t="str">
        <f>"19750"</f>
        <v>19750</v>
      </c>
      <c r="D6205" t="s">
        <v>2445</v>
      </c>
      <c r="E6205">
        <v>90</v>
      </c>
      <c r="F6205">
        <v>20140205</v>
      </c>
      <c r="G6205" t="s">
        <v>356</v>
      </c>
      <c r="H6205" t="s">
        <v>357</v>
      </c>
      <c r="I6205" t="s">
        <v>61</v>
      </c>
    </row>
    <row r="6206" spans="1:9" x14ac:dyDescent="0.25">
      <c r="A6206">
        <v>20140206</v>
      </c>
      <c r="B6206" t="str">
        <f>"114017"</f>
        <v>114017</v>
      </c>
      <c r="C6206" t="str">
        <f>"86827"</f>
        <v>86827</v>
      </c>
      <c r="D6206" t="s">
        <v>3228</v>
      </c>
      <c r="E6206">
        <v>18</v>
      </c>
      <c r="F6206">
        <v>20140205</v>
      </c>
      <c r="G6206" t="s">
        <v>1981</v>
      </c>
      <c r="H6206" t="s">
        <v>354</v>
      </c>
      <c r="I6206" t="s">
        <v>38</v>
      </c>
    </row>
    <row r="6207" spans="1:9" x14ac:dyDescent="0.25">
      <c r="A6207">
        <v>20140206</v>
      </c>
      <c r="B6207" t="str">
        <f>"114018"</f>
        <v>114018</v>
      </c>
      <c r="C6207" t="str">
        <f>"84257"</f>
        <v>84257</v>
      </c>
      <c r="D6207" t="s">
        <v>3229</v>
      </c>
      <c r="E6207">
        <v>61.92</v>
      </c>
      <c r="F6207">
        <v>20140203</v>
      </c>
      <c r="G6207" t="s">
        <v>39</v>
      </c>
      <c r="H6207" t="s">
        <v>354</v>
      </c>
      <c r="I6207" t="s">
        <v>38</v>
      </c>
    </row>
    <row r="6208" spans="1:9" x14ac:dyDescent="0.25">
      <c r="A6208">
        <v>20140206</v>
      </c>
      <c r="B6208" t="str">
        <f>"114019"</f>
        <v>114019</v>
      </c>
      <c r="C6208" t="str">
        <f>"22220"</f>
        <v>22220</v>
      </c>
      <c r="D6208" t="s">
        <v>521</v>
      </c>
      <c r="E6208">
        <v>108</v>
      </c>
      <c r="F6208">
        <v>20140203</v>
      </c>
      <c r="G6208" t="s">
        <v>99</v>
      </c>
      <c r="H6208" t="s">
        <v>2191</v>
      </c>
      <c r="I6208" t="s">
        <v>21</v>
      </c>
    </row>
    <row r="6209" spans="1:9" x14ac:dyDescent="0.25">
      <c r="A6209">
        <v>20140206</v>
      </c>
      <c r="B6209" t="str">
        <f>"114020"</f>
        <v>114020</v>
      </c>
      <c r="C6209" t="str">
        <f>"22300"</f>
        <v>22300</v>
      </c>
      <c r="D6209" t="s">
        <v>3230</v>
      </c>
      <c r="E6209" s="1">
        <v>4800</v>
      </c>
      <c r="F6209">
        <v>20140204</v>
      </c>
      <c r="G6209" t="s">
        <v>1846</v>
      </c>
      <c r="H6209" t="s">
        <v>3231</v>
      </c>
      <c r="I6209" t="s">
        <v>63</v>
      </c>
    </row>
    <row r="6210" spans="1:9" x14ac:dyDescent="0.25">
      <c r="A6210">
        <v>20140206</v>
      </c>
      <c r="B6210" t="str">
        <f>"114021"</f>
        <v>114021</v>
      </c>
      <c r="C6210" t="str">
        <f>"22500"</f>
        <v>22500</v>
      </c>
      <c r="D6210" t="s">
        <v>523</v>
      </c>
      <c r="E6210">
        <v>17.3</v>
      </c>
      <c r="F6210">
        <v>20140204</v>
      </c>
      <c r="G6210" t="s">
        <v>1222</v>
      </c>
      <c r="H6210" t="s">
        <v>414</v>
      </c>
      <c r="I6210" t="s">
        <v>21</v>
      </c>
    </row>
    <row r="6211" spans="1:9" x14ac:dyDescent="0.25">
      <c r="A6211">
        <v>20140206</v>
      </c>
      <c r="B6211" t="str">
        <f>"114021"</f>
        <v>114021</v>
      </c>
      <c r="C6211" t="str">
        <f>"22500"</f>
        <v>22500</v>
      </c>
      <c r="D6211" t="s">
        <v>523</v>
      </c>
      <c r="E6211">
        <v>49.21</v>
      </c>
      <c r="F6211">
        <v>20140204</v>
      </c>
      <c r="G6211" t="s">
        <v>631</v>
      </c>
      <c r="H6211" t="s">
        <v>414</v>
      </c>
      <c r="I6211" t="s">
        <v>21</v>
      </c>
    </row>
    <row r="6212" spans="1:9" x14ac:dyDescent="0.25">
      <c r="A6212">
        <v>20140206</v>
      </c>
      <c r="B6212" t="str">
        <f>"114021"</f>
        <v>114021</v>
      </c>
      <c r="C6212" t="str">
        <f>"22500"</f>
        <v>22500</v>
      </c>
      <c r="D6212" t="s">
        <v>523</v>
      </c>
      <c r="E6212">
        <v>8.33</v>
      </c>
      <c r="F6212">
        <v>20140204</v>
      </c>
      <c r="G6212" t="s">
        <v>1224</v>
      </c>
      <c r="H6212" t="s">
        <v>414</v>
      </c>
      <c r="I6212" t="s">
        <v>21</v>
      </c>
    </row>
    <row r="6213" spans="1:9" x14ac:dyDescent="0.25">
      <c r="A6213">
        <v>20140206</v>
      </c>
      <c r="B6213" t="str">
        <f>"114022"</f>
        <v>114022</v>
      </c>
      <c r="C6213" t="str">
        <f>"23185"</f>
        <v>23185</v>
      </c>
      <c r="D6213" t="s">
        <v>803</v>
      </c>
      <c r="E6213" s="1">
        <v>2767.8</v>
      </c>
      <c r="F6213">
        <v>20140204</v>
      </c>
      <c r="G6213" t="s">
        <v>415</v>
      </c>
      <c r="H6213" t="s">
        <v>604</v>
      </c>
      <c r="I6213" t="s">
        <v>21</v>
      </c>
    </row>
    <row r="6214" spans="1:9" x14ac:dyDescent="0.25">
      <c r="A6214">
        <v>20140206</v>
      </c>
      <c r="B6214" t="str">
        <f>"114023"</f>
        <v>114023</v>
      </c>
      <c r="C6214" t="str">
        <f>"87528"</f>
        <v>87528</v>
      </c>
      <c r="D6214" t="s">
        <v>1048</v>
      </c>
      <c r="E6214">
        <v>630</v>
      </c>
      <c r="F6214">
        <v>20140205</v>
      </c>
      <c r="G6214" t="s">
        <v>1049</v>
      </c>
      <c r="H6214" t="s">
        <v>1050</v>
      </c>
      <c r="I6214" t="s">
        <v>21</v>
      </c>
    </row>
    <row r="6215" spans="1:9" x14ac:dyDescent="0.25">
      <c r="A6215">
        <v>20140206</v>
      </c>
      <c r="B6215" t="str">
        <f>"114024"</f>
        <v>114024</v>
      </c>
      <c r="C6215" t="str">
        <f>"26990"</f>
        <v>26990</v>
      </c>
      <c r="D6215" t="s">
        <v>548</v>
      </c>
      <c r="E6215">
        <v>900</v>
      </c>
      <c r="F6215">
        <v>20140203</v>
      </c>
      <c r="G6215" t="s">
        <v>1235</v>
      </c>
      <c r="H6215" t="s">
        <v>3232</v>
      </c>
      <c r="I6215" t="s">
        <v>79</v>
      </c>
    </row>
    <row r="6216" spans="1:9" x14ac:dyDescent="0.25">
      <c r="A6216">
        <v>20140206</v>
      </c>
      <c r="B6216" t="str">
        <f>"114025"</f>
        <v>114025</v>
      </c>
      <c r="C6216" t="str">
        <f>"00126"</f>
        <v>00126</v>
      </c>
      <c r="D6216" t="s">
        <v>3233</v>
      </c>
      <c r="E6216">
        <v>395</v>
      </c>
      <c r="F6216">
        <v>20140205</v>
      </c>
      <c r="G6216" t="s">
        <v>3234</v>
      </c>
      <c r="H6216" t="s">
        <v>1740</v>
      </c>
      <c r="I6216" t="s">
        <v>21</v>
      </c>
    </row>
    <row r="6217" spans="1:9" x14ac:dyDescent="0.25">
      <c r="A6217">
        <v>20140206</v>
      </c>
      <c r="B6217" t="str">
        <f>"114026"</f>
        <v>114026</v>
      </c>
      <c r="C6217" t="str">
        <f>"30000"</f>
        <v>30000</v>
      </c>
      <c r="D6217" t="s">
        <v>556</v>
      </c>
      <c r="E6217">
        <v>18</v>
      </c>
      <c r="F6217">
        <v>20140203</v>
      </c>
      <c r="G6217" t="s">
        <v>831</v>
      </c>
      <c r="H6217" t="s">
        <v>3235</v>
      </c>
      <c r="I6217" t="s">
        <v>21</v>
      </c>
    </row>
    <row r="6218" spans="1:9" x14ac:dyDescent="0.25">
      <c r="A6218">
        <v>20140206</v>
      </c>
      <c r="B6218" t="str">
        <f>"114026"</f>
        <v>114026</v>
      </c>
      <c r="C6218" t="str">
        <f>"30000"</f>
        <v>30000</v>
      </c>
      <c r="D6218" t="s">
        <v>556</v>
      </c>
      <c r="E6218">
        <v>600.49</v>
      </c>
      <c r="F6218">
        <v>20140205</v>
      </c>
      <c r="G6218" t="s">
        <v>2938</v>
      </c>
      <c r="H6218" t="s">
        <v>3236</v>
      </c>
      <c r="I6218" t="s">
        <v>21</v>
      </c>
    </row>
    <row r="6219" spans="1:9" x14ac:dyDescent="0.25">
      <c r="A6219">
        <v>20140206</v>
      </c>
      <c r="B6219" t="str">
        <f>"114027"</f>
        <v>114027</v>
      </c>
      <c r="C6219" t="str">
        <f>"85333"</f>
        <v>85333</v>
      </c>
      <c r="D6219" t="s">
        <v>561</v>
      </c>
      <c r="E6219">
        <v>26.87</v>
      </c>
      <c r="F6219">
        <v>20140205</v>
      </c>
      <c r="G6219" t="s">
        <v>562</v>
      </c>
      <c r="H6219" t="s">
        <v>563</v>
      </c>
      <c r="I6219" t="s">
        <v>21</v>
      </c>
    </row>
    <row r="6220" spans="1:9" x14ac:dyDescent="0.25">
      <c r="A6220">
        <v>20140206</v>
      </c>
      <c r="B6220" t="str">
        <f>"114028"</f>
        <v>114028</v>
      </c>
      <c r="C6220" t="str">
        <f>"87024"</f>
        <v>87024</v>
      </c>
      <c r="D6220" t="s">
        <v>566</v>
      </c>
      <c r="E6220">
        <v>17.690000000000001</v>
      </c>
      <c r="F6220">
        <v>20140205</v>
      </c>
      <c r="G6220" t="s">
        <v>562</v>
      </c>
      <c r="H6220" t="s">
        <v>563</v>
      </c>
      <c r="I6220" t="s">
        <v>21</v>
      </c>
    </row>
    <row r="6221" spans="1:9" x14ac:dyDescent="0.25">
      <c r="A6221">
        <v>20140206</v>
      </c>
      <c r="B6221" t="str">
        <f>"114029"</f>
        <v>114029</v>
      </c>
      <c r="C6221" t="str">
        <f>"80893"</f>
        <v>80893</v>
      </c>
      <c r="D6221" t="s">
        <v>3033</v>
      </c>
      <c r="E6221">
        <v>990</v>
      </c>
      <c r="F6221">
        <v>20140203</v>
      </c>
      <c r="G6221" t="s">
        <v>154</v>
      </c>
      <c r="H6221" t="s">
        <v>3237</v>
      </c>
      <c r="I6221" t="s">
        <v>25</v>
      </c>
    </row>
    <row r="6222" spans="1:9" x14ac:dyDescent="0.25">
      <c r="A6222">
        <v>20140206</v>
      </c>
      <c r="B6222" t="str">
        <f>"114030"</f>
        <v>114030</v>
      </c>
      <c r="C6222" t="str">
        <f>"87727"</f>
        <v>87727</v>
      </c>
      <c r="D6222" t="s">
        <v>3238</v>
      </c>
      <c r="E6222">
        <v>85</v>
      </c>
      <c r="F6222">
        <v>20140204</v>
      </c>
      <c r="G6222" t="s">
        <v>2820</v>
      </c>
      <c r="H6222" t="s">
        <v>765</v>
      </c>
      <c r="I6222" t="s">
        <v>61</v>
      </c>
    </row>
    <row r="6223" spans="1:9" x14ac:dyDescent="0.25">
      <c r="A6223">
        <v>20140206</v>
      </c>
      <c r="B6223" t="str">
        <f>"114031"</f>
        <v>114031</v>
      </c>
      <c r="C6223" t="str">
        <f>"86971"</f>
        <v>86971</v>
      </c>
      <c r="D6223" t="s">
        <v>586</v>
      </c>
      <c r="E6223">
        <v>131.15</v>
      </c>
      <c r="F6223">
        <v>20140205</v>
      </c>
      <c r="G6223" t="s">
        <v>214</v>
      </c>
      <c r="H6223" t="s">
        <v>354</v>
      </c>
      <c r="I6223" t="s">
        <v>38</v>
      </c>
    </row>
    <row r="6224" spans="1:9" x14ac:dyDescent="0.25">
      <c r="A6224">
        <v>20140206</v>
      </c>
      <c r="B6224" t="str">
        <f>"114032"</f>
        <v>114032</v>
      </c>
      <c r="C6224" t="str">
        <f>"31920"</f>
        <v>31920</v>
      </c>
      <c r="D6224" t="s">
        <v>1749</v>
      </c>
      <c r="E6224" s="1">
        <v>1200</v>
      </c>
      <c r="F6224">
        <v>20140204</v>
      </c>
      <c r="G6224" t="s">
        <v>511</v>
      </c>
      <c r="H6224" t="s">
        <v>1750</v>
      </c>
      <c r="I6224" t="s">
        <v>21</v>
      </c>
    </row>
    <row r="6225" spans="1:9" x14ac:dyDescent="0.25">
      <c r="A6225">
        <v>20140206</v>
      </c>
      <c r="B6225" t="str">
        <f>"114033"</f>
        <v>114033</v>
      </c>
      <c r="C6225" t="str">
        <f>"87484"</f>
        <v>87484</v>
      </c>
      <c r="D6225" t="s">
        <v>588</v>
      </c>
      <c r="E6225" s="1">
        <v>4923.75</v>
      </c>
      <c r="F6225">
        <v>20140205</v>
      </c>
      <c r="G6225" t="s">
        <v>589</v>
      </c>
      <c r="H6225" t="s">
        <v>3239</v>
      </c>
      <c r="I6225" t="s">
        <v>68</v>
      </c>
    </row>
    <row r="6226" spans="1:9" x14ac:dyDescent="0.25">
      <c r="A6226">
        <v>20140206</v>
      </c>
      <c r="B6226" t="str">
        <f>"114034"</f>
        <v>114034</v>
      </c>
      <c r="C6226" t="str">
        <f>"84980"</f>
        <v>84980</v>
      </c>
      <c r="D6226" t="s">
        <v>591</v>
      </c>
      <c r="E6226">
        <v>23.47</v>
      </c>
      <c r="F6226">
        <v>20140203</v>
      </c>
      <c r="G6226" t="s">
        <v>1079</v>
      </c>
      <c r="H6226" t="s">
        <v>3240</v>
      </c>
      <c r="I6226" t="s">
        <v>21</v>
      </c>
    </row>
    <row r="6227" spans="1:9" x14ac:dyDescent="0.25">
      <c r="A6227">
        <v>20140206</v>
      </c>
      <c r="B6227" t="str">
        <f>"114034"</f>
        <v>114034</v>
      </c>
      <c r="C6227" t="str">
        <f>"84980"</f>
        <v>84980</v>
      </c>
      <c r="D6227" t="s">
        <v>591</v>
      </c>
      <c r="E6227">
        <v>13</v>
      </c>
      <c r="F6227">
        <v>20140204</v>
      </c>
      <c r="G6227" t="s">
        <v>367</v>
      </c>
      <c r="H6227" t="s">
        <v>3241</v>
      </c>
      <c r="I6227" t="s">
        <v>21</v>
      </c>
    </row>
    <row r="6228" spans="1:9" x14ac:dyDescent="0.25">
      <c r="A6228">
        <v>20140206</v>
      </c>
      <c r="B6228" t="str">
        <f>"114035"</f>
        <v>114035</v>
      </c>
      <c r="C6228" t="str">
        <f>"81072"</f>
        <v>81072</v>
      </c>
      <c r="D6228" t="s">
        <v>598</v>
      </c>
      <c r="E6228">
        <v>950</v>
      </c>
      <c r="F6228">
        <v>20140203</v>
      </c>
      <c r="G6228" t="s">
        <v>746</v>
      </c>
      <c r="H6228" t="s">
        <v>555</v>
      </c>
      <c r="I6228" t="s">
        <v>21</v>
      </c>
    </row>
    <row r="6229" spans="1:9" x14ac:dyDescent="0.25">
      <c r="A6229">
        <v>20140206</v>
      </c>
      <c r="B6229" t="str">
        <f>"114036"</f>
        <v>114036</v>
      </c>
      <c r="C6229" t="str">
        <f>"83880"</f>
        <v>83880</v>
      </c>
      <c r="D6229" t="s">
        <v>865</v>
      </c>
      <c r="E6229">
        <v>672.78</v>
      </c>
      <c r="F6229">
        <v>20140204</v>
      </c>
      <c r="G6229" t="s">
        <v>41</v>
      </c>
      <c r="H6229" t="s">
        <v>354</v>
      </c>
      <c r="I6229" t="s">
        <v>38</v>
      </c>
    </row>
    <row r="6230" spans="1:9" x14ac:dyDescent="0.25">
      <c r="A6230">
        <v>20140206</v>
      </c>
      <c r="B6230" t="str">
        <f>"114037"</f>
        <v>114037</v>
      </c>
      <c r="C6230" t="str">
        <f>"86709"</f>
        <v>86709</v>
      </c>
      <c r="D6230" t="s">
        <v>3242</v>
      </c>
      <c r="E6230">
        <v>135</v>
      </c>
      <c r="F6230">
        <v>20140204</v>
      </c>
      <c r="G6230" t="s">
        <v>102</v>
      </c>
      <c r="H6230" t="s">
        <v>361</v>
      </c>
      <c r="I6230" t="s">
        <v>25</v>
      </c>
    </row>
    <row r="6231" spans="1:9" x14ac:dyDescent="0.25">
      <c r="A6231">
        <v>20140206</v>
      </c>
      <c r="B6231" t="str">
        <f>"114037"</f>
        <v>114037</v>
      </c>
      <c r="C6231" t="str">
        <f>"86709"</f>
        <v>86709</v>
      </c>
      <c r="D6231" t="s">
        <v>3242</v>
      </c>
      <c r="E6231">
        <v>180</v>
      </c>
      <c r="F6231">
        <v>20140204</v>
      </c>
      <c r="G6231" t="s">
        <v>102</v>
      </c>
      <c r="H6231" t="s">
        <v>361</v>
      </c>
      <c r="I6231" t="s">
        <v>25</v>
      </c>
    </row>
    <row r="6232" spans="1:9" x14ac:dyDescent="0.25">
      <c r="A6232">
        <v>20140206</v>
      </c>
      <c r="B6232" t="str">
        <f>"114038"</f>
        <v>114038</v>
      </c>
      <c r="C6232" t="str">
        <f>"86199"</f>
        <v>86199</v>
      </c>
      <c r="D6232" t="s">
        <v>3041</v>
      </c>
      <c r="E6232">
        <v>496.17</v>
      </c>
      <c r="F6232">
        <v>20140203</v>
      </c>
      <c r="G6232" t="s">
        <v>2423</v>
      </c>
      <c r="H6232" t="s">
        <v>921</v>
      </c>
      <c r="I6232" t="s">
        <v>21</v>
      </c>
    </row>
    <row r="6233" spans="1:9" x14ac:dyDescent="0.25">
      <c r="A6233">
        <v>20140206</v>
      </c>
      <c r="B6233" t="str">
        <f>"114039"</f>
        <v>114039</v>
      </c>
      <c r="C6233" t="str">
        <f>"40379"</f>
        <v>40379</v>
      </c>
      <c r="D6233" t="s">
        <v>2380</v>
      </c>
      <c r="E6233">
        <v>10.5</v>
      </c>
      <c r="F6233">
        <v>20140205</v>
      </c>
      <c r="G6233" t="s">
        <v>214</v>
      </c>
      <c r="H6233" t="s">
        <v>354</v>
      </c>
      <c r="I6233" t="s">
        <v>38</v>
      </c>
    </row>
    <row r="6234" spans="1:9" x14ac:dyDescent="0.25">
      <c r="A6234">
        <v>20140206</v>
      </c>
      <c r="B6234" t="str">
        <f>"114040"</f>
        <v>114040</v>
      </c>
      <c r="C6234" t="str">
        <f>"85122"</f>
        <v>85122</v>
      </c>
      <c r="D6234" t="s">
        <v>1103</v>
      </c>
      <c r="E6234">
        <v>57.57</v>
      </c>
      <c r="F6234">
        <v>20140204</v>
      </c>
      <c r="G6234" t="s">
        <v>364</v>
      </c>
      <c r="H6234" t="s">
        <v>365</v>
      </c>
      <c r="I6234" t="s">
        <v>21</v>
      </c>
    </row>
    <row r="6235" spans="1:9" x14ac:dyDescent="0.25">
      <c r="A6235">
        <v>20140206</v>
      </c>
      <c r="B6235" t="str">
        <f>"114041"</f>
        <v>114041</v>
      </c>
      <c r="C6235" t="str">
        <f>"84161"</f>
        <v>84161</v>
      </c>
      <c r="D6235" t="s">
        <v>1767</v>
      </c>
      <c r="E6235">
        <v>55.49</v>
      </c>
      <c r="F6235">
        <v>20140203</v>
      </c>
      <c r="G6235" t="s">
        <v>810</v>
      </c>
      <c r="H6235" t="s">
        <v>365</v>
      </c>
      <c r="I6235" t="s">
        <v>66</v>
      </c>
    </row>
    <row r="6236" spans="1:9" x14ac:dyDescent="0.25">
      <c r="A6236">
        <v>20140206</v>
      </c>
      <c r="B6236" t="str">
        <f>"114042"</f>
        <v>114042</v>
      </c>
      <c r="C6236" t="str">
        <f>"86928"</f>
        <v>86928</v>
      </c>
      <c r="D6236" t="s">
        <v>1457</v>
      </c>
      <c r="E6236">
        <v>301.73</v>
      </c>
      <c r="F6236">
        <v>20140205</v>
      </c>
      <c r="G6236" t="s">
        <v>892</v>
      </c>
      <c r="H6236" t="s">
        <v>563</v>
      </c>
      <c r="I6236" t="s">
        <v>79</v>
      </c>
    </row>
    <row r="6237" spans="1:9" x14ac:dyDescent="0.25">
      <c r="A6237">
        <v>20140206</v>
      </c>
      <c r="B6237" t="str">
        <f>"114042"</f>
        <v>114042</v>
      </c>
      <c r="C6237" t="str">
        <f>"86928"</f>
        <v>86928</v>
      </c>
      <c r="D6237" t="s">
        <v>1457</v>
      </c>
      <c r="E6237">
        <v>301.72000000000003</v>
      </c>
      <c r="F6237">
        <v>20140205</v>
      </c>
      <c r="G6237" t="s">
        <v>3179</v>
      </c>
      <c r="H6237" t="s">
        <v>563</v>
      </c>
      <c r="I6237" t="s">
        <v>79</v>
      </c>
    </row>
    <row r="6238" spans="1:9" x14ac:dyDescent="0.25">
      <c r="A6238">
        <v>20140206</v>
      </c>
      <c r="B6238" t="str">
        <f>"114043"</f>
        <v>114043</v>
      </c>
      <c r="C6238" t="str">
        <f>"43195"</f>
        <v>43195</v>
      </c>
      <c r="D6238" t="s">
        <v>2001</v>
      </c>
      <c r="E6238">
        <v>656</v>
      </c>
      <c r="F6238">
        <v>20140203</v>
      </c>
      <c r="G6238" t="s">
        <v>2002</v>
      </c>
      <c r="H6238" t="s">
        <v>3173</v>
      </c>
      <c r="I6238" t="s">
        <v>21</v>
      </c>
    </row>
    <row r="6239" spans="1:9" x14ac:dyDescent="0.25">
      <c r="A6239">
        <v>20140206</v>
      </c>
      <c r="B6239" t="str">
        <f>"114044"</f>
        <v>114044</v>
      </c>
      <c r="C6239" t="str">
        <f>"43795"</f>
        <v>43795</v>
      </c>
      <c r="D6239" t="s">
        <v>3046</v>
      </c>
      <c r="E6239">
        <v>70</v>
      </c>
      <c r="F6239">
        <v>20140203</v>
      </c>
      <c r="G6239" t="s">
        <v>1153</v>
      </c>
      <c r="H6239" t="s">
        <v>3047</v>
      </c>
      <c r="I6239" t="s">
        <v>61</v>
      </c>
    </row>
    <row r="6240" spans="1:9" x14ac:dyDescent="0.25">
      <c r="A6240">
        <v>20140206</v>
      </c>
      <c r="B6240" t="str">
        <f>"114045"</f>
        <v>114045</v>
      </c>
      <c r="C6240" t="str">
        <f>"43804"</f>
        <v>43804</v>
      </c>
      <c r="D6240" t="s">
        <v>1466</v>
      </c>
      <c r="E6240" s="1">
        <v>1000</v>
      </c>
      <c r="F6240">
        <v>20140204</v>
      </c>
      <c r="G6240" t="s">
        <v>496</v>
      </c>
      <c r="H6240" t="s">
        <v>3243</v>
      </c>
      <c r="I6240" t="s">
        <v>21</v>
      </c>
    </row>
    <row r="6241" spans="1:9" x14ac:dyDescent="0.25">
      <c r="A6241">
        <v>20140206</v>
      </c>
      <c r="B6241" t="str">
        <f>"114046"</f>
        <v>114046</v>
      </c>
      <c r="C6241" t="str">
        <f>"87673"</f>
        <v>87673</v>
      </c>
      <c r="D6241" t="s">
        <v>2718</v>
      </c>
      <c r="E6241">
        <v>37.33</v>
      </c>
      <c r="F6241">
        <v>20140204</v>
      </c>
      <c r="G6241" t="s">
        <v>39</v>
      </c>
      <c r="H6241" t="s">
        <v>354</v>
      </c>
      <c r="I6241" t="s">
        <v>38</v>
      </c>
    </row>
    <row r="6242" spans="1:9" x14ac:dyDescent="0.25">
      <c r="A6242">
        <v>20140206</v>
      </c>
      <c r="B6242" t="str">
        <f t="shared" ref="B6242:B6249" si="399">"114047"</f>
        <v>114047</v>
      </c>
      <c r="C6242" t="str">
        <f t="shared" ref="C6242:C6249" si="400">"46500"</f>
        <v>46500</v>
      </c>
      <c r="D6242" t="s">
        <v>626</v>
      </c>
      <c r="E6242" s="1">
        <v>2398.27</v>
      </c>
      <c r="F6242">
        <v>20140204</v>
      </c>
      <c r="G6242" t="s">
        <v>415</v>
      </c>
      <c r="H6242" t="s">
        <v>414</v>
      </c>
      <c r="I6242" t="s">
        <v>21</v>
      </c>
    </row>
    <row r="6243" spans="1:9" x14ac:dyDescent="0.25">
      <c r="A6243">
        <v>20140206</v>
      </c>
      <c r="B6243" t="str">
        <f t="shared" si="399"/>
        <v>114047</v>
      </c>
      <c r="C6243" t="str">
        <f t="shared" si="400"/>
        <v>46500</v>
      </c>
      <c r="D6243" t="s">
        <v>626</v>
      </c>
      <c r="E6243" s="1">
        <v>2194.12</v>
      </c>
      <c r="F6243">
        <v>20140204</v>
      </c>
      <c r="G6243" t="s">
        <v>627</v>
      </c>
      <c r="H6243" t="s">
        <v>414</v>
      </c>
      <c r="I6243" t="s">
        <v>21</v>
      </c>
    </row>
    <row r="6244" spans="1:9" x14ac:dyDescent="0.25">
      <c r="A6244">
        <v>20140206</v>
      </c>
      <c r="B6244" t="str">
        <f t="shared" si="399"/>
        <v>114047</v>
      </c>
      <c r="C6244" t="str">
        <f t="shared" si="400"/>
        <v>46500</v>
      </c>
      <c r="D6244" t="s">
        <v>626</v>
      </c>
      <c r="E6244">
        <v>77.31</v>
      </c>
      <c r="F6244">
        <v>20140204</v>
      </c>
      <c r="G6244" t="s">
        <v>630</v>
      </c>
      <c r="H6244" t="s">
        <v>414</v>
      </c>
      <c r="I6244" t="s">
        <v>21</v>
      </c>
    </row>
    <row r="6245" spans="1:9" x14ac:dyDescent="0.25">
      <c r="A6245">
        <v>20140206</v>
      </c>
      <c r="B6245" t="str">
        <f t="shared" si="399"/>
        <v>114047</v>
      </c>
      <c r="C6245" t="str">
        <f t="shared" si="400"/>
        <v>46500</v>
      </c>
      <c r="D6245" t="s">
        <v>626</v>
      </c>
      <c r="E6245">
        <v>59.9</v>
      </c>
      <c r="F6245">
        <v>20140204</v>
      </c>
      <c r="G6245" t="s">
        <v>530</v>
      </c>
      <c r="H6245" t="s">
        <v>414</v>
      </c>
      <c r="I6245" t="s">
        <v>21</v>
      </c>
    </row>
    <row r="6246" spans="1:9" x14ac:dyDescent="0.25">
      <c r="A6246">
        <v>20140206</v>
      </c>
      <c r="B6246" t="str">
        <f t="shared" si="399"/>
        <v>114047</v>
      </c>
      <c r="C6246" t="str">
        <f t="shared" si="400"/>
        <v>46500</v>
      </c>
      <c r="D6246" t="s">
        <v>626</v>
      </c>
      <c r="E6246">
        <v>405.62</v>
      </c>
      <c r="F6246">
        <v>20140204</v>
      </c>
      <c r="G6246" t="s">
        <v>392</v>
      </c>
      <c r="H6246" t="s">
        <v>414</v>
      </c>
      <c r="I6246" t="s">
        <v>21</v>
      </c>
    </row>
    <row r="6247" spans="1:9" x14ac:dyDescent="0.25">
      <c r="A6247">
        <v>20140206</v>
      </c>
      <c r="B6247" t="str">
        <f t="shared" si="399"/>
        <v>114047</v>
      </c>
      <c r="C6247" t="str">
        <f t="shared" si="400"/>
        <v>46500</v>
      </c>
      <c r="D6247" t="s">
        <v>626</v>
      </c>
      <c r="E6247">
        <v>59.9</v>
      </c>
      <c r="F6247">
        <v>20140204</v>
      </c>
      <c r="G6247" t="s">
        <v>1224</v>
      </c>
      <c r="H6247" t="s">
        <v>414</v>
      </c>
      <c r="I6247" t="s">
        <v>21</v>
      </c>
    </row>
    <row r="6248" spans="1:9" x14ac:dyDescent="0.25">
      <c r="A6248">
        <v>20140206</v>
      </c>
      <c r="B6248" t="str">
        <f t="shared" si="399"/>
        <v>114047</v>
      </c>
      <c r="C6248" t="str">
        <f t="shared" si="400"/>
        <v>46500</v>
      </c>
      <c r="D6248" t="s">
        <v>626</v>
      </c>
      <c r="E6248">
        <v>23.21</v>
      </c>
      <c r="F6248">
        <v>20140204</v>
      </c>
      <c r="G6248" t="s">
        <v>531</v>
      </c>
      <c r="H6248" t="s">
        <v>414</v>
      </c>
      <c r="I6248" t="s">
        <v>21</v>
      </c>
    </row>
    <row r="6249" spans="1:9" x14ac:dyDescent="0.25">
      <c r="A6249">
        <v>20140206</v>
      </c>
      <c r="B6249" t="str">
        <f t="shared" si="399"/>
        <v>114047</v>
      </c>
      <c r="C6249" t="str">
        <f t="shared" si="400"/>
        <v>46500</v>
      </c>
      <c r="D6249" t="s">
        <v>626</v>
      </c>
      <c r="E6249">
        <v>91.93</v>
      </c>
      <c r="F6249">
        <v>20140204</v>
      </c>
      <c r="G6249" t="s">
        <v>417</v>
      </c>
      <c r="H6249" t="s">
        <v>414</v>
      </c>
      <c r="I6249" t="s">
        <v>21</v>
      </c>
    </row>
    <row r="6250" spans="1:9" x14ac:dyDescent="0.25">
      <c r="A6250">
        <v>20140206</v>
      </c>
      <c r="B6250" t="str">
        <f>"114048"</f>
        <v>114048</v>
      </c>
      <c r="C6250" t="str">
        <f>"83125"</f>
        <v>83125</v>
      </c>
      <c r="D6250" t="s">
        <v>3049</v>
      </c>
      <c r="E6250">
        <v>112.32</v>
      </c>
      <c r="F6250">
        <v>20140205</v>
      </c>
      <c r="G6250" t="s">
        <v>1112</v>
      </c>
      <c r="H6250" t="s">
        <v>365</v>
      </c>
      <c r="I6250" t="s">
        <v>66</v>
      </c>
    </row>
    <row r="6251" spans="1:9" x14ac:dyDescent="0.25">
      <c r="A6251">
        <v>20140206</v>
      </c>
      <c r="B6251" t="str">
        <f>"114049"</f>
        <v>114049</v>
      </c>
      <c r="C6251" t="str">
        <f>"48820"</f>
        <v>48820</v>
      </c>
      <c r="D6251" t="s">
        <v>1106</v>
      </c>
      <c r="E6251">
        <v>239.77</v>
      </c>
      <c r="F6251">
        <v>20140204</v>
      </c>
      <c r="G6251" t="s">
        <v>1067</v>
      </c>
      <c r="H6251" t="s">
        <v>354</v>
      </c>
      <c r="I6251" t="s">
        <v>21</v>
      </c>
    </row>
    <row r="6252" spans="1:9" x14ac:dyDescent="0.25">
      <c r="A6252">
        <v>20140206</v>
      </c>
      <c r="B6252" t="str">
        <f>"114050"</f>
        <v>114050</v>
      </c>
      <c r="C6252" t="str">
        <f>"81137"</f>
        <v>81137</v>
      </c>
      <c r="D6252" t="s">
        <v>1266</v>
      </c>
      <c r="E6252">
        <v>85</v>
      </c>
      <c r="F6252">
        <v>20140204</v>
      </c>
      <c r="G6252" t="s">
        <v>870</v>
      </c>
      <c r="H6252" t="s">
        <v>3054</v>
      </c>
      <c r="I6252" t="s">
        <v>21</v>
      </c>
    </row>
    <row r="6253" spans="1:9" x14ac:dyDescent="0.25">
      <c r="A6253">
        <v>20140206</v>
      </c>
      <c r="B6253" t="str">
        <f>"114051"</f>
        <v>114051</v>
      </c>
      <c r="C6253" t="str">
        <f>"51550"</f>
        <v>51550</v>
      </c>
      <c r="D6253" t="s">
        <v>2868</v>
      </c>
      <c r="E6253">
        <v>61.08</v>
      </c>
      <c r="F6253">
        <v>20140206</v>
      </c>
      <c r="G6253" t="s">
        <v>145</v>
      </c>
      <c r="H6253" t="s">
        <v>3244</v>
      </c>
      <c r="I6253" t="s">
        <v>38</v>
      </c>
    </row>
    <row r="6254" spans="1:9" x14ac:dyDescent="0.25">
      <c r="A6254">
        <v>20140206</v>
      </c>
      <c r="B6254" t="str">
        <f>"114052"</f>
        <v>114052</v>
      </c>
      <c r="C6254" t="str">
        <f>"82978"</f>
        <v>82978</v>
      </c>
      <c r="D6254" t="s">
        <v>2245</v>
      </c>
      <c r="E6254">
        <v>381.6</v>
      </c>
      <c r="F6254">
        <v>20140205</v>
      </c>
      <c r="G6254" t="s">
        <v>840</v>
      </c>
      <c r="H6254" t="s">
        <v>3245</v>
      </c>
      <c r="I6254" t="s">
        <v>21</v>
      </c>
    </row>
    <row r="6255" spans="1:9" x14ac:dyDescent="0.25">
      <c r="A6255">
        <v>20140206</v>
      </c>
      <c r="B6255" t="str">
        <f>"114053"</f>
        <v>114053</v>
      </c>
      <c r="C6255" t="str">
        <f>"86946"</f>
        <v>86946</v>
      </c>
      <c r="D6255" t="s">
        <v>933</v>
      </c>
      <c r="E6255">
        <v>85.54</v>
      </c>
      <c r="F6255">
        <v>20140203</v>
      </c>
      <c r="G6255" t="s">
        <v>36</v>
      </c>
      <c r="H6255" t="s">
        <v>354</v>
      </c>
      <c r="I6255" t="s">
        <v>38</v>
      </c>
    </row>
    <row r="6256" spans="1:9" x14ac:dyDescent="0.25">
      <c r="A6256">
        <v>20140206</v>
      </c>
      <c r="B6256" t="str">
        <f>"114054"</f>
        <v>114054</v>
      </c>
      <c r="C6256" t="str">
        <f>"85114"</f>
        <v>85114</v>
      </c>
      <c r="D6256" t="s">
        <v>1497</v>
      </c>
      <c r="E6256">
        <v>125</v>
      </c>
      <c r="F6256">
        <v>20140205</v>
      </c>
      <c r="G6256" t="s">
        <v>356</v>
      </c>
      <c r="H6256" t="s">
        <v>357</v>
      </c>
      <c r="I6256" t="s">
        <v>61</v>
      </c>
    </row>
    <row r="6257" spans="1:9" x14ac:dyDescent="0.25">
      <c r="A6257">
        <v>20140206</v>
      </c>
      <c r="B6257" t="str">
        <f>"114055"</f>
        <v>114055</v>
      </c>
      <c r="C6257" t="str">
        <f>"00032"</f>
        <v>00032</v>
      </c>
      <c r="D6257" t="s">
        <v>109</v>
      </c>
      <c r="E6257">
        <v>537.5</v>
      </c>
      <c r="F6257">
        <v>20140205</v>
      </c>
      <c r="G6257" t="s">
        <v>2579</v>
      </c>
      <c r="H6257" t="s">
        <v>1109</v>
      </c>
      <c r="I6257" t="s">
        <v>58</v>
      </c>
    </row>
    <row r="6258" spans="1:9" x14ac:dyDescent="0.25">
      <c r="A6258">
        <v>20140206</v>
      </c>
      <c r="B6258" t="str">
        <f>"114056"</f>
        <v>114056</v>
      </c>
      <c r="C6258" t="str">
        <f>"00032"</f>
        <v>00032</v>
      </c>
      <c r="D6258" t="s">
        <v>109</v>
      </c>
      <c r="E6258">
        <v>537.5</v>
      </c>
      <c r="F6258">
        <v>20140205</v>
      </c>
      <c r="G6258" t="s">
        <v>2579</v>
      </c>
      <c r="H6258" t="s">
        <v>1109</v>
      </c>
      <c r="I6258" t="s">
        <v>58</v>
      </c>
    </row>
    <row r="6259" spans="1:9" x14ac:dyDescent="0.25">
      <c r="A6259">
        <v>20140206</v>
      </c>
      <c r="B6259" t="str">
        <f>"114057"</f>
        <v>114057</v>
      </c>
      <c r="C6259" t="str">
        <f>"83617"</f>
        <v>83617</v>
      </c>
      <c r="D6259" t="s">
        <v>1289</v>
      </c>
      <c r="E6259">
        <v>444.99</v>
      </c>
      <c r="F6259">
        <v>20140205</v>
      </c>
      <c r="G6259" t="s">
        <v>2211</v>
      </c>
      <c r="H6259" t="s">
        <v>563</v>
      </c>
      <c r="I6259" t="s">
        <v>2212</v>
      </c>
    </row>
    <row r="6260" spans="1:9" x14ac:dyDescent="0.25">
      <c r="A6260">
        <v>20140206</v>
      </c>
      <c r="B6260" t="str">
        <f>"114058"</f>
        <v>114058</v>
      </c>
      <c r="C6260" t="str">
        <f>"87142"</f>
        <v>87142</v>
      </c>
      <c r="D6260" t="s">
        <v>1923</v>
      </c>
      <c r="E6260">
        <v>32.04</v>
      </c>
      <c r="F6260">
        <v>20140205</v>
      </c>
      <c r="G6260" t="s">
        <v>562</v>
      </c>
      <c r="H6260" t="s">
        <v>563</v>
      </c>
      <c r="I6260" t="s">
        <v>21</v>
      </c>
    </row>
    <row r="6261" spans="1:9" x14ac:dyDescent="0.25">
      <c r="A6261">
        <v>20140206</v>
      </c>
      <c r="B6261" t="str">
        <f>"114058"</f>
        <v>114058</v>
      </c>
      <c r="C6261" t="str">
        <f>"87142"</f>
        <v>87142</v>
      </c>
      <c r="D6261" t="s">
        <v>1923</v>
      </c>
      <c r="E6261">
        <v>36.68</v>
      </c>
      <c r="F6261">
        <v>20140205</v>
      </c>
      <c r="G6261" t="s">
        <v>562</v>
      </c>
      <c r="H6261" t="s">
        <v>563</v>
      </c>
      <c r="I6261" t="s">
        <v>21</v>
      </c>
    </row>
    <row r="6262" spans="1:9" x14ac:dyDescent="0.25">
      <c r="A6262">
        <v>20140206</v>
      </c>
      <c r="B6262" t="str">
        <f>"114059"</f>
        <v>114059</v>
      </c>
      <c r="C6262" t="str">
        <f>"62450"</f>
        <v>62450</v>
      </c>
      <c r="D6262" t="s">
        <v>683</v>
      </c>
      <c r="E6262">
        <v>495</v>
      </c>
      <c r="F6262">
        <v>20140203</v>
      </c>
      <c r="G6262" t="s">
        <v>3065</v>
      </c>
      <c r="H6262" t="s">
        <v>3246</v>
      </c>
      <c r="I6262" t="s">
        <v>21</v>
      </c>
    </row>
    <row r="6263" spans="1:9" x14ac:dyDescent="0.25">
      <c r="A6263">
        <v>20140206</v>
      </c>
      <c r="B6263" t="str">
        <f>"114060"</f>
        <v>114060</v>
      </c>
      <c r="C6263" t="str">
        <f>"87725"</f>
        <v>87725</v>
      </c>
      <c r="D6263" t="s">
        <v>3247</v>
      </c>
      <c r="E6263">
        <v>14.5</v>
      </c>
      <c r="F6263">
        <v>20140203</v>
      </c>
      <c r="G6263" t="s">
        <v>156</v>
      </c>
      <c r="H6263" t="s">
        <v>354</v>
      </c>
      <c r="I6263" t="s">
        <v>25</v>
      </c>
    </row>
    <row r="6264" spans="1:9" x14ac:dyDescent="0.25">
      <c r="A6264">
        <v>20140206</v>
      </c>
      <c r="B6264" t="str">
        <f>"114061"</f>
        <v>114061</v>
      </c>
      <c r="C6264" t="str">
        <f>"87726"</f>
        <v>87726</v>
      </c>
      <c r="D6264" t="s">
        <v>3248</v>
      </c>
      <c r="E6264">
        <v>68.97</v>
      </c>
      <c r="F6264">
        <v>20140204</v>
      </c>
      <c r="G6264" t="s">
        <v>323</v>
      </c>
      <c r="H6264" t="s">
        <v>1849</v>
      </c>
      <c r="I6264" t="s">
        <v>21</v>
      </c>
    </row>
    <row r="6265" spans="1:9" x14ac:dyDescent="0.25">
      <c r="A6265">
        <v>20140206</v>
      </c>
      <c r="B6265" t="str">
        <f>"114062"</f>
        <v>114062</v>
      </c>
      <c r="C6265" t="str">
        <f>"65430"</f>
        <v>65430</v>
      </c>
      <c r="D6265" t="s">
        <v>1518</v>
      </c>
      <c r="E6265">
        <v>24.78</v>
      </c>
      <c r="F6265">
        <v>20140203</v>
      </c>
      <c r="G6265" t="s">
        <v>413</v>
      </c>
      <c r="H6265" t="s">
        <v>414</v>
      </c>
      <c r="I6265" t="s">
        <v>21</v>
      </c>
    </row>
    <row r="6266" spans="1:9" x14ac:dyDescent="0.25">
      <c r="A6266">
        <v>20140206</v>
      </c>
      <c r="B6266" t="str">
        <f>"114063"</f>
        <v>114063</v>
      </c>
      <c r="C6266" t="str">
        <f>"83052"</f>
        <v>83052</v>
      </c>
      <c r="D6266" t="s">
        <v>2282</v>
      </c>
      <c r="E6266">
        <v>60.93</v>
      </c>
      <c r="F6266">
        <v>20140204</v>
      </c>
      <c r="G6266" t="s">
        <v>441</v>
      </c>
      <c r="H6266" t="s">
        <v>365</v>
      </c>
      <c r="I6266" t="s">
        <v>66</v>
      </c>
    </row>
    <row r="6267" spans="1:9" x14ac:dyDescent="0.25">
      <c r="A6267">
        <v>20140206</v>
      </c>
      <c r="B6267" t="str">
        <f>"114064"</f>
        <v>114064</v>
      </c>
      <c r="C6267" t="str">
        <f>"68960"</f>
        <v>68960</v>
      </c>
      <c r="D6267" t="s">
        <v>689</v>
      </c>
      <c r="E6267">
        <v>185</v>
      </c>
      <c r="F6267">
        <v>20140203</v>
      </c>
      <c r="G6267" t="s">
        <v>356</v>
      </c>
      <c r="H6267" t="s">
        <v>357</v>
      </c>
      <c r="I6267" t="s">
        <v>61</v>
      </c>
    </row>
    <row r="6268" spans="1:9" x14ac:dyDescent="0.25">
      <c r="A6268">
        <v>20140206</v>
      </c>
      <c r="B6268" t="str">
        <f>"114064"</f>
        <v>114064</v>
      </c>
      <c r="C6268" t="str">
        <f>"68960"</f>
        <v>68960</v>
      </c>
      <c r="D6268" t="s">
        <v>689</v>
      </c>
      <c r="E6268">
        <v>117</v>
      </c>
      <c r="F6268">
        <v>20140204</v>
      </c>
      <c r="G6268" t="s">
        <v>356</v>
      </c>
      <c r="H6268" t="s">
        <v>357</v>
      </c>
      <c r="I6268" t="s">
        <v>61</v>
      </c>
    </row>
    <row r="6269" spans="1:9" x14ac:dyDescent="0.25">
      <c r="A6269">
        <v>20140206</v>
      </c>
      <c r="B6269" t="str">
        <f>"114065"</f>
        <v>114065</v>
      </c>
      <c r="C6269" t="str">
        <f>"00391"</f>
        <v>00391</v>
      </c>
      <c r="D6269" t="s">
        <v>2894</v>
      </c>
      <c r="E6269">
        <v>75</v>
      </c>
      <c r="F6269">
        <v>20140204</v>
      </c>
      <c r="G6269" t="s">
        <v>1145</v>
      </c>
      <c r="H6269" t="s">
        <v>1410</v>
      </c>
      <c r="I6269" t="s">
        <v>73</v>
      </c>
    </row>
    <row r="6270" spans="1:9" x14ac:dyDescent="0.25">
      <c r="A6270">
        <v>20140206</v>
      </c>
      <c r="B6270" t="str">
        <f>"114066"</f>
        <v>114066</v>
      </c>
      <c r="C6270" t="str">
        <f>"83166"</f>
        <v>83166</v>
      </c>
      <c r="D6270" t="s">
        <v>3249</v>
      </c>
      <c r="E6270">
        <v>450</v>
      </c>
      <c r="F6270">
        <v>20140203</v>
      </c>
      <c r="G6270" t="s">
        <v>3250</v>
      </c>
      <c r="H6270" t="s">
        <v>3251</v>
      </c>
      <c r="I6270" t="s">
        <v>21</v>
      </c>
    </row>
    <row r="6271" spans="1:9" x14ac:dyDescent="0.25">
      <c r="A6271">
        <v>20140206</v>
      </c>
      <c r="B6271" t="str">
        <f>"114067"</f>
        <v>114067</v>
      </c>
      <c r="C6271" t="str">
        <f>"70681"</f>
        <v>70681</v>
      </c>
      <c r="D6271" t="s">
        <v>3191</v>
      </c>
      <c r="E6271" s="1">
        <v>5000</v>
      </c>
      <c r="F6271">
        <v>20140204</v>
      </c>
      <c r="G6271" t="s">
        <v>810</v>
      </c>
      <c r="H6271" t="s">
        <v>3252</v>
      </c>
      <c r="I6271" t="s">
        <v>66</v>
      </c>
    </row>
    <row r="6272" spans="1:9" x14ac:dyDescent="0.25">
      <c r="A6272">
        <v>20140206</v>
      </c>
      <c r="B6272" t="str">
        <f>"114068"</f>
        <v>114068</v>
      </c>
      <c r="C6272" t="str">
        <f>"83008"</f>
        <v>83008</v>
      </c>
      <c r="D6272" t="s">
        <v>3253</v>
      </c>
      <c r="E6272">
        <v>50</v>
      </c>
      <c r="F6272">
        <v>20140204</v>
      </c>
      <c r="G6272" t="s">
        <v>426</v>
      </c>
      <c r="H6272" t="s">
        <v>3254</v>
      </c>
      <c r="I6272" t="s">
        <v>21</v>
      </c>
    </row>
    <row r="6273" spans="1:9" x14ac:dyDescent="0.25">
      <c r="A6273">
        <v>20140206</v>
      </c>
      <c r="B6273" t="str">
        <f>"114069"</f>
        <v>114069</v>
      </c>
      <c r="C6273" t="str">
        <f>"00332"</f>
        <v>00332</v>
      </c>
      <c r="D6273" t="s">
        <v>1160</v>
      </c>
      <c r="E6273">
        <v>28</v>
      </c>
      <c r="F6273">
        <v>20140203</v>
      </c>
      <c r="G6273" t="s">
        <v>367</v>
      </c>
      <c r="H6273" t="s">
        <v>1161</v>
      </c>
      <c r="I6273" t="s">
        <v>21</v>
      </c>
    </row>
    <row r="6274" spans="1:9" x14ac:dyDescent="0.25">
      <c r="A6274">
        <v>20140206</v>
      </c>
      <c r="B6274" t="str">
        <f>"114070"</f>
        <v>114070</v>
      </c>
      <c r="C6274" t="str">
        <f>"69310"</f>
        <v>69310</v>
      </c>
      <c r="D6274" t="s">
        <v>716</v>
      </c>
      <c r="E6274">
        <v>69.290000000000006</v>
      </c>
      <c r="F6274">
        <v>20140204</v>
      </c>
      <c r="G6274" t="s">
        <v>718</v>
      </c>
      <c r="H6274" t="s">
        <v>488</v>
      </c>
      <c r="I6274" t="s">
        <v>21</v>
      </c>
    </row>
    <row r="6275" spans="1:9" x14ac:dyDescent="0.25">
      <c r="A6275">
        <v>20140206</v>
      </c>
      <c r="B6275" t="str">
        <f>"114071"</f>
        <v>114071</v>
      </c>
      <c r="C6275" t="str">
        <f>"83586"</f>
        <v>83586</v>
      </c>
      <c r="D6275" t="s">
        <v>3255</v>
      </c>
      <c r="E6275">
        <v>500</v>
      </c>
      <c r="F6275">
        <v>20140205</v>
      </c>
      <c r="G6275" t="s">
        <v>347</v>
      </c>
      <c r="H6275" t="s">
        <v>361</v>
      </c>
      <c r="I6275" t="s">
        <v>61</v>
      </c>
    </row>
    <row r="6276" spans="1:9" x14ac:dyDescent="0.25">
      <c r="A6276">
        <v>20140206</v>
      </c>
      <c r="B6276" t="str">
        <f>"114072"</f>
        <v>114072</v>
      </c>
      <c r="C6276" t="str">
        <f>"00109"</f>
        <v>00109</v>
      </c>
      <c r="D6276" t="s">
        <v>3256</v>
      </c>
      <c r="E6276">
        <v>450</v>
      </c>
      <c r="F6276">
        <v>20140204</v>
      </c>
      <c r="G6276" t="s">
        <v>347</v>
      </c>
      <c r="H6276" t="s">
        <v>361</v>
      </c>
      <c r="I6276" t="s">
        <v>61</v>
      </c>
    </row>
    <row r="6277" spans="1:9" x14ac:dyDescent="0.25">
      <c r="A6277">
        <v>20140206</v>
      </c>
      <c r="B6277" t="str">
        <f>"114073"</f>
        <v>114073</v>
      </c>
      <c r="C6277" t="str">
        <f>"84982"</f>
        <v>84982</v>
      </c>
      <c r="D6277" t="s">
        <v>1951</v>
      </c>
      <c r="E6277">
        <v>47.07</v>
      </c>
      <c r="F6277">
        <v>20140205</v>
      </c>
      <c r="G6277" t="s">
        <v>1017</v>
      </c>
      <c r="H6277" t="s">
        <v>354</v>
      </c>
      <c r="I6277" t="s">
        <v>63</v>
      </c>
    </row>
    <row r="6278" spans="1:9" x14ac:dyDescent="0.25">
      <c r="A6278">
        <v>20140206</v>
      </c>
      <c r="B6278" t="str">
        <f>"114074"</f>
        <v>114074</v>
      </c>
      <c r="C6278" t="str">
        <f t="shared" ref="C6278:C6287" si="401">"85780"</f>
        <v>85780</v>
      </c>
      <c r="D6278" t="s">
        <v>402</v>
      </c>
      <c r="E6278">
        <v>270</v>
      </c>
      <c r="F6278">
        <v>20140205</v>
      </c>
      <c r="G6278" t="s">
        <v>356</v>
      </c>
      <c r="H6278" t="s">
        <v>357</v>
      </c>
      <c r="I6278" t="s">
        <v>61</v>
      </c>
    </row>
    <row r="6279" spans="1:9" x14ac:dyDescent="0.25">
      <c r="A6279">
        <v>20140206</v>
      </c>
      <c r="B6279" t="str">
        <f>"114075"</f>
        <v>114075</v>
      </c>
      <c r="C6279" t="str">
        <f t="shared" si="401"/>
        <v>85780</v>
      </c>
      <c r="D6279" t="s">
        <v>402</v>
      </c>
      <c r="E6279">
        <v>270</v>
      </c>
      <c r="F6279">
        <v>20140205</v>
      </c>
      <c r="G6279" t="s">
        <v>356</v>
      </c>
      <c r="H6279" t="s">
        <v>357</v>
      </c>
      <c r="I6279" t="s">
        <v>61</v>
      </c>
    </row>
    <row r="6280" spans="1:9" x14ac:dyDescent="0.25">
      <c r="A6280">
        <v>20140206</v>
      </c>
      <c r="B6280" t="str">
        <f>"114076"</f>
        <v>114076</v>
      </c>
      <c r="C6280" t="str">
        <f t="shared" si="401"/>
        <v>85780</v>
      </c>
      <c r="D6280" t="s">
        <v>402</v>
      </c>
      <c r="E6280">
        <v>255</v>
      </c>
      <c r="F6280">
        <v>20140203</v>
      </c>
      <c r="G6280" t="s">
        <v>356</v>
      </c>
      <c r="H6280" t="s">
        <v>357</v>
      </c>
      <c r="I6280" t="s">
        <v>61</v>
      </c>
    </row>
    <row r="6281" spans="1:9" x14ac:dyDescent="0.25">
      <c r="A6281">
        <v>20140206</v>
      </c>
      <c r="B6281" t="str">
        <f>"114077"</f>
        <v>114077</v>
      </c>
      <c r="C6281" t="str">
        <f t="shared" si="401"/>
        <v>85780</v>
      </c>
      <c r="D6281" t="s">
        <v>402</v>
      </c>
      <c r="E6281">
        <v>255</v>
      </c>
      <c r="F6281">
        <v>20140203</v>
      </c>
      <c r="G6281" t="s">
        <v>356</v>
      </c>
      <c r="H6281" t="s">
        <v>357</v>
      </c>
      <c r="I6281" t="s">
        <v>61</v>
      </c>
    </row>
    <row r="6282" spans="1:9" x14ac:dyDescent="0.25">
      <c r="A6282">
        <v>20140206</v>
      </c>
      <c r="B6282" t="str">
        <f>"114078"</f>
        <v>114078</v>
      </c>
      <c r="C6282" t="str">
        <f t="shared" si="401"/>
        <v>85780</v>
      </c>
      <c r="D6282" t="s">
        <v>402</v>
      </c>
      <c r="E6282">
        <v>255</v>
      </c>
      <c r="F6282">
        <v>20140203</v>
      </c>
      <c r="G6282" t="s">
        <v>356</v>
      </c>
      <c r="H6282" t="s">
        <v>357</v>
      </c>
      <c r="I6282" t="s">
        <v>61</v>
      </c>
    </row>
    <row r="6283" spans="1:9" x14ac:dyDescent="0.25">
      <c r="A6283">
        <v>20140206</v>
      </c>
      <c r="B6283" t="str">
        <f>"114079"</f>
        <v>114079</v>
      </c>
      <c r="C6283" t="str">
        <f t="shared" si="401"/>
        <v>85780</v>
      </c>
      <c r="D6283" t="s">
        <v>402</v>
      </c>
      <c r="E6283">
        <v>255</v>
      </c>
      <c r="F6283">
        <v>20140203</v>
      </c>
      <c r="G6283" t="s">
        <v>356</v>
      </c>
      <c r="H6283" t="s">
        <v>357</v>
      </c>
      <c r="I6283" t="s">
        <v>61</v>
      </c>
    </row>
    <row r="6284" spans="1:9" x14ac:dyDescent="0.25">
      <c r="A6284">
        <v>20140206</v>
      </c>
      <c r="B6284" t="str">
        <f>"114079"</f>
        <v>114079</v>
      </c>
      <c r="C6284" t="str">
        <f t="shared" si="401"/>
        <v>85780</v>
      </c>
      <c r="D6284" t="s">
        <v>402</v>
      </c>
      <c r="E6284">
        <v>-255</v>
      </c>
      <c r="F6284">
        <v>20140320</v>
      </c>
      <c r="G6284" t="s">
        <v>356</v>
      </c>
      <c r="H6284" t="s">
        <v>3257</v>
      </c>
      <c r="I6284" t="s">
        <v>61</v>
      </c>
    </row>
    <row r="6285" spans="1:9" x14ac:dyDescent="0.25">
      <c r="A6285">
        <v>20140206</v>
      </c>
      <c r="B6285" t="str">
        <f>"114080"</f>
        <v>114080</v>
      </c>
      <c r="C6285" t="str">
        <f t="shared" si="401"/>
        <v>85780</v>
      </c>
      <c r="D6285" t="s">
        <v>402</v>
      </c>
      <c r="E6285">
        <v>255</v>
      </c>
      <c r="F6285">
        <v>20140203</v>
      </c>
      <c r="G6285" t="s">
        <v>356</v>
      </c>
      <c r="H6285" t="s">
        <v>357</v>
      </c>
      <c r="I6285" t="s">
        <v>61</v>
      </c>
    </row>
    <row r="6286" spans="1:9" x14ac:dyDescent="0.25">
      <c r="A6286">
        <v>20140206</v>
      </c>
      <c r="B6286" t="str">
        <f>"114081"</f>
        <v>114081</v>
      </c>
      <c r="C6286" t="str">
        <f t="shared" si="401"/>
        <v>85780</v>
      </c>
      <c r="D6286" t="s">
        <v>402</v>
      </c>
      <c r="E6286">
        <v>120</v>
      </c>
      <c r="F6286">
        <v>20140203</v>
      </c>
      <c r="G6286" t="s">
        <v>356</v>
      </c>
      <c r="H6286" t="s">
        <v>357</v>
      </c>
      <c r="I6286" t="s">
        <v>61</v>
      </c>
    </row>
    <row r="6287" spans="1:9" x14ac:dyDescent="0.25">
      <c r="A6287">
        <v>20140206</v>
      </c>
      <c r="B6287" t="str">
        <f>"114081"</f>
        <v>114081</v>
      </c>
      <c r="C6287" t="str">
        <f t="shared" si="401"/>
        <v>85780</v>
      </c>
      <c r="D6287" t="s">
        <v>402</v>
      </c>
      <c r="E6287">
        <v>-120</v>
      </c>
      <c r="F6287">
        <v>20140424</v>
      </c>
      <c r="G6287" t="s">
        <v>356</v>
      </c>
      <c r="H6287" t="s">
        <v>1965</v>
      </c>
      <c r="I6287" t="s">
        <v>61</v>
      </c>
    </row>
    <row r="6288" spans="1:9" x14ac:dyDescent="0.25">
      <c r="A6288">
        <v>20140206</v>
      </c>
      <c r="B6288" t="str">
        <f>"114082"</f>
        <v>114082</v>
      </c>
      <c r="C6288" t="str">
        <f>"87724"</f>
        <v>87724</v>
      </c>
      <c r="D6288" t="s">
        <v>3258</v>
      </c>
      <c r="E6288">
        <v>31.81</v>
      </c>
      <c r="F6288">
        <v>20140203</v>
      </c>
      <c r="G6288" t="s">
        <v>1033</v>
      </c>
      <c r="H6288" t="s">
        <v>365</v>
      </c>
      <c r="I6288" t="s">
        <v>21</v>
      </c>
    </row>
    <row r="6289" spans="1:9" x14ac:dyDescent="0.25">
      <c r="A6289">
        <v>20140206</v>
      </c>
      <c r="B6289" t="str">
        <f t="shared" ref="B6289:B6301" si="402">"114083"</f>
        <v>114083</v>
      </c>
      <c r="C6289" t="str">
        <f t="shared" ref="C6289:C6301" si="403">"80825"</f>
        <v>80825</v>
      </c>
      <c r="D6289" t="s">
        <v>747</v>
      </c>
      <c r="E6289">
        <v>139.19</v>
      </c>
      <c r="F6289">
        <v>20140203</v>
      </c>
      <c r="G6289" t="s">
        <v>989</v>
      </c>
      <c r="H6289" t="s">
        <v>749</v>
      </c>
      <c r="I6289" t="s">
        <v>61</v>
      </c>
    </row>
    <row r="6290" spans="1:9" x14ac:dyDescent="0.25">
      <c r="A6290">
        <v>20140206</v>
      </c>
      <c r="B6290" t="str">
        <f t="shared" si="402"/>
        <v>114083</v>
      </c>
      <c r="C6290" t="str">
        <f t="shared" si="403"/>
        <v>80825</v>
      </c>
      <c r="D6290" t="s">
        <v>747</v>
      </c>
      <c r="E6290">
        <v>139.19</v>
      </c>
      <c r="F6290">
        <v>20140203</v>
      </c>
      <c r="G6290" t="s">
        <v>989</v>
      </c>
      <c r="H6290" t="s">
        <v>749</v>
      </c>
      <c r="I6290" t="s">
        <v>61</v>
      </c>
    </row>
    <row r="6291" spans="1:9" x14ac:dyDescent="0.25">
      <c r="A6291">
        <v>20140206</v>
      </c>
      <c r="B6291" t="str">
        <f t="shared" si="402"/>
        <v>114083</v>
      </c>
      <c r="C6291" t="str">
        <f t="shared" si="403"/>
        <v>80825</v>
      </c>
      <c r="D6291" t="s">
        <v>747</v>
      </c>
      <c r="E6291" s="1">
        <v>2093.38</v>
      </c>
      <c r="F6291">
        <v>20140203</v>
      </c>
      <c r="G6291" t="s">
        <v>748</v>
      </c>
      <c r="H6291" t="s">
        <v>749</v>
      </c>
      <c r="I6291" t="s">
        <v>21</v>
      </c>
    </row>
    <row r="6292" spans="1:9" x14ac:dyDescent="0.25">
      <c r="A6292">
        <v>20140206</v>
      </c>
      <c r="B6292" t="str">
        <f t="shared" si="402"/>
        <v>114083</v>
      </c>
      <c r="C6292" t="str">
        <f t="shared" si="403"/>
        <v>80825</v>
      </c>
      <c r="D6292" t="s">
        <v>747</v>
      </c>
      <c r="E6292">
        <v>196.46</v>
      </c>
      <c r="F6292">
        <v>20140203</v>
      </c>
      <c r="G6292" t="s">
        <v>1551</v>
      </c>
      <c r="H6292" t="s">
        <v>749</v>
      </c>
      <c r="I6292" t="s">
        <v>21</v>
      </c>
    </row>
    <row r="6293" spans="1:9" x14ac:dyDescent="0.25">
      <c r="A6293">
        <v>20140206</v>
      </c>
      <c r="B6293" t="str">
        <f t="shared" si="402"/>
        <v>114083</v>
      </c>
      <c r="C6293" t="str">
        <f t="shared" si="403"/>
        <v>80825</v>
      </c>
      <c r="D6293" t="s">
        <v>747</v>
      </c>
      <c r="E6293">
        <v>670.6</v>
      </c>
      <c r="F6293">
        <v>20140203</v>
      </c>
      <c r="G6293" t="s">
        <v>750</v>
      </c>
      <c r="H6293" t="s">
        <v>749</v>
      </c>
      <c r="I6293" t="s">
        <v>21</v>
      </c>
    </row>
    <row r="6294" spans="1:9" x14ac:dyDescent="0.25">
      <c r="A6294">
        <v>20140206</v>
      </c>
      <c r="B6294" t="str">
        <f t="shared" si="402"/>
        <v>114083</v>
      </c>
      <c r="C6294" t="str">
        <f t="shared" si="403"/>
        <v>80825</v>
      </c>
      <c r="D6294" t="s">
        <v>747</v>
      </c>
      <c r="E6294">
        <v>670.6</v>
      </c>
      <c r="F6294">
        <v>20140205</v>
      </c>
      <c r="G6294" t="s">
        <v>750</v>
      </c>
      <c r="H6294" t="s">
        <v>749</v>
      </c>
      <c r="I6294" t="s">
        <v>21</v>
      </c>
    </row>
    <row r="6295" spans="1:9" x14ac:dyDescent="0.25">
      <c r="A6295">
        <v>20140206</v>
      </c>
      <c r="B6295" t="str">
        <f t="shared" si="402"/>
        <v>114083</v>
      </c>
      <c r="C6295" t="str">
        <f t="shared" si="403"/>
        <v>80825</v>
      </c>
      <c r="D6295" t="s">
        <v>747</v>
      </c>
      <c r="E6295">
        <v>670.6</v>
      </c>
      <c r="F6295">
        <v>20140203</v>
      </c>
      <c r="G6295" t="s">
        <v>752</v>
      </c>
      <c r="H6295" t="s">
        <v>749</v>
      </c>
      <c r="I6295" t="s">
        <v>21</v>
      </c>
    </row>
    <row r="6296" spans="1:9" x14ac:dyDescent="0.25">
      <c r="A6296">
        <v>20140206</v>
      </c>
      <c r="B6296" t="str">
        <f t="shared" si="402"/>
        <v>114083</v>
      </c>
      <c r="C6296" t="str">
        <f t="shared" si="403"/>
        <v>80825</v>
      </c>
      <c r="D6296" t="s">
        <v>747</v>
      </c>
      <c r="E6296">
        <v>582.95000000000005</v>
      </c>
      <c r="F6296">
        <v>20140203</v>
      </c>
      <c r="G6296" t="s">
        <v>754</v>
      </c>
      <c r="H6296" t="s">
        <v>749</v>
      </c>
      <c r="I6296" t="s">
        <v>21</v>
      </c>
    </row>
    <row r="6297" spans="1:9" x14ac:dyDescent="0.25">
      <c r="A6297">
        <v>20140206</v>
      </c>
      <c r="B6297" t="str">
        <f t="shared" si="402"/>
        <v>114083</v>
      </c>
      <c r="C6297" t="str">
        <f t="shared" si="403"/>
        <v>80825</v>
      </c>
      <c r="D6297" t="s">
        <v>747</v>
      </c>
      <c r="E6297">
        <v>582.95000000000005</v>
      </c>
      <c r="F6297">
        <v>20140203</v>
      </c>
      <c r="G6297" t="s">
        <v>754</v>
      </c>
      <c r="H6297" t="s">
        <v>749</v>
      </c>
      <c r="I6297" t="s">
        <v>21</v>
      </c>
    </row>
    <row r="6298" spans="1:9" x14ac:dyDescent="0.25">
      <c r="A6298">
        <v>20140206</v>
      </c>
      <c r="B6298" t="str">
        <f t="shared" si="402"/>
        <v>114083</v>
      </c>
      <c r="C6298" t="str">
        <f t="shared" si="403"/>
        <v>80825</v>
      </c>
      <c r="D6298" t="s">
        <v>747</v>
      </c>
      <c r="E6298">
        <v>582.95000000000005</v>
      </c>
      <c r="F6298">
        <v>20140203</v>
      </c>
      <c r="G6298" t="s">
        <v>754</v>
      </c>
      <c r="H6298" t="s">
        <v>749</v>
      </c>
      <c r="I6298" t="s">
        <v>21</v>
      </c>
    </row>
    <row r="6299" spans="1:9" x14ac:dyDescent="0.25">
      <c r="A6299">
        <v>20140206</v>
      </c>
      <c r="B6299" t="str">
        <f t="shared" si="402"/>
        <v>114083</v>
      </c>
      <c r="C6299" t="str">
        <f t="shared" si="403"/>
        <v>80825</v>
      </c>
      <c r="D6299" t="s">
        <v>747</v>
      </c>
      <c r="E6299">
        <v>582.95000000000005</v>
      </c>
      <c r="F6299">
        <v>20140203</v>
      </c>
      <c r="G6299" t="s">
        <v>990</v>
      </c>
      <c r="H6299" t="s">
        <v>749</v>
      </c>
      <c r="I6299" t="s">
        <v>21</v>
      </c>
    </row>
    <row r="6300" spans="1:9" x14ac:dyDescent="0.25">
      <c r="A6300">
        <v>20140206</v>
      </c>
      <c r="B6300" t="str">
        <f t="shared" si="402"/>
        <v>114083</v>
      </c>
      <c r="C6300" t="str">
        <f t="shared" si="403"/>
        <v>80825</v>
      </c>
      <c r="D6300" t="s">
        <v>747</v>
      </c>
      <c r="E6300">
        <v>582.95000000000005</v>
      </c>
      <c r="F6300">
        <v>20140203</v>
      </c>
      <c r="G6300" t="s">
        <v>755</v>
      </c>
      <c r="H6300" t="s">
        <v>749</v>
      </c>
      <c r="I6300" t="s">
        <v>21</v>
      </c>
    </row>
    <row r="6301" spans="1:9" x14ac:dyDescent="0.25">
      <c r="A6301">
        <v>20140206</v>
      </c>
      <c r="B6301" t="str">
        <f t="shared" si="402"/>
        <v>114083</v>
      </c>
      <c r="C6301" t="str">
        <f t="shared" si="403"/>
        <v>80825</v>
      </c>
      <c r="D6301" t="s">
        <v>747</v>
      </c>
      <c r="E6301">
        <v>582.95000000000005</v>
      </c>
      <c r="F6301">
        <v>20140203</v>
      </c>
      <c r="G6301" t="s">
        <v>756</v>
      </c>
      <c r="H6301" t="s">
        <v>749</v>
      </c>
      <c r="I6301" t="s">
        <v>21</v>
      </c>
    </row>
    <row r="6302" spans="1:9" x14ac:dyDescent="0.25">
      <c r="A6302">
        <v>20140206</v>
      </c>
      <c r="B6302" t="str">
        <f>"114084"</f>
        <v>114084</v>
      </c>
      <c r="C6302" t="str">
        <f>"80874"</f>
        <v>80874</v>
      </c>
      <c r="D6302" t="s">
        <v>1956</v>
      </c>
      <c r="E6302">
        <v>5.84</v>
      </c>
      <c r="F6302">
        <v>20140203</v>
      </c>
      <c r="G6302" t="s">
        <v>39</v>
      </c>
      <c r="H6302" t="s">
        <v>354</v>
      </c>
      <c r="I6302" t="s">
        <v>38</v>
      </c>
    </row>
    <row r="6303" spans="1:9" x14ac:dyDescent="0.25">
      <c r="A6303">
        <v>20140207</v>
      </c>
      <c r="B6303" t="str">
        <f>"114085"</f>
        <v>114085</v>
      </c>
      <c r="C6303" t="str">
        <f>"87466"</f>
        <v>87466</v>
      </c>
      <c r="D6303" t="s">
        <v>468</v>
      </c>
      <c r="E6303">
        <v>355</v>
      </c>
      <c r="F6303">
        <v>20140206</v>
      </c>
      <c r="G6303" t="s">
        <v>469</v>
      </c>
      <c r="H6303" t="s">
        <v>501</v>
      </c>
      <c r="I6303" t="s">
        <v>21</v>
      </c>
    </row>
    <row r="6304" spans="1:9" x14ac:dyDescent="0.25">
      <c r="A6304">
        <v>20140211</v>
      </c>
      <c r="B6304" t="str">
        <f>"114086"</f>
        <v>114086</v>
      </c>
      <c r="C6304" t="str">
        <f>"84578"</f>
        <v>84578</v>
      </c>
      <c r="D6304" t="s">
        <v>3259</v>
      </c>
      <c r="E6304">
        <v>198</v>
      </c>
      <c r="F6304">
        <v>20140210</v>
      </c>
      <c r="G6304" t="s">
        <v>2932</v>
      </c>
      <c r="H6304" t="s">
        <v>357</v>
      </c>
      <c r="I6304" t="s">
        <v>21</v>
      </c>
    </row>
    <row r="6305" spans="1:9" x14ac:dyDescent="0.25">
      <c r="A6305">
        <v>20140213</v>
      </c>
      <c r="B6305" t="str">
        <f>"114087"</f>
        <v>114087</v>
      </c>
      <c r="C6305" t="str">
        <f>"86997"</f>
        <v>86997</v>
      </c>
      <c r="D6305" t="s">
        <v>2098</v>
      </c>
      <c r="E6305">
        <v>509.12</v>
      </c>
      <c r="F6305">
        <v>20140206</v>
      </c>
      <c r="G6305" t="s">
        <v>392</v>
      </c>
      <c r="H6305" t="s">
        <v>414</v>
      </c>
      <c r="I6305" t="s">
        <v>21</v>
      </c>
    </row>
    <row r="6306" spans="1:9" x14ac:dyDescent="0.25">
      <c r="A6306">
        <v>20140213</v>
      </c>
      <c r="B6306" t="str">
        <f>"114087"</f>
        <v>114087</v>
      </c>
      <c r="C6306" t="str">
        <f>"86997"</f>
        <v>86997</v>
      </c>
      <c r="D6306" t="s">
        <v>2098</v>
      </c>
      <c r="E6306" s="1">
        <v>1070.81</v>
      </c>
      <c r="F6306">
        <v>20140206</v>
      </c>
      <c r="G6306" t="s">
        <v>392</v>
      </c>
      <c r="H6306" t="s">
        <v>414</v>
      </c>
      <c r="I6306" t="s">
        <v>21</v>
      </c>
    </row>
    <row r="6307" spans="1:9" x14ac:dyDescent="0.25">
      <c r="A6307">
        <v>20140213</v>
      </c>
      <c r="B6307" t="str">
        <f>"114088"</f>
        <v>114088</v>
      </c>
      <c r="C6307" t="str">
        <f>"00954"</f>
        <v>00954</v>
      </c>
      <c r="D6307" t="s">
        <v>445</v>
      </c>
      <c r="E6307">
        <v>180</v>
      </c>
      <c r="F6307">
        <v>20140212</v>
      </c>
      <c r="G6307" t="s">
        <v>837</v>
      </c>
      <c r="H6307" t="s">
        <v>3260</v>
      </c>
      <c r="I6307" t="s">
        <v>21</v>
      </c>
    </row>
    <row r="6308" spans="1:9" x14ac:dyDescent="0.25">
      <c r="A6308">
        <v>20140213</v>
      </c>
      <c r="B6308" t="str">
        <f>"114089"</f>
        <v>114089</v>
      </c>
      <c r="C6308" t="str">
        <f>"86739"</f>
        <v>86739</v>
      </c>
      <c r="D6308" t="s">
        <v>3261</v>
      </c>
      <c r="E6308">
        <v>120</v>
      </c>
      <c r="F6308">
        <v>20140211</v>
      </c>
      <c r="G6308" t="s">
        <v>2324</v>
      </c>
      <c r="H6308" t="s">
        <v>765</v>
      </c>
      <c r="I6308" t="s">
        <v>61</v>
      </c>
    </row>
    <row r="6309" spans="1:9" x14ac:dyDescent="0.25">
      <c r="A6309">
        <v>20140213</v>
      </c>
      <c r="B6309" t="str">
        <f>"114090"</f>
        <v>114090</v>
      </c>
      <c r="C6309" t="str">
        <f>"86517"</f>
        <v>86517</v>
      </c>
      <c r="D6309" t="s">
        <v>2101</v>
      </c>
      <c r="E6309" s="1">
        <v>3031.75</v>
      </c>
      <c r="F6309">
        <v>20140211</v>
      </c>
      <c r="G6309" t="s">
        <v>404</v>
      </c>
      <c r="H6309" t="s">
        <v>2102</v>
      </c>
      <c r="I6309" t="s">
        <v>12</v>
      </c>
    </row>
    <row r="6310" spans="1:9" x14ac:dyDescent="0.25">
      <c r="A6310">
        <v>20140213</v>
      </c>
      <c r="B6310" t="str">
        <f>"114091"</f>
        <v>114091</v>
      </c>
      <c r="C6310" t="str">
        <f>"01890"</f>
        <v>01890</v>
      </c>
      <c r="D6310" t="s">
        <v>447</v>
      </c>
      <c r="E6310">
        <v>343.5</v>
      </c>
      <c r="F6310">
        <v>20140206</v>
      </c>
      <c r="G6310" t="s">
        <v>1338</v>
      </c>
      <c r="H6310" t="s">
        <v>414</v>
      </c>
      <c r="I6310" t="s">
        <v>21</v>
      </c>
    </row>
    <row r="6311" spans="1:9" x14ac:dyDescent="0.25">
      <c r="A6311">
        <v>20140213</v>
      </c>
      <c r="B6311" t="str">
        <f>"114091"</f>
        <v>114091</v>
      </c>
      <c r="C6311" t="str">
        <f>"01890"</f>
        <v>01890</v>
      </c>
      <c r="D6311" t="s">
        <v>447</v>
      </c>
      <c r="E6311">
        <v>20.89</v>
      </c>
      <c r="F6311">
        <v>20140206</v>
      </c>
      <c r="G6311" t="s">
        <v>1338</v>
      </c>
      <c r="H6311" t="s">
        <v>414</v>
      </c>
      <c r="I6311" t="s">
        <v>21</v>
      </c>
    </row>
    <row r="6312" spans="1:9" x14ac:dyDescent="0.25">
      <c r="A6312">
        <v>20140213</v>
      </c>
      <c r="B6312" t="str">
        <f>"114091"</f>
        <v>114091</v>
      </c>
      <c r="C6312" t="str">
        <f>"01890"</f>
        <v>01890</v>
      </c>
      <c r="D6312" t="s">
        <v>447</v>
      </c>
      <c r="E6312">
        <v>249.39</v>
      </c>
      <c r="F6312">
        <v>20140206</v>
      </c>
      <c r="G6312" t="s">
        <v>448</v>
      </c>
      <c r="H6312" t="s">
        <v>414</v>
      </c>
      <c r="I6312" t="s">
        <v>21</v>
      </c>
    </row>
    <row r="6313" spans="1:9" x14ac:dyDescent="0.25">
      <c r="A6313">
        <v>20140213</v>
      </c>
      <c r="B6313" t="str">
        <f>"114091"</f>
        <v>114091</v>
      </c>
      <c r="C6313" t="str">
        <f>"01890"</f>
        <v>01890</v>
      </c>
      <c r="D6313" t="s">
        <v>447</v>
      </c>
      <c r="E6313">
        <v>151.21</v>
      </c>
      <c r="F6313">
        <v>20140206</v>
      </c>
      <c r="G6313" t="s">
        <v>496</v>
      </c>
      <c r="H6313" t="s">
        <v>414</v>
      </c>
      <c r="I6313" t="s">
        <v>21</v>
      </c>
    </row>
    <row r="6314" spans="1:9" x14ac:dyDescent="0.25">
      <c r="A6314">
        <v>20140213</v>
      </c>
      <c r="B6314" t="str">
        <f>"114091"</f>
        <v>114091</v>
      </c>
      <c r="C6314" t="str">
        <f>"01890"</f>
        <v>01890</v>
      </c>
      <c r="D6314" t="s">
        <v>447</v>
      </c>
      <c r="E6314">
        <v>340.78</v>
      </c>
      <c r="F6314">
        <v>20140206</v>
      </c>
      <c r="G6314" t="s">
        <v>392</v>
      </c>
      <c r="H6314" t="s">
        <v>414</v>
      </c>
      <c r="I6314" t="s">
        <v>21</v>
      </c>
    </row>
    <row r="6315" spans="1:9" x14ac:dyDescent="0.25">
      <c r="A6315">
        <v>20140213</v>
      </c>
      <c r="B6315" t="str">
        <f>"114092"</f>
        <v>114092</v>
      </c>
      <c r="C6315" t="str">
        <f>"86889"</f>
        <v>86889</v>
      </c>
      <c r="D6315" t="s">
        <v>449</v>
      </c>
      <c r="E6315">
        <v>392.5</v>
      </c>
      <c r="F6315">
        <v>20140206</v>
      </c>
      <c r="G6315" t="s">
        <v>511</v>
      </c>
      <c r="H6315" t="s">
        <v>3262</v>
      </c>
      <c r="I6315" t="s">
        <v>21</v>
      </c>
    </row>
    <row r="6316" spans="1:9" x14ac:dyDescent="0.25">
      <c r="A6316">
        <v>20140213</v>
      </c>
      <c r="B6316" t="str">
        <f>"114092"</f>
        <v>114092</v>
      </c>
      <c r="C6316" t="str">
        <f>"86889"</f>
        <v>86889</v>
      </c>
      <c r="D6316" t="s">
        <v>449</v>
      </c>
      <c r="E6316">
        <v>117.5</v>
      </c>
      <c r="F6316">
        <v>20140211</v>
      </c>
      <c r="G6316" t="s">
        <v>511</v>
      </c>
      <c r="H6316" t="s">
        <v>3263</v>
      </c>
      <c r="I6316" t="s">
        <v>21</v>
      </c>
    </row>
    <row r="6317" spans="1:9" x14ac:dyDescent="0.25">
      <c r="A6317">
        <v>20140213</v>
      </c>
      <c r="B6317" t="str">
        <f>"114092"</f>
        <v>114092</v>
      </c>
      <c r="C6317" t="str">
        <f>"86889"</f>
        <v>86889</v>
      </c>
      <c r="D6317" t="s">
        <v>449</v>
      </c>
      <c r="E6317">
        <v>275</v>
      </c>
      <c r="F6317">
        <v>20140206</v>
      </c>
      <c r="G6317" t="s">
        <v>624</v>
      </c>
      <c r="H6317" t="s">
        <v>3262</v>
      </c>
      <c r="I6317" t="s">
        <v>21</v>
      </c>
    </row>
    <row r="6318" spans="1:9" x14ac:dyDescent="0.25">
      <c r="A6318">
        <v>20140213</v>
      </c>
      <c r="B6318" t="str">
        <f>"114092"</f>
        <v>114092</v>
      </c>
      <c r="C6318" t="str">
        <f>"86889"</f>
        <v>86889</v>
      </c>
      <c r="D6318" t="s">
        <v>449</v>
      </c>
      <c r="E6318">
        <v>819.94</v>
      </c>
      <c r="F6318">
        <v>20140210</v>
      </c>
      <c r="G6318" t="s">
        <v>624</v>
      </c>
      <c r="H6318" t="s">
        <v>3262</v>
      </c>
      <c r="I6318" t="s">
        <v>21</v>
      </c>
    </row>
    <row r="6319" spans="1:9" x14ac:dyDescent="0.25">
      <c r="A6319">
        <v>20140213</v>
      </c>
      <c r="B6319" t="str">
        <f>"114093"</f>
        <v>114093</v>
      </c>
      <c r="C6319" t="str">
        <f>"84595"</f>
        <v>84595</v>
      </c>
      <c r="D6319" t="s">
        <v>3264</v>
      </c>
      <c r="E6319">
        <v>98.9</v>
      </c>
      <c r="F6319">
        <v>20140211</v>
      </c>
      <c r="G6319" t="s">
        <v>3099</v>
      </c>
      <c r="H6319" t="s">
        <v>765</v>
      </c>
      <c r="I6319" t="s">
        <v>61</v>
      </c>
    </row>
    <row r="6320" spans="1:9" x14ac:dyDescent="0.25">
      <c r="A6320">
        <v>20140213</v>
      </c>
      <c r="B6320" t="str">
        <f>"114094"</f>
        <v>114094</v>
      </c>
      <c r="C6320" t="str">
        <f>"84594"</f>
        <v>84594</v>
      </c>
      <c r="D6320" t="s">
        <v>3265</v>
      </c>
      <c r="E6320">
        <v>113.9</v>
      </c>
      <c r="F6320">
        <v>20140211</v>
      </c>
      <c r="G6320" t="s">
        <v>3099</v>
      </c>
      <c r="H6320" t="s">
        <v>765</v>
      </c>
      <c r="I6320" t="s">
        <v>61</v>
      </c>
    </row>
    <row r="6321" spans="1:9" x14ac:dyDescent="0.25">
      <c r="A6321">
        <v>20140213</v>
      </c>
      <c r="B6321" t="str">
        <f>"114095"</f>
        <v>114095</v>
      </c>
      <c r="C6321" t="str">
        <f>"87123"</f>
        <v>87123</v>
      </c>
      <c r="D6321" t="s">
        <v>2821</v>
      </c>
      <c r="E6321">
        <v>105</v>
      </c>
      <c r="F6321">
        <v>20140206</v>
      </c>
      <c r="G6321" t="s">
        <v>2324</v>
      </c>
      <c r="H6321" t="s">
        <v>765</v>
      </c>
      <c r="I6321" t="s">
        <v>61</v>
      </c>
    </row>
    <row r="6322" spans="1:9" x14ac:dyDescent="0.25">
      <c r="A6322">
        <v>20140213</v>
      </c>
      <c r="B6322" t="str">
        <f t="shared" ref="B6322:B6335" si="404">"114096"</f>
        <v>114096</v>
      </c>
      <c r="C6322" t="str">
        <f t="shared" ref="C6322:C6335" si="405">"52460"</f>
        <v>52460</v>
      </c>
      <c r="D6322" t="s">
        <v>452</v>
      </c>
      <c r="E6322">
        <v>418.19</v>
      </c>
      <c r="F6322">
        <v>20140207</v>
      </c>
      <c r="G6322" t="s">
        <v>453</v>
      </c>
      <c r="H6322" t="s">
        <v>454</v>
      </c>
      <c r="I6322" t="s">
        <v>21</v>
      </c>
    </row>
    <row r="6323" spans="1:9" x14ac:dyDescent="0.25">
      <c r="A6323">
        <v>20140213</v>
      </c>
      <c r="B6323" t="str">
        <f t="shared" si="404"/>
        <v>114096</v>
      </c>
      <c r="C6323" t="str">
        <f t="shared" si="405"/>
        <v>52460</v>
      </c>
      <c r="D6323" t="s">
        <v>452</v>
      </c>
      <c r="E6323" s="1">
        <v>2327.75</v>
      </c>
      <c r="F6323">
        <v>20140207</v>
      </c>
      <c r="G6323" t="s">
        <v>455</v>
      </c>
      <c r="H6323" t="s">
        <v>454</v>
      </c>
      <c r="I6323" t="s">
        <v>21</v>
      </c>
    </row>
    <row r="6324" spans="1:9" x14ac:dyDescent="0.25">
      <c r="A6324">
        <v>20140213</v>
      </c>
      <c r="B6324" t="str">
        <f t="shared" si="404"/>
        <v>114096</v>
      </c>
      <c r="C6324" t="str">
        <f t="shared" si="405"/>
        <v>52460</v>
      </c>
      <c r="D6324" t="s">
        <v>452</v>
      </c>
      <c r="E6324" s="1">
        <v>1149.4000000000001</v>
      </c>
      <c r="F6324">
        <v>20140207</v>
      </c>
      <c r="G6324" t="s">
        <v>456</v>
      </c>
      <c r="H6324" t="s">
        <v>454</v>
      </c>
      <c r="I6324" t="s">
        <v>21</v>
      </c>
    </row>
    <row r="6325" spans="1:9" x14ac:dyDescent="0.25">
      <c r="A6325">
        <v>20140213</v>
      </c>
      <c r="B6325" t="str">
        <f t="shared" si="404"/>
        <v>114096</v>
      </c>
      <c r="C6325" t="str">
        <f t="shared" si="405"/>
        <v>52460</v>
      </c>
      <c r="D6325" t="s">
        <v>452</v>
      </c>
      <c r="E6325" s="1">
        <v>1046.8399999999999</v>
      </c>
      <c r="F6325">
        <v>20140207</v>
      </c>
      <c r="G6325" t="s">
        <v>457</v>
      </c>
      <c r="H6325" t="s">
        <v>454</v>
      </c>
      <c r="I6325" t="s">
        <v>21</v>
      </c>
    </row>
    <row r="6326" spans="1:9" x14ac:dyDescent="0.25">
      <c r="A6326">
        <v>20140213</v>
      </c>
      <c r="B6326" t="str">
        <f t="shared" si="404"/>
        <v>114096</v>
      </c>
      <c r="C6326" t="str">
        <f t="shared" si="405"/>
        <v>52460</v>
      </c>
      <c r="D6326" t="s">
        <v>452</v>
      </c>
      <c r="E6326">
        <v>917.97</v>
      </c>
      <c r="F6326">
        <v>20140207</v>
      </c>
      <c r="G6326" t="s">
        <v>458</v>
      </c>
      <c r="H6326" t="s">
        <v>454</v>
      </c>
      <c r="I6326" t="s">
        <v>21</v>
      </c>
    </row>
    <row r="6327" spans="1:9" x14ac:dyDescent="0.25">
      <c r="A6327">
        <v>20140213</v>
      </c>
      <c r="B6327" t="str">
        <f t="shared" si="404"/>
        <v>114096</v>
      </c>
      <c r="C6327" t="str">
        <f t="shared" si="405"/>
        <v>52460</v>
      </c>
      <c r="D6327" t="s">
        <v>452</v>
      </c>
      <c r="E6327" s="1">
        <v>1046.8399999999999</v>
      </c>
      <c r="F6327">
        <v>20140207</v>
      </c>
      <c r="G6327" t="s">
        <v>459</v>
      </c>
      <c r="H6327" t="s">
        <v>454</v>
      </c>
      <c r="I6327" t="s">
        <v>21</v>
      </c>
    </row>
    <row r="6328" spans="1:9" x14ac:dyDescent="0.25">
      <c r="A6328">
        <v>20140213</v>
      </c>
      <c r="B6328" t="str">
        <f t="shared" si="404"/>
        <v>114096</v>
      </c>
      <c r="C6328" t="str">
        <f t="shared" si="405"/>
        <v>52460</v>
      </c>
      <c r="D6328" t="s">
        <v>452</v>
      </c>
      <c r="E6328">
        <v>975.84</v>
      </c>
      <c r="F6328">
        <v>20140207</v>
      </c>
      <c r="G6328" t="s">
        <v>460</v>
      </c>
      <c r="H6328" t="s">
        <v>454</v>
      </c>
      <c r="I6328" t="s">
        <v>21</v>
      </c>
    </row>
    <row r="6329" spans="1:9" x14ac:dyDescent="0.25">
      <c r="A6329">
        <v>20140213</v>
      </c>
      <c r="B6329" t="str">
        <f t="shared" si="404"/>
        <v>114096</v>
      </c>
      <c r="C6329" t="str">
        <f t="shared" si="405"/>
        <v>52460</v>
      </c>
      <c r="D6329" t="s">
        <v>452</v>
      </c>
      <c r="E6329">
        <v>602.36</v>
      </c>
      <c r="F6329">
        <v>20140207</v>
      </c>
      <c r="G6329" t="s">
        <v>461</v>
      </c>
      <c r="H6329" t="s">
        <v>454</v>
      </c>
      <c r="I6329" t="s">
        <v>21</v>
      </c>
    </row>
    <row r="6330" spans="1:9" x14ac:dyDescent="0.25">
      <c r="A6330">
        <v>20140213</v>
      </c>
      <c r="B6330" t="str">
        <f t="shared" si="404"/>
        <v>114096</v>
      </c>
      <c r="C6330" t="str">
        <f t="shared" si="405"/>
        <v>52460</v>
      </c>
      <c r="D6330" t="s">
        <v>452</v>
      </c>
      <c r="E6330" s="1">
        <v>1046.8399999999999</v>
      </c>
      <c r="F6330">
        <v>20140207</v>
      </c>
      <c r="G6330" t="s">
        <v>462</v>
      </c>
      <c r="H6330" t="s">
        <v>454</v>
      </c>
      <c r="I6330" t="s">
        <v>21</v>
      </c>
    </row>
    <row r="6331" spans="1:9" x14ac:dyDescent="0.25">
      <c r="A6331">
        <v>20140213</v>
      </c>
      <c r="B6331" t="str">
        <f t="shared" si="404"/>
        <v>114096</v>
      </c>
      <c r="C6331" t="str">
        <f t="shared" si="405"/>
        <v>52460</v>
      </c>
      <c r="D6331" t="s">
        <v>452</v>
      </c>
      <c r="E6331">
        <v>276.18</v>
      </c>
      <c r="F6331">
        <v>20140207</v>
      </c>
      <c r="G6331" t="s">
        <v>463</v>
      </c>
      <c r="H6331" t="s">
        <v>454</v>
      </c>
      <c r="I6331" t="s">
        <v>21</v>
      </c>
    </row>
    <row r="6332" spans="1:9" x14ac:dyDescent="0.25">
      <c r="A6332">
        <v>20140213</v>
      </c>
      <c r="B6332" t="str">
        <f t="shared" si="404"/>
        <v>114096</v>
      </c>
      <c r="C6332" t="str">
        <f t="shared" si="405"/>
        <v>52460</v>
      </c>
      <c r="D6332" t="s">
        <v>452</v>
      </c>
      <c r="E6332">
        <v>418.19</v>
      </c>
      <c r="F6332">
        <v>20140207</v>
      </c>
      <c r="G6332" t="s">
        <v>464</v>
      </c>
      <c r="H6332" t="s">
        <v>454</v>
      </c>
      <c r="I6332" t="s">
        <v>21</v>
      </c>
    </row>
    <row r="6333" spans="1:9" x14ac:dyDescent="0.25">
      <c r="A6333">
        <v>20140213</v>
      </c>
      <c r="B6333" t="str">
        <f t="shared" si="404"/>
        <v>114096</v>
      </c>
      <c r="C6333" t="str">
        <f t="shared" si="405"/>
        <v>52460</v>
      </c>
      <c r="D6333" t="s">
        <v>452</v>
      </c>
      <c r="E6333">
        <v>465.55</v>
      </c>
      <c r="F6333">
        <v>20140207</v>
      </c>
      <c r="G6333" t="s">
        <v>465</v>
      </c>
      <c r="H6333" t="s">
        <v>454</v>
      </c>
      <c r="I6333" t="s">
        <v>21</v>
      </c>
    </row>
    <row r="6334" spans="1:9" x14ac:dyDescent="0.25">
      <c r="A6334">
        <v>20140213</v>
      </c>
      <c r="B6334" t="str">
        <f t="shared" si="404"/>
        <v>114096</v>
      </c>
      <c r="C6334" t="str">
        <f t="shared" si="405"/>
        <v>52460</v>
      </c>
      <c r="D6334" t="s">
        <v>452</v>
      </c>
      <c r="E6334">
        <v>701.7</v>
      </c>
      <c r="F6334">
        <v>20140207</v>
      </c>
      <c r="G6334" t="s">
        <v>466</v>
      </c>
      <c r="H6334" t="s">
        <v>454</v>
      </c>
      <c r="I6334" t="s">
        <v>21</v>
      </c>
    </row>
    <row r="6335" spans="1:9" x14ac:dyDescent="0.25">
      <c r="A6335">
        <v>20140213</v>
      </c>
      <c r="B6335" t="str">
        <f t="shared" si="404"/>
        <v>114096</v>
      </c>
      <c r="C6335" t="str">
        <f t="shared" si="405"/>
        <v>52460</v>
      </c>
      <c r="D6335" t="s">
        <v>452</v>
      </c>
      <c r="E6335">
        <v>276.18</v>
      </c>
      <c r="F6335">
        <v>20140207</v>
      </c>
      <c r="G6335" t="s">
        <v>467</v>
      </c>
      <c r="H6335" t="s">
        <v>454</v>
      </c>
      <c r="I6335" t="s">
        <v>21</v>
      </c>
    </row>
    <row r="6336" spans="1:9" x14ac:dyDescent="0.25">
      <c r="A6336">
        <v>20140213</v>
      </c>
      <c r="B6336" t="str">
        <f>"114097"</f>
        <v>114097</v>
      </c>
      <c r="C6336" t="str">
        <f>"00686"</f>
        <v>00686</v>
      </c>
      <c r="D6336" t="s">
        <v>3266</v>
      </c>
      <c r="E6336" s="1">
        <v>1540</v>
      </c>
      <c r="F6336">
        <v>20140211</v>
      </c>
      <c r="G6336" t="s">
        <v>2591</v>
      </c>
      <c r="H6336" t="s">
        <v>1360</v>
      </c>
      <c r="I6336" t="s">
        <v>21</v>
      </c>
    </row>
    <row r="6337" spans="1:9" x14ac:dyDescent="0.25">
      <c r="A6337">
        <v>20140213</v>
      </c>
      <c r="B6337" t="str">
        <f>"114097"</f>
        <v>114097</v>
      </c>
      <c r="C6337" t="str">
        <f>"00686"</f>
        <v>00686</v>
      </c>
      <c r="D6337" t="s">
        <v>3266</v>
      </c>
      <c r="E6337">
        <v>615</v>
      </c>
      <c r="F6337">
        <v>20140211</v>
      </c>
      <c r="G6337" t="s">
        <v>150</v>
      </c>
      <c r="H6337" t="s">
        <v>1360</v>
      </c>
      <c r="I6337" t="s">
        <v>25</v>
      </c>
    </row>
    <row r="6338" spans="1:9" x14ac:dyDescent="0.25">
      <c r="A6338">
        <v>20140213</v>
      </c>
      <c r="B6338" t="str">
        <f>"114098"</f>
        <v>114098</v>
      </c>
      <c r="C6338" t="str">
        <f>"87134"</f>
        <v>87134</v>
      </c>
      <c r="D6338" t="s">
        <v>2611</v>
      </c>
      <c r="E6338">
        <v>375</v>
      </c>
      <c r="F6338">
        <v>20140207</v>
      </c>
      <c r="G6338" t="s">
        <v>2612</v>
      </c>
      <c r="H6338" t="s">
        <v>3267</v>
      </c>
      <c r="I6338" t="s">
        <v>21</v>
      </c>
    </row>
    <row r="6339" spans="1:9" x14ac:dyDescent="0.25">
      <c r="A6339">
        <v>20140213</v>
      </c>
      <c r="B6339" t="str">
        <f>"114099"</f>
        <v>114099</v>
      </c>
      <c r="C6339" t="str">
        <f>"05800"</f>
        <v>05800</v>
      </c>
      <c r="D6339" t="s">
        <v>998</v>
      </c>
      <c r="E6339">
        <v>49</v>
      </c>
      <c r="F6339">
        <v>20140212</v>
      </c>
      <c r="G6339" t="s">
        <v>1554</v>
      </c>
      <c r="H6339" t="s">
        <v>3268</v>
      </c>
      <c r="I6339" t="s">
        <v>38</v>
      </c>
    </row>
    <row r="6340" spans="1:9" x14ac:dyDescent="0.25">
      <c r="A6340">
        <v>20140213</v>
      </c>
      <c r="B6340" t="str">
        <f t="shared" ref="B6340:B6351" si="406">"114100"</f>
        <v>114100</v>
      </c>
      <c r="C6340" t="str">
        <f t="shared" ref="C6340:C6351" si="407">"84047"</f>
        <v>84047</v>
      </c>
      <c r="D6340" t="s">
        <v>472</v>
      </c>
      <c r="E6340">
        <v>333.3</v>
      </c>
      <c r="F6340">
        <v>20140207</v>
      </c>
      <c r="G6340" t="s">
        <v>473</v>
      </c>
      <c r="H6340" t="s">
        <v>474</v>
      </c>
      <c r="I6340" t="s">
        <v>21</v>
      </c>
    </row>
    <row r="6341" spans="1:9" x14ac:dyDescent="0.25">
      <c r="A6341">
        <v>20140213</v>
      </c>
      <c r="B6341" t="str">
        <f t="shared" si="406"/>
        <v>114100</v>
      </c>
      <c r="C6341" t="str">
        <f t="shared" si="407"/>
        <v>84047</v>
      </c>
      <c r="D6341" t="s">
        <v>472</v>
      </c>
      <c r="E6341">
        <v>201.3</v>
      </c>
      <c r="F6341">
        <v>20140207</v>
      </c>
      <c r="G6341" t="s">
        <v>475</v>
      </c>
      <c r="H6341" t="s">
        <v>474</v>
      </c>
      <c r="I6341" t="s">
        <v>21</v>
      </c>
    </row>
    <row r="6342" spans="1:9" x14ac:dyDescent="0.25">
      <c r="A6342">
        <v>20140213</v>
      </c>
      <c r="B6342" t="str">
        <f t="shared" si="406"/>
        <v>114100</v>
      </c>
      <c r="C6342" t="str">
        <f t="shared" si="407"/>
        <v>84047</v>
      </c>
      <c r="D6342" t="s">
        <v>472</v>
      </c>
      <c r="E6342">
        <v>201.3</v>
      </c>
      <c r="F6342">
        <v>20140207</v>
      </c>
      <c r="G6342" t="s">
        <v>476</v>
      </c>
      <c r="H6342" t="s">
        <v>474</v>
      </c>
      <c r="I6342" t="s">
        <v>21</v>
      </c>
    </row>
    <row r="6343" spans="1:9" x14ac:dyDescent="0.25">
      <c r="A6343">
        <v>20140213</v>
      </c>
      <c r="B6343" t="str">
        <f t="shared" si="406"/>
        <v>114100</v>
      </c>
      <c r="C6343" t="str">
        <f t="shared" si="407"/>
        <v>84047</v>
      </c>
      <c r="D6343" t="s">
        <v>472</v>
      </c>
      <c r="E6343">
        <v>201.3</v>
      </c>
      <c r="F6343">
        <v>20140207</v>
      </c>
      <c r="G6343" t="s">
        <v>477</v>
      </c>
      <c r="H6343" t="s">
        <v>474</v>
      </c>
      <c r="I6343" t="s">
        <v>21</v>
      </c>
    </row>
    <row r="6344" spans="1:9" x14ac:dyDescent="0.25">
      <c r="A6344">
        <v>20140213</v>
      </c>
      <c r="B6344" t="str">
        <f t="shared" si="406"/>
        <v>114100</v>
      </c>
      <c r="C6344" t="str">
        <f t="shared" si="407"/>
        <v>84047</v>
      </c>
      <c r="D6344" t="s">
        <v>472</v>
      </c>
      <c r="E6344">
        <v>236.5</v>
      </c>
      <c r="F6344">
        <v>20140207</v>
      </c>
      <c r="G6344" t="s">
        <v>478</v>
      </c>
      <c r="H6344" t="s">
        <v>474</v>
      </c>
      <c r="I6344" t="s">
        <v>21</v>
      </c>
    </row>
    <row r="6345" spans="1:9" x14ac:dyDescent="0.25">
      <c r="A6345">
        <v>20140213</v>
      </c>
      <c r="B6345" t="str">
        <f t="shared" si="406"/>
        <v>114100</v>
      </c>
      <c r="C6345" t="str">
        <f t="shared" si="407"/>
        <v>84047</v>
      </c>
      <c r="D6345" t="s">
        <v>472</v>
      </c>
      <c r="E6345">
        <v>201.3</v>
      </c>
      <c r="F6345">
        <v>20140207</v>
      </c>
      <c r="G6345" t="s">
        <v>479</v>
      </c>
      <c r="H6345" t="s">
        <v>474</v>
      </c>
      <c r="I6345" t="s">
        <v>21</v>
      </c>
    </row>
    <row r="6346" spans="1:9" x14ac:dyDescent="0.25">
      <c r="A6346">
        <v>20140213</v>
      </c>
      <c r="B6346" t="str">
        <f t="shared" si="406"/>
        <v>114100</v>
      </c>
      <c r="C6346" t="str">
        <f t="shared" si="407"/>
        <v>84047</v>
      </c>
      <c r="D6346" t="s">
        <v>472</v>
      </c>
      <c r="E6346">
        <v>201.3</v>
      </c>
      <c r="F6346">
        <v>20140207</v>
      </c>
      <c r="G6346" t="s">
        <v>480</v>
      </c>
      <c r="H6346" t="s">
        <v>474</v>
      </c>
      <c r="I6346" t="s">
        <v>21</v>
      </c>
    </row>
    <row r="6347" spans="1:9" x14ac:dyDescent="0.25">
      <c r="A6347">
        <v>20140213</v>
      </c>
      <c r="B6347" t="str">
        <f t="shared" si="406"/>
        <v>114100</v>
      </c>
      <c r="C6347" t="str">
        <f t="shared" si="407"/>
        <v>84047</v>
      </c>
      <c r="D6347" t="s">
        <v>472</v>
      </c>
      <c r="E6347">
        <v>201.3</v>
      </c>
      <c r="F6347">
        <v>20140207</v>
      </c>
      <c r="G6347" t="s">
        <v>481</v>
      </c>
      <c r="H6347" t="s">
        <v>474</v>
      </c>
      <c r="I6347" t="s">
        <v>21</v>
      </c>
    </row>
    <row r="6348" spans="1:9" x14ac:dyDescent="0.25">
      <c r="A6348">
        <v>20140213</v>
      </c>
      <c r="B6348" t="str">
        <f t="shared" si="406"/>
        <v>114100</v>
      </c>
      <c r="C6348" t="str">
        <f t="shared" si="407"/>
        <v>84047</v>
      </c>
      <c r="D6348" t="s">
        <v>472</v>
      </c>
      <c r="E6348">
        <v>118.8</v>
      </c>
      <c r="F6348">
        <v>20140207</v>
      </c>
      <c r="G6348" t="s">
        <v>482</v>
      </c>
      <c r="H6348" t="s">
        <v>474</v>
      </c>
      <c r="I6348" t="s">
        <v>21</v>
      </c>
    </row>
    <row r="6349" spans="1:9" x14ac:dyDescent="0.25">
      <c r="A6349">
        <v>20140213</v>
      </c>
      <c r="B6349" t="str">
        <f t="shared" si="406"/>
        <v>114100</v>
      </c>
      <c r="C6349" t="str">
        <f t="shared" si="407"/>
        <v>84047</v>
      </c>
      <c r="D6349" t="s">
        <v>472</v>
      </c>
      <c r="E6349">
        <v>201.3</v>
      </c>
      <c r="F6349">
        <v>20140207</v>
      </c>
      <c r="G6349" t="s">
        <v>483</v>
      </c>
      <c r="H6349" t="s">
        <v>474</v>
      </c>
      <c r="I6349" t="s">
        <v>21</v>
      </c>
    </row>
    <row r="6350" spans="1:9" x14ac:dyDescent="0.25">
      <c r="A6350">
        <v>20140213</v>
      </c>
      <c r="B6350" t="str">
        <f t="shared" si="406"/>
        <v>114100</v>
      </c>
      <c r="C6350" t="str">
        <f t="shared" si="407"/>
        <v>84047</v>
      </c>
      <c r="D6350" t="s">
        <v>472</v>
      </c>
      <c r="E6350">
        <v>236.5</v>
      </c>
      <c r="F6350">
        <v>20140207</v>
      </c>
      <c r="G6350" t="s">
        <v>484</v>
      </c>
      <c r="H6350" t="s">
        <v>474</v>
      </c>
      <c r="I6350" t="s">
        <v>21</v>
      </c>
    </row>
    <row r="6351" spans="1:9" x14ac:dyDescent="0.25">
      <c r="A6351">
        <v>20140213</v>
      </c>
      <c r="B6351" t="str">
        <f t="shared" si="406"/>
        <v>114100</v>
      </c>
      <c r="C6351" t="str">
        <f t="shared" si="407"/>
        <v>84047</v>
      </c>
      <c r="D6351" t="s">
        <v>472</v>
      </c>
      <c r="E6351">
        <v>168.3</v>
      </c>
      <c r="F6351">
        <v>20140207</v>
      </c>
      <c r="G6351" t="s">
        <v>485</v>
      </c>
      <c r="H6351" t="s">
        <v>474</v>
      </c>
      <c r="I6351" t="s">
        <v>21</v>
      </c>
    </row>
    <row r="6352" spans="1:9" x14ac:dyDescent="0.25">
      <c r="A6352">
        <v>20140213</v>
      </c>
      <c r="B6352" t="str">
        <f>"114101"</f>
        <v>114101</v>
      </c>
      <c r="C6352" t="str">
        <f>"83932"</f>
        <v>83932</v>
      </c>
      <c r="D6352" t="s">
        <v>3269</v>
      </c>
      <c r="E6352">
        <v>12.15</v>
      </c>
      <c r="F6352">
        <v>20140211</v>
      </c>
      <c r="G6352" t="s">
        <v>410</v>
      </c>
      <c r="H6352" t="s">
        <v>411</v>
      </c>
      <c r="I6352" t="s">
        <v>12</v>
      </c>
    </row>
    <row r="6353" spans="1:9" x14ac:dyDescent="0.25">
      <c r="A6353">
        <v>20140213</v>
      </c>
      <c r="B6353" t="str">
        <f>"114102"</f>
        <v>114102</v>
      </c>
      <c r="C6353" t="str">
        <f>"00500"</f>
        <v>00500</v>
      </c>
      <c r="D6353" t="s">
        <v>486</v>
      </c>
      <c r="E6353" s="1">
        <v>2890.52</v>
      </c>
      <c r="F6353">
        <v>20140210</v>
      </c>
      <c r="G6353" t="s">
        <v>1705</v>
      </c>
      <c r="H6353" t="s">
        <v>488</v>
      </c>
      <c r="I6353" t="s">
        <v>21</v>
      </c>
    </row>
    <row r="6354" spans="1:9" x14ac:dyDescent="0.25">
      <c r="A6354">
        <v>20140213</v>
      </c>
      <c r="B6354" t="str">
        <f>"114103"</f>
        <v>114103</v>
      </c>
      <c r="C6354" t="str">
        <f>"00255"</f>
        <v>00255</v>
      </c>
      <c r="D6354" t="s">
        <v>489</v>
      </c>
      <c r="E6354" s="1">
        <v>1620.07</v>
      </c>
      <c r="F6354">
        <v>20140207</v>
      </c>
      <c r="G6354" t="s">
        <v>491</v>
      </c>
      <c r="H6354" t="s">
        <v>488</v>
      </c>
      <c r="I6354" t="s">
        <v>21</v>
      </c>
    </row>
    <row r="6355" spans="1:9" x14ac:dyDescent="0.25">
      <c r="A6355">
        <v>20140213</v>
      </c>
      <c r="B6355" t="str">
        <f>"114103"</f>
        <v>114103</v>
      </c>
      <c r="C6355" t="str">
        <f>"00255"</f>
        <v>00255</v>
      </c>
      <c r="D6355" t="s">
        <v>489</v>
      </c>
      <c r="E6355" s="1">
        <v>2117.35</v>
      </c>
      <c r="F6355">
        <v>20140207</v>
      </c>
      <c r="G6355" t="s">
        <v>493</v>
      </c>
      <c r="H6355" t="s">
        <v>488</v>
      </c>
      <c r="I6355" t="s">
        <v>21</v>
      </c>
    </row>
    <row r="6356" spans="1:9" x14ac:dyDescent="0.25">
      <c r="A6356">
        <v>20140213</v>
      </c>
      <c r="B6356" t="str">
        <f>"114103"</f>
        <v>114103</v>
      </c>
      <c r="C6356" t="str">
        <f>"00255"</f>
        <v>00255</v>
      </c>
      <c r="D6356" t="s">
        <v>489</v>
      </c>
      <c r="E6356">
        <v>446.78</v>
      </c>
      <c r="F6356">
        <v>20140211</v>
      </c>
      <c r="G6356" t="s">
        <v>771</v>
      </c>
      <c r="H6356" t="s">
        <v>488</v>
      </c>
      <c r="I6356" t="s">
        <v>21</v>
      </c>
    </row>
    <row r="6357" spans="1:9" x14ac:dyDescent="0.25">
      <c r="A6357">
        <v>20140213</v>
      </c>
      <c r="B6357" t="str">
        <f>"114103"</f>
        <v>114103</v>
      </c>
      <c r="C6357" t="str">
        <f>"00255"</f>
        <v>00255</v>
      </c>
      <c r="D6357" t="s">
        <v>489</v>
      </c>
      <c r="E6357">
        <v>954.97</v>
      </c>
      <c r="F6357">
        <v>20140207</v>
      </c>
      <c r="G6357" t="s">
        <v>494</v>
      </c>
      <c r="H6357" t="s">
        <v>488</v>
      </c>
      <c r="I6357" t="s">
        <v>21</v>
      </c>
    </row>
    <row r="6358" spans="1:9" x14ac:dyDescent="0.25">
      <c r="A6358">
        <v>20140213</v>
      </c>
      <c r="B6358" t="str">
        <f>"114104"</f>
        <v>114104</v>
      </c>
      <c r="C6358" t="str">
        <f>"83627"</f>
        <v>83627</v>
      </c>
      <c r="D6358" t="s">
        <v>1556</v>
      </c>
      <c r="E6358">
        <v>90</v>
      </c>
      <c r="F6358">
        <v>20140211</v>
      </c>
      <c r="G6358" t="s">
        <v>356</v>
      </c>
      <c r="H6358" t="s">
        <v>357</v>
      </c>
      <c r="I6358" t="s">
        <v>61</v>
      </c>
    </row>
    <row r="6359" spans="1:9" x14ac:dyDescent="0.25">
      <c r="A6359">
        <v>20140213</v>
      </c>
      <c r="B6359" t="str">
        <f>"114105"</f>
        <v>114105</v>
      </c>
      <c r="C6359" t="str">
        <f>"83627"</f>
        <v>83627</v>
      </c>
      <c r="D6359" t="s">
        <v>1556</v>
      </c>
      <c r="E6359">
        <v>25</v>
      </c>
      <c r="F6359">
        <v>20140212</v>
      </c>
      <c r="G6359" t="s">
        <v>356</v>
      </c>
      <c r="H6359" t="s">
        <v>357</v>
      </c>
      <c r="I6359" t="s">
        <v>61</v>
      </c>
    </row>
    <row r="6360" spans="1:9" x14ac:dyDescent="0.25">
      <c r="A6360">
        <v>20140213</v>
      </c>
      <c r="B6360" t="str">
        <f>"114106"</f>
        <v>114106</v>
      </c>
      <c r="C6360" t="str">
        <f t="shared" ref="C6360:C6368" si="408">"86699"</f>
        <v>86699</v>
      </c>
      <c r="D6360" t="s">
        <v>3270</v>
      </c>
      <c r="E6360">
        <v>360</v>
      </c>
      <c r="F6360">
        <v>20140210</v>
      </c>
      <c r="G6360" t="s">
        <v>356</v>
      </c>
      <c r="H6360" t="s">
        <v>357</v>
      </c>
      <c r="I6360" t="s">
        <v>61</v>
      </c>
    </row>
    <row r="6361" spans="1:9" x14ac:dyDescent="0.25">
      <c r="A6361">
        <v>20140213</v>
      </c>
      <c r="B6361" t="str">
        <f>"114107"</f>
        <v>114107</v>
      </c>
      <c r="C6361" t="str">
        <f t="shared" si="408"/>
        <v>86699</v>
      </c>
      <c r="D6361" t="s">
        <v>3270</v>
      </c>
      <c r="E6361">
        <v>360</v>
      </c>
      <c r="F6361">
        <v>20140210</v>
      </c>
      <c r="G6361" t="s">
        <v>356</v>
      </c>
      <c r="H6361" t="s">
        <v>357</v>
      </c>
      <c r="I6361" t="s">
        <v>61</v>
      </c>
    </row>
    <row r="6362" spans="1:9" x14ac:dyDescent="0.25">
      <c r="A6362">
        <v>20140213</v>
      </c>
      <c r="B6362" t="str">
        <f>"114108"</f>
        <v>114108</v>
      </c>
      <c r="C6362" t="str">
        <f t="shared" si="408"/>
        <v>86699</v>
      </c>
      <c r="D6362" t="s">
        <v>3270</v>
      </c>
      <c r="E6362">
        <v>360</v>
      </c>
      <c r="F6362">
        <v>20140210</v>
      </c>
      <c r="G6362" t="s">
        <v>356</v>
      </c>
      <c r="H6362" t="s">
        <v>357</v>
      </c>
      <c r="I6362" t="s">
        <v>61</v>
      </c>
    </row>
    <row r="6363" spans="1:9" x14ac:dyDescent="0.25">
      <c r="A6363">
        <v>20140213</v>
      </c>
      <c r="B6363" t="str">
        <f>"114109"</f>
        <v>114109</v>
      </c>
      <c r="C6363" t="str">
        <f t="shared" si="408"/>
        <v>86699</v>
      </c>
      <c r="D6363" t="s">
        <v>3270</v>
      </c>
      <c r="E6363">
        <v>120</v>
      </c>
      <c r="F6363">
        <v>20140210</v>
      </c>
      <c r="G6363" t="s">
        <v>356</v>
      </c>
      <c r="H6363" t="s">
        <v>357</v>
      </c>
      <c r="I6363" t="s">
        <v>61</v>
      </c>
    </row>
    <row r="6364" spans="1:9" x14ac:dyDescent="0.25">
      <c r="A6364">
        <v>20140213</v>
      </c>
      <c r="B6364" t="str">
        <f>"114110"</f>
        <v>114110</v>
      </c>
      <c r="C6364" t="str">
        <f t="shared" si="408"/>
        <v>86699</v>
      </c>
      <c r="D6364" t="s">
        <v>3270</v>
      </c>
      <c r="E6364">
        <v>120</v>
      </c>
      <c r="F6364">
        <v>20140210</v>
      </c>
      <c r="G6364" t="s">
        <v>356</v>
      </c>
      <c r="H6364" t="s">
        <v>357</v>
      </c>
      <c r="I6364" t="s">
        <v>61</v>
      </c>
    </row>
    <row r="6365" spans="1:9" x14ac:dyDescent="0.25">
      <c r="A6365">
        <v>20140213</v>
      </c>
      <c r="B6365" t="str">
        <f>"114111"</f>
        <v>114111</v>
      </c>
      <c r="C6365" t="str">
        <f t="shared" si="408"/>
        <v>86699</v>
      </c>
      <c r="D6365" t="s">
        <v>3270</v>
      </c>
      <c r="E6365">
        <v>120</v>
      </c>
      <c r="F6365">
        <v>20140210</v>
      </c>
      <c r="G6365" t="s">
        <v>356</v>
      </c>
      <c r="H6365" t="s">
        <v>357</v>
      </c>
      <c r="I6365" t="s">
        <v>61</v>
      </c>
    </row>
    <row r="6366" spans="1:9" x14ac:dyDescent="0.25">
      <c r="A6366">
        <v>20140213</v>
      </c>
      <c r="B6366" t="str">
        <f>"114112"</f>
        <v>114112</v>
      </c>
      <c r="C6366" t="str">
        <f t="shared" si="408"/>
        <v>86699</v>
      </c>
      <c r="D6366" t="s">
        <v>3270</v>
      </c>
      <c r="E6366">
        <v>120</v>
      </c>
      <c r="F6366">
        <v>20140210</v>
      </c>
      <c r="G6366" t="s">
        <v>356</v>
      </c>
      <c r="H6366" t="s">
        <v>357</v>
      </c>
      <c r="I6366" t="s">
        <v>61</v>
      </c>
    </row>
    <row r="6367" spans="1:9" x14ac:dyDescent="0.25">
      <c r="A6367">
        <v>20140213</v>
      </c>
      <c r="B6367" t="str">
        <f>"114113"</f>
        <v>114113</v>
      </c>
      <c r="C6367" t="str">
        <f t="shared" si="408"/>
        <v>86699</v>
      </c>
      <c r="D6367" t="s">
        <v>3270</v>
      </c>
      <c r="E6367">
        <v>120</v>
      </c>
      <c r="F6367">
        <v>20140210</v>
      </c>
      <c r="G6367" t="s">
        <v>356</v>
      </c>
      <c r="H6367" t="s">
        <v>357</v>
      </c>
      <c r="I6367" t="s">
        <v>61</v>
      </c>
    </row>
    <row r="6368" spans="1:9" x14ac:dyDescent="0.25">
      <c r="A6368">
        <v>20140213</v>
      </c>
      <c r="B6368" t="str">
        <f>"114114"</f>
        <v>114114</v>
      </c>
      <c r="C6368" t="str">
        <f t="shared" si="408"/>
        <v>86699</v>
      </c>
      <c r="D6368" t="s">
        <v>3270</v>
      </c>
      <c r="E6368">
        <v>120</v>
      </c>
      <c r="F6368">
        <v>20140210</v>
      </c>
      <c r="G6368" t="s">
        <v>356</v>
      </c>
      <c r="H6368" t="s">
        <v>357</v>
      </c>
      <c r="I6368" t="s">
        <v>61</v>
      </c>
    </row>
    <row r="6369" spans="1:9" x14ac:dyDescent="0.25">
      <c r="A6369">
        <v>20140213</v>
      </c>
      <c r="B6369" t="str">
        <f>"114115"</f>
        <v>114115</v>
      </c>
      <c r="C6369" t="str">
        <f>"09600"</f>
        <v>09600</v>
      </c>
      <c r="D6369" t="s">
        <v>497</v>
      </c>
      <c r="E6369">
        <v>39.799999999999997</v>
      </c>
      <c r="F6369">
        <v>20140206</v>
      </c>
      <c r="G6369" t="s">
        <v>1329</v>
      </c>
      <c r="H6369" t="s">
        <v>414</v>
      </c>
      <c r="I6369" t="s">
        <v>21</v>
      </c>
    </row>
    <row r="6370" spans="1:9" x14ac:dyDescent="0.25">
      <c r="A6370">
        <v>20140213</v>
      </c>
      <c r="B6370" t="str">
        <f>"114115"</f>
        <v>114115</v>
      </c>
      <c r="C6370" t="str">
        <f>"09600"</f>
        <v>09600</v>
      </c>
      <c r="D6370" t="s">
        <v>497</v>
      </c>
      <c r="E6370">
        <v>912.15</v>
      </c>
      <c r="F6370">
        <v>20140206</v>
      </c>
      <c r="G6370" t="s">
        <v>498</v>
      </c>
      <c r="H6370" t="s">
        <v>499</v>
      </c>
      <c r="I6370" t="s">
        <v>21</v>
      </c>
    </row>
    <row r="6371" spans="1:9" x14ac:dyDescent="0.25">
      <c r="A6371">
        <v>20140213</v>
      </c>
      <c r="B6371" t="str">
        <f>"114115"</f>
        <v>114115</v>
      </c>
      <c r="C6371" t="str">
        <f>"09600"</f>
        <v>09600</v>
      </c>
      <c r="D6371" t="s">
        <v>497</v>
      </c>
      <c r="E6371">
        <v>150.75</v>
      </c>
      <c r="F6371">
        <v>20140206</v>
      </c>
      <c r="G6371" t="s">
        <v>496</v>
      </c>
      <c r="H6371" t="s">
        <v>414</v>
      </c>
      <c r="I6371" t="s">
        <v>21</v>
      </c>
    </row>
    <row r="6372" spans="1:9" x14ac:dyDescent="0.25">
      <c r="A6372">
        <v>20140213</v>
      </c>
      <c r="B6372" t="str">
        <f>"114116"</f>
        <v>114116</v>
      </c>
      <c r="C6372" t="str">
        <f>"86723"</f>
        <v>86723</v>
      </c>
      <c r="D6372" t="s">
        <v>3271</v>
      </c>
      <c r="E6372">
        <v>175</v>
      </c>
      <c r="F6372">
        <v>20140206</v>
      </c>
      <c r="G6372" t="s">
        <v>2324</v>
      </c>
      <c r="H6372" t="s">
        <v>765</v>
      </c>
      <c r="I6372" t="s">
        <v>61</v>
      </c>
    </row>
    <row r="6373" spans="1:9" x14ac:dyDescent="0.25">
      <c r="A6373">
        <v>20140213</v>
      </c>
      <c r="B6373" t="str">
        <f>"114117"</f>
        <v>114117</v>
      </c>
      <c r="C6373" t="str">
        <f>"00042"</f>
        <v>00042</v>
      </c>
      <c r="D6373" t="s">
        <v>2617</v>
      </c>
      <c r="E6373" s="1">
        <v>1015.55</v>
      </c>
      <c r="F6373">
        <v>20140210</v>
      </c>
      <c r="G6373" t="s">
        <v>3201</v>
      </c>
      <c r="H6373" t="s">
        <v>3272</v>
      </c>
      <c r="I6373" t="s">
        <v>61</v>
      </c>
    </row>
    <row r="6374" spans="1:9" x14ac:dyDescent="0.25">
      <c r="A6374">
        <v>20140213</v>
      </c>
      <c r="B6374" t="str">
        <f>"114118"</f>
        <v>114118</v>
      </c>
      <c r="C6374" t="str">
        <f>"86670"</f>
        <v>86670</v>
      </c>
      <c r="D6374" t="s">
        <v>2828</v>
      </c>
      <c r="E6374">
        <v>105</v>
      </c>
      <c r="F6374">
        <v>20140210</v>
      </c>
      <c r="G6374" t="s">
        <v>2324</v>
      </c>
      <c r="H6374" t="s">
        <v>765</v>
      </c>
      <c r="I6374" t="s">
        <v>61</v>
      </c>
    </row>
    <row r="6375" spans="1:9" x14ac:dyDescent="0.25">
      <c r="A6375">
        <v>20140213</v>
      </c>
      <c r="B6375" t="str">
        <f>"114119"</f>
        <v>114119</v>
      </c>
      <c r="C6375" t="str">
        <f>"87555"</f>
        <v>87555</v>
      </c>
      <c r="D6375" t="s">
        <v>1560</v>
      </c>
      <c r="E6375">
        <v>21.6</v>
      </c>
      <c r="F6375">
        <v>20140212</v>
      </c>
      <c r="G6375" t="s">
        <v>562</v>
      </c>
      <c r="H6375" t="s">
        <v>563</v>
      </c>
      <c r="I6375" t="s">
        <v>21</v>
      </c>
    </row>
    <row r="6376" spans="1:9" x14ac:dyDescent="0.25">
      <c r="A6376">
        <v>20140213</v>
      </c>
      <c r="B6376" t="str">
        <f>"114120"</f>
        <v>114120</v>
      </c>
      <c r="C6376" t="str">
        <f>"11488"</f>
        <v>11488</v>
      </c>
      <c r="D6376" t="s">
        <v>1561</v>
      </c>
      <c r="E6376">
        <v>33.33</v>
      </c>
      <c r="F6376">
        <v>20140207</v>
      </c>
      <c r="G6376" t="s">
        <v>498</v>
      </c>
      <c r="H6376" t="s">
        <v>499</v>
      </c>
      <c r="I6376" t="s">
        <v>21</v>
      </c>
    </row>
    <row r="6377" spans="1:9" x14ac:dyDescent="0.25">
      <c r="A6377">
        <v>20140213</v>
      </c>
      <c r="B6377" t="str">
        <f>"114121"</f>
        <v>114121</v>
      </c>
      <c r="C6377" t="str">
        <f>"11570"</f>
        <v>11570</v>
      </c>
      <c r="D6377" t="s">
        <v>1354</v>
      </c>
      <c r="E6377">
        <v>80</v>
      </c>
      <c r="F6377">
        <v>20140206</v>
      </c>
      <c r="G6377" t="s">
        <v>511</v>
      </c>
      <c r="H6377" t="s">
        <v>1355</v>
      </c>
      <c r="I6377" t="s">
        <v>21</v>
      </c>
    </row>
    <row r="6378" spans="1:9" x14ac:dyDescent="0.25">
      <c r="A6378">
        <v>20140213</v>
      </c>
      <c r="B6378" t="str">
        <f>"114121"</f>
        <v>114121</v>
      </c>
      <c r="C6378" t="str">
        <f>"11570"</f>
        <v>11570</v>
      </c>
      <c r="D6378" t="s">
        <v>1354</v>
      </c>
      <c r="E6378">
        <v>120</v>
      </c>
      <c r="F6378">
        <v>20140206</v>
      </c>
      <c r="G6378" t="s">
        <v>511</v>
      </c>
      <c r="H6378" t="s">
        <v>1355</v>
      </c>
      <c r="I6378" t="s">
        <v>21</v>
      </c>
    </row>
    <row r="6379" spans="1:9" x14ac:dyDescent="0.25">
      <c r="A6379">
        <v>20140213</v>
      </c>
      <c r="B6379" t="str">
        <f>"114121"</f>
        <v>114121</v>
      </c>
      <c r="C6379" t="str">
        <f>"11570"</f>
        <v>11570</v>
      </c>
      <c r="D6379" t="s">
        <v>1354</v>
      </c>
      <c r="E6379">
        <v>90</v>
      </c>
      <c r="F6379">
        <v>20140206</v>
      </c>
      <c r="G6379" t="s">
        <v>1273</v>
      </c>
      <c r="H6379" t="s">
        <v>1355</v>
      </c>
      <c r="I6379" t="s">
        <v>21</v>
      </c>
    </row>
    <row r="6380" spans="1:9" x14ac:dyDescent="0.25">
      <c r="A6380">
        <v>20140213</v>
      </c>
      <c r="B6380" t="str">
        <f>"114122"</f>
        <v>114122</v>
      </c>
      <c r="C6380" t="str">
        <f>"83193"</f>
        <v>83193</v>
      </c>
      <c r="D6380" t="s">
        <v>1008</v>
      </c>
      <c r="E6380">
        <v>337.5</v>
      </c>
      <c r="F6380">
        <v>20140212</v>
      </c>
      <c r="G6380" t="s">
        <v>2667</v>
      </c>
      <c r="H6380" t="s">
        <v>3273</v>
      </c>
      <c r="I6380" t="s">
        <v>21</v>
      </c>
    </row>
    <row r="6381" spans="1:9" x14ac:dyDescent="0.25">
      <c r="A6381">
        <v>20140213</v>
      </c>
      <c r="B6381" t="str">
        <f>"114123"</f>
        <v>114123</v>
      </c>
      <c r="C6381" t="str">
        <f>"82560"</f>
        <v>82560</v>
      </c>
      <c r="D6381" t="s">
        <v>403</v>
      </c>
      <c r="E6381" s="1">
        <v>3302.35</v>
      </c>
      <c r="F6381">
        <v>20140211</v>
      </c>
      <c r="G6381" t="s">
        <v>404</v>
      </c>
      <c r="H6381" t="s">
        <v>405</v>
      </c>
      <c r="I6381" t="s">
        <v>12</v>
      </c>
    </row>
    <row r="6382" spans="1:9" x14ac:dyDescent="0.25">
      <c r="A6382">
        <v>20140213</v>
      </c>
      <c r="B6382" t="str">
        <f>"114124"</f>
        <v>114124</v>
      </c>
      <c r="C6382" t="str">
        <f>"11851"</f>
        <v>11851</v>
      </c>
      <c r="D6382" t="s">
        <v>342</v>
      </c>
      <c r="E6382">
        <v>50</v>
      </c>
      <c r="F6382">
        <v>20140211</v>
      </c>
      <c r="G6382" t="s">
        <v>181</v>
      </c>
      <c r="H6382" t="s">
        <v>784</v>
      </c>
      <c r="I6382" t="s">
        <v>38</v>
      </c>
    </row>
    <row r="6383" spans="1:9" x14ac:dyDescent="0.25">
      <c r="A6383">
        <v>20140213</v>
      </c>
      <c r="B6383" t="str">
        <f>"114124"</f>
        <v>114124</v>
      </c>
      <c r="C6383" t="str">
        <f>"11851"</f>
        <v>11851</v>
      </c>
      <c r="D6383" t="s">
        <v>342</v>
      </c>
      <c r="E6383">
        <v>45</v>
      </c>
      <c r="F6383">
        <v>20140211</v>
      </c>
      <c r="G6383" t="s">
        <v>181</v>
      </c>
      <c r="H6383" t="s">
        <v>3274</v>
      </c>
      <c r="I6383" t="s">
        <v>38</v>
      </c>
    </row>
    <row r="6384" spans="1:9" x14ac:dyDescent="0.25">
      <c r="A6384">
        <v>20140213</v>
      </c>
      <c r="B6384" t="str">
        <f>"114124"</f>
        <v>114124</v>
      </c>
      <c r="C6384" t="str">
        <f>"11851"</f>
        <v>11851</v>
      </c>
      <c r="D6384" t="s">
        <v>342</v>
      </c>
      <c r="E6384">
        <v>45</v>
      </c>
      <c r="F6384">
        <v>20140211</v>
      </c>
      <c r="G6384" t="s">
        <v>181</v>
      </c>
      <c r="H6384" t="s">
        <v>784</v>
      </c>
      <c r="I6384" t="s">
        <v>38</v>
      </c>
    </row>
    <row r="6385" spans="1:9" x14ac:dyDescent="0.25">
      <c r="A6385">
        <v>20140213</v>
      </c>
      <c r="B6385" t="str">
        <f>"114124"</f>
        <v>114124</v>
      </c>
      <c r="C6385" t="str">
        <f>"11851"</f>
        <v>11851</v>
      </c>
      <c r="D6385" t="s">
        <v>342</v>
      </c>
      <c r="E6385">
        <v>332</v>
      </c>
      <c r="F6385">
        <v>20140212</v>
      </c>
      <c r="G6385" t="s">
        <v>289</v>
      </c>
      <c r="H6385" t="s">
        <v>784</v>
      </c>
      <c r="I6385" t="s">
        <v>38</v>
      </c>
    </row>
    <row r="6386" spans="1:9" x14ac:dyDescent="0.25">
      <c r="A6386">
        <v>20140213</v>
      </c>
      <c r="B6386" t="str">
        <f>"114124"</f>
        <v>114124</v>
      </c>
      <c r="C6386" t="str">
        <f>"11851"</f>
        <v>11851</v>
      </c>
      <c r="D6386" t="s">
        <v>342</v>
      </c>
      <c r="E6386">
        <v>55</v>
      </c>
      <c r="F6386">
        <v>20140206</v>
      </c>
      <c r="G6386" t="s">
        <v>36</v>
      </c>
      <c r="H6386" t="s">
        <v>784</v>
      </c>
      <c r="I6386" t="s">
        <v>38</v>
      </c>
    </row>
    <row r="6387" spans="1:9" x14ac:dyDescent="0.25">
      <c r="A6387">
        <v>20140213</v>
      </c>
      <c r="B6387" t="str">
        <f>"114125"</f>
        <v>114125</v>
      </c>
      <c r="C6387" t="str">
        <f>"11805"</f>
        <v>11805</v>
      </c>
      <c r="D6387" t="s">
        <v>1358</v>
      </c>
      <c r="E6387" s="1">
        <v>3086.35</v>
      </c>
      <c r="F6387">
        <v>20140211</v>
      </c>
      <c r="G6387" t="s">
        <v>404</v>
      </c>
      <c r="H6387" t="s">
        <v>133</v>
      </c>
      <c r="I6387" t="s">
        <v>12</v>
      </c>
    </row>
    <row r="6388" spans="1:9" x14ac:dyDescent="0.25">
      <c r="A6388">
        <v>20140213</v>
      </c>
      <c r="B6388" t="str">
        <f>"114126"</f>
        <v>114126</v>
      </c>
      <c r="C6388" t="str">
        <f>"12175"</f>
        <v>12175</v>
      </c>
      <c r="D6388" t="s">
        <v>2621</v>
      </c>
      <c r="E6388">
        <v>801.62</v>
      </c>
      <c r="F6388">
        <v>20140207</v>
      </c>
      <c r="G6388" t="s">
        <v>1775</v>
      </c>
      <c r="H6388" t="s">
        <v>3275</v>
      </c>
      <c r="I6388" t="s">
        <v>21</v>
      </c>
    </row>
    <row r="6389" spans="1:9" x14ac:dyDescent="0.25">
      <c r="A6389">
        <v>20140213</v>
      </c>
      <c r="B6389" t="str">
        <f>"114127"</f>
        <v>114127</v>
      </c>
      <c r="C6389" t="str">
        <f>"86066"</f>
        <v>86066</v>
      </c>
      <c r="D6389" t="s">
        <v>786</v>
      </c>
      <c r="E6389">
        <v>105</v>
      </c>
      <c r="F6389">
        <v>20140210</v>
      </c>
      <c r="G6389" t="s">
        <v>2324</v>
      </c>
      <c r="H6389" t="s">
        <v>765</v>
      </c>
      <c r="I6389" t="s">
        <v>61</v>
      </c>
    </row>
    <row r="6390" spans="1:9" x14ac:dyDescent="0.25">
      <c r="A6390">
        <v>20140213</v>
      </c>
      <c r="B6390" t="str">
        <f>"114128"</f>
        <v>114128</v>
      </c>
      <c r="C6390" t="str">
        <f>"86002"</f>
        <v>86002</v>
      </c>
      <c r="D6390" t="s">
        <v>2484</v>
      </c>
      <c r="E6390">
        <v>120</v>
      </c>
      <c r="F6390">
        <v>20140211</v>
      </c>
      <c r="G6390" t="s">
        <v>2324</v>
      </c>
      <c r="H6390" t="s">
        <v>765</v>
      </c>
      <c r="I6390" t="s">
        <v>61</v>
      </c>
    </row>
    <row r="6391" spans="1:9" x14ac:dyDescent="0.25">
      <c r="A6391">
        <v>20140213</v>
      </c>
      <c r="B6391" t="str">
        <f>"114129"</f>
        <v>114129</v>
      </c>
      <c r="C6391" t="str">
        <f>"12392"</f>
        <v>12392</v>
      </c>
      <c r="D6391" t="s">
        <v>1196</v>
      </c>
      <c r="E6391">
        <v>57.57</v>
      </c>
      <c r="F6391">
        <v>20140211</v>
      </c>
      <c r="G6391" t="s">
        <v>1197</v>
      </c>
      <c r="H6391" t="s">
        <v>365</v>
      </c>
      <c r="I6391" t="s">
        <v>21</v>
      </c>
    </row>
    <row r="6392" spans="1:9" x14ac:dyDescent="0.25">
      <c r="A6392">
        <v>20140213</v>
      </c>
      <c r="B6392" t="str">
        <f>"114130"</f>
        <v>114130</v>
      </c>
      <c r="C6392" t="str">
        <f>"12395"</f>
        <v>12395</v>
      </c>
      <c r="D6392" t="s">
        <v>3108</v>
      </c>
      <c r="E6392">
        <v>115.41</v>
      </c>
      <c r="F6392">
        <v>20140207</v>
      </c>
      <c r="G6392" t="s">
        <v>498</v>
      </c>
      <c r="H6392" t="s">
        <v>499</v>
      </c>
      <c r="I6392" t="s">
        <v>21</v>
      </c>
    </row>
    <row r="6393" spans="1:9" x14ac:dyDescent="0.25">
      <c r="A6393">
        <v>20140213</v>
      </c>
      <c r="B6393" t="str">
        <f>"114131"</f>
        <v>114131</v>
      </c>
      <c r="C6393" t="str">
        <f>"87228"</f>
        <v>87228</v>
      </c>
      <c r="D6393" t="s">
        <v>792</v>
      </c>
      <c r="E6393">
        <v>15</v>
      </c>
      <c r="F6393">
        <v>20140210</v>
      </c>
      <c r="G6393" t="s">
        <v>793</v>
      </c>
      <c r="H6393" t="s">
        <v>354</v>
      </c>
      <c r="I6393" t="s">
        <v>21</v>
      </c>
    </row>
    <row r="6394" spans="1:9" x14ac:dyDescent="0.25">
      <c r="A6394">
        <v>20140213</v>
      </c>
      <c r="B6394" t="str">
        <f>"114131"</f>
        <v>114131</v>
      </c>
      <c r="C6394" t="str">
        <f>"87228"</f>
        <v>87228</v>
      </c>
      <c r="D6394" t="s">
        <v>792</v>
      </c>
      <c r="E6394">
        <v>30</v>
      </c>
      <c r="F6394">
        <v>20140210</v>
      </c>
      <c r="G6394" t="s">
        <v>1359</v>
      </c>
      <c r="H6394" t="s">
        <v>354</v>
      </c>
      <c r="I6394" t="s">
        <v>21</v>
      </c>
    </row>
    <row r="6395" spans="1:9" x14ac:dyDescent="0.25">
      <c r="A6395">
        <v>20140213</v>
      </c>
      <c r="B6395" t="str">
        <f>"114132"</f>
        <v>114132</v>
      </c>
      <c r="C6395" t="str">
        <f>"86533"</f>
        <v>86533</v>
      </c>
      <c r="D6395" t="s">
        <v>505</v>
      </c>
      <c r="E6395">
        <v>176.61</v>
      </c>
      <c r="F6395">
        <v>20140212</v>
      </c>
      <c r="G6395" t="s">
        <v>506</v>
      </c>
      <c r="H6395" t="s">
        <v>414</v>
      </c>
      <c r="I6395" t="s">
        <v>21</v>
      </c>
    </row>
    <row r="6396" spans="1:9" x14ac:dyDescent="0.25">
      <c r="A6396">
        <v>20140213</v>
      </c>
      <c r="B6396" t="str">
        <f>"114133"</f>
        <v>114133</v>
      </c>
      <c r="C6396" t="str">
        <f>"87581"</f>
        <v>87581</v>
      </c>
      <c r="D6396" t="s">
        <v>3276</v>
      </c>
      <c r="E6396">
        <v>100</v>
      </c>
      <c r="F6396">
        <v>20140212</v>
      </c>
      <c r="G6396" t="s">
        <v>347</v>
      </c>
      <c r="H6396" t="s">
        <v>361</v>
      </c>
      <c r="I6396" t="s">
        <v>61</v>
      </c>
    </row>
    <row r="6397" spans="1:9" x14ac:dyDescent="0.25">
      <c r="A6397">
        <v>20140213</v>
      </c>
      <c r="B6397" t="str">
        <f>"114134"</f>
        <v>114134</v>
      </c>
      <c r="C6397" t="str">
        <f>"86713"</f>
        <v>86713</v>
      </c>
      <c r="D6397" t="s">
        <v>2485</v>
      </c>
      <c r="E6397">
        <v>105</v>
      </c>
      <c r="F6397">
        <v>20140206</v>
      </c>
      <c r="G6397" t="s">
        <v>2324</v>
      </c>
      <c r="H6397" t="s">
        <v>765</v>
      </c>
      <c r="I6397" t="s">
        <v>61</v>
      </c>
    </row>
    <row r="6398" spans="1:9" x14ac:dyDescent="0.25">
      <c r="A6398">
        <v>20140213</v>
      </c>
      <c r="B6398" t="str">
        <f>"114135"</f>
        <v>114135</v>
      </c>
      <c r="C6398" t="str">
        <f>"86576"</f>
        <v>86576</v>
      </c>
      <c r="D6398" t="s">
        <v>409</v>
      </c>
      <c r="E6398">
        <v>26.1</v>
      </c>
      <c r="F6398">
        <v>20140206</v>
      </c>
      <c r="G6398" t="s">
        <v>410</v>
      </c>
      <c r="H6398" t="s">
        <v>411</v>
      </c>
      <c r="I6398" t="s">
        <v>12</v>
      </c>
    </row>
    <row r="6399" spans="1:9" x14ac:dyDescent="0.25">
      <c r="A6399">
        <v>20140213</v>
      </c>
      <c r="B6399" t="str">
        <f>"114136"</f>
        <v>114136</v>
      </c>
      <c r="C6399" t="str">
        <f>"16500"</f>
        <v>16500</v>
      </c>
      <c r="D6399" t="s">
        <v>798</v>
      </c>
      <c r="E6399">
        <v>55.85</v>
      </c>
      <c r="F6399">
        <v>20140207</v>
      </c>
      <c r="G6399" t="s">
        <v>637</v>
      </c>
      <c r="H6399" t="s">
        <v>1357</v>
      </c>
      <c r="I6399" t="s">
        <v>38</v>
      </c>
    </row>
    <row r="6400" spans="1:9" x14ac:dyDescent="0.25">
      <c r="A6400">
        <v>20140213</v>
      </c>
      <c r="B6400" t="str">
        <f>"114137"</f>
        <v>114137</v>
      </c>
      <c r="C6400" t="str">
        <f>"16988"</f>
        <v>16988</v>
      </c>
      <c r="D6400" t="s">
        <v>510</v>
      </c>
      <c r="E6400">
        <v>773.19</v>
      </c>
      <c r="F6400">
        <v>20140206</v>
      </c>
      <c r="G6400" t="s">
        <v>496</v>
      </c>
      <c r="H6400" t="s">
        <v>414</v>
      </c>
      <c r="I6400" t="s">
        <v>21</v>
      </c>
    </row>
    <row r="6401" spans="1:9" x14ac:dyDescent="0.25">
      <c r="A6401">
        <v>20140213</v>
      </c>
      <c r="B6401" t="str">
        <f>"114137"</f>
        <v>114137</v>
      </c>
      <c r="C6401" t="str">
        <f>"16988"</f>
        <v>16988</v>
      </c>
      <c r="D6401" t="s">
        <v>510</v>
      </c>
      <c r="E6401">
        <v>927.82</v>
      </c>
      <c r="F6401">
        <v>20140206</v>
      </c>
      <c r="G6401" t="s">
        <v>511</v>
      </c>
      <c r="H6401" t="s">
        <v>512</v>
      </c>
      <c r="I6401" t="s">
        <v>21</v>
      </c>
    </row>
    <row r="6402" spans="1:9" x14ac:dyDescent="0.25">
      <c r="A6402">
        <v>20140213</v>
      </c>
      <c r="B6402" t="str">
        <f>"114137"</f>
        <v>114137</v>
      </c>
      <c r="C6402" t="str">
        <f>"16988"</f>
        <v>16988</v>
      </c>
      <c r="D6402" t="s">
        <v>510</v>
      </c>
      <c r="E6402">
        <v>277.56</v>
      </c>
      <c r="F6402">
        <v>20140207</v>
      </c>
      <c r="G6402" t="s">
        <v>482</v>
      </c>
      <c r="H6402" t="s">
        <v>414</v>
      </c>
      <c r="I6402" t="s">
        <v>21</v>
      </c>
    </row>
    <row r="6403" spans="1:9" x14ac:dyDescent="0.25">
      <c r="A6403">
        <v>20140213</v>
      </c>
      <c r="B6403" t="str">
        <f>"114138"</f>
        <v>114138</v>
      </c>
      <c r="C6403" t="str">
        <f>"00260"</f>
        <v>00260</v>
      </c>
      <c r="D6403" t="s">
        <v>3277</v>
      </c>
      <c r="E6403" s="1">
        <v>1215</v>
      </c>
      <c r="F6403">
        <v>20140207</v>
      </c>
      <c r="G6403" t="s">
        <v>1064</v>
      </c>
      <c r="H6403" t="s">
        <v>3278</v>
      </c>
      <c r="I6403" t="s">
        <v>21</v>
      </c>
    </row>
    <row r="6404" spans="1:9" x14ac:dyDescent="0.25">
      <c r="A6404">
        <v>20140213</v>
      </c>
      <c r="B6404" t="str">
        <f t="shared" ref="B6404:B6409" si="409">"114139"</f>
        <v>114139</v>
      </c>
      <c r="C6404" t="str">
        <f t="shared" ref="C6404:C6409" si="410">"16998"</f>
        <v>16998</v>
      </c>
      <c r="D6404" t="s">
        <v>1372</v>
      </c>
      <c r="E6404">
        <v>419.68</v>
      </c>
      <c r="F6404">
        <v>20140206</v>
      </c>
      <c r="G6404" t="s">
        <v>950</v>
      </c>
      <c r="H6404" t="s">
        <v>2629</v>
      </c>
      <c r="I6404" t="s">
        <v>21</v>
      </c>
    </row>
    <row r="6405" spans="1:9" x14ac:dyDescent="0.25">
      <c r="A6405">
        <v>20140213</v>
      </c>
      <c r="B6405" t="str">
        <f t="shared" si="409"/>
        <v>114139</v>
      </c>
      <c r="C6405" t="str">
        <f t="shared" si="410"/>
        <v>16998</v>
      </c>
      <c r="D6405" t="s">
        <v>1372</v>
      </c>
      <c r="E6405">
        <v>112.5</v>
      </c>
      <c r="F6405">
        <v>20140206</v>
      </c>
      <c r="G6405" t="s">
        <v>524</v>
      </c>
      <c r="H6405" t="s">
        <v>2629</v>
      </c>
      <c r="I6405" t="s">
        <v>21</v>
      </c>
    </row>
    <row r="6406" spans="1:9" x14ac:dyDescent="0.25">
      <c r="A6406">
        <v>20140213</v>
      </c>
      <c r="B6406" t="str">
        <f t="shared" si="409"/>
        <v>114139</v>
      </c>
      <c r="C6406" t="str">
        <f t="shared" si="410"/>
        <v>16998</v>
      </c>
      <c r="D6406" t="s">
        <v>1372</v>
      </c>
      <c r="E6406" s="1">
        <v>1470.71</v>
      </c>
      <c r="F6406">
        <v>20140206</v>
      </c>
      <c r="G6406" t="s">
        <v>450</v>
      </c>
      <c r="H6406" t="s">
        <v>2629</v>
      </c>
      <c r="I6406" t="s">
        <v>21</v>
      </c>
    </row>
    <row r="6407" spans="1:9" x14ac:dyDescent="0.25">
      <c r="A6407">
        <v>20140213</v>
      </c>
      <c r="B6407" t="str">
        <f t="shared" si="409"/>
        <v>114139</v>
      </c>
      <c r="C6407" t="str">
        <f t="shared" si="410"/>
        <v>16998</v>
      </c>
      <c r="D6407" t="s">
        <v>1372</v>
      </c>
      <c r="E6407">
        <v>652.6</v>
      </c>
      <c r="F6407">
        <v>20140206</v>
      </c>
      <c r="G6407" t="s">
        <v>1464</v>
      </c>
      <c r="H6407" t="s">
        <v>2629</v>
      </c>
      <c r="I6407" t="s">
        <v>21</v>
      </c>
    </row>
    <row r="6408" spans="1:9" x14ac:dyDescent="0.25">
      <c r="A6408">
        <v>20140213</v>
      </c>
      <c r="B6408" t="str">
        <f t="shared" si="409"/>
        <v>114139</v>
      </c>
      <c r="C6408" t="str">
        <f t="shared" si="410"/>
        <v>16998</v>
      </c>
      <c r="D6408" t="s">
        <v>1372</v>
      </c>
      <c r="E6408" s="1">
        <v>1205.1500000000001</v>
      </c>
      <c r="F6408">
        <v>20140206</v>
      </c>
      <c r="G6408" t="s">
        <v>1380</v>
      </c>
      <c r="H6408" t="s">
        <v>2629</v>
      </c>
      <c r="I6408" t="s">
        <v>21</v>
      </c>
    </row>
    <row r="6409" spans="1:9" x14ac:dyDescent="0.25">
      <c r="A6409">
        <v>20140213</v>
      </c>
      <c r="B6409" t="str">
        <f t="shared" si="409"/>
        <v>114139</v>
      </c>
      <c r="C6409" t="str">
        <f t="shared" si="410"/>
        <v>16998</v>
      </c>
      <c r="D6409" t="s">
        <v>1372</v>
      </c>
      <c r="E6409" s="1">
        <v>5990</v>
      </c>
      <c r="F6409">
        <v>20140206</v>
      </c>
      <c r="G6409" t="s">
        <v>2147</v>
      </c>
      <c r="H6409" t="s">
        <v>3279</v>
      </c>
      <c r="I6409" t="s">
        <v>21</v>
      </c>
    </row>
    <row r="6410" spans="1:9" x14ac:dyDescent="0.25">
      <c r="A6410">
        <v>20140213</v>
      </c>
      <c r="B6410" t="str">
        <f>"114140"</f>
        <v>114140</v>
      </c>
      <c r="C6410" t="str">
        <f>"81258"</f>
        <v>81258</v>
      </c>
      <c r="D6410" t="s">
        <v>3280</v>
      </c>
      <c r="E6410" s="1">
        <v>3386</v>
      </c>
      <c r="F6410">
        <v>20140211</v>
      </c>
      <c r="G6410" t="s">
        <v>150</v>
      </c>
      <c r="H6410" t="s">
        <v>738</v>
      </c>
      <c r="I6410" t="s">
        <v>25</v>
      </c>
    </row>
    <row r="6411" spans="1:9" x14ac:dyDescent="0.25">
      <c r="A6411">
        <v>20140213</v>
      </c>
      <c r="B6411" t="str">
        <f>"114141"</f>
        <v>114141</v>
      </c>
      <c r="C6411" t="str">
        <f>"18025"</f>
        <v>18025</v>
      </c>
      <c r="D6411" t="s">
        <v>514</v>
      </c>
      <c r="E6411">
        <v>249.5</v>
      </c>
      <c r="F6411">
        <v>20140212</v>
      </c>
      <c r="G6411" t="s">
        <v>189</v>
      </c>
      <c r="H6411" t="s">
        <v>2336</v>
      </c>
      <c r="I6411" t="s">
        <v>25</v>
      </c>
    </row>
    <row r="6412" spans="1:9" x14ac:dyDescent="0.25">
      <c r="A6412">
        <v>20140213</v>
      </c>
      <c r="B6412" t="str">
        <f>"114142"</f>
        <v>114142</v>
      </c>
      <c r="C6412" t="str">
        <f>"87549"</f>
        <v>87549</v>
      </c>
      <c r="D6412" t="s">
        <v>1382</v>
      </c>
      <c r="E6412">
        <v>149.97</v>
      </c>
      <c r="F6412">
        <v>20140206</v>
      </c>
      <c r="G6412" t="s">
        <v>99</v>
      </c>
      <c r="H6412" t="s">
        <v>1383</v>
      </c>
      <c r="I6412" t="s">
        <v>21</v>
      </c>
    </row>
    <row r="6413" spans="1:9" x14ac:dyDescent="0.25">
      <c r="A6413">
        <v>20140213</v>
      </c>
      <c r="B6413" t="str">
        <f>"114143"</f>
        <v>114143</v>
      </c>
      <c r="C6413" t="str">
        <f>"19178"</f>
        <v>19178</v>
      </c>
      <c r="D6413" t="s">
        <v>3281</v>
      </c>
      <c r="E6413">
        <v>386.74</v>
      </c>
      <c r="F6413">
        <v>20140207</v>
      </c>
      <c r="G6413" t="s">
        <v>36</v>
      </c>
      <c r="H6413" t="s">
        <v>3282</v>
      </c>
      <c r="I6413" t="s">
        <v>38</v>
      </c>
    </row>
    <row r="6414" spans="1:9" x14ac:dyDescent="0.25">
      <c r="A6414">
        <v>20140213</v>
      </c>
      <c r="B6414" t="str">
        <f t="shared" ref="B6414:B6425" si="411">"114144"</f>
        <v>114144</v>
      </c>
      <c r="C6414" t="str">
        <f t="shared" ref="C6414:C6425" si="412">"87566"</f>
        <v>87566</v>
      </c>
      <c r="D6414" t="s">
        <v>2139</v>
      </c>
      <c r="E6414">
        <v>257.19</v>
      </c>
      <c r="F6414">
        <v>20140206</v>
      </c>
      <c r="G6414" t="s">
        <v>415</v>
      </c>
      <c r="H6414" t="s">
        <v>414</v>
      </c>
      <c r="I6414" t="s">
        <v>21</v>
      </c>
    </row>
    <row r="6415" spans="1:9" x14ac:dyDescent="0.25">
      <c r="A6415">
        <v>20140213</v>
      </c>
      <c r="B6415" t="str">
        <f t="shared" si="411"/>
        <v>114144</v>
      </c>
      <c r="C6415" t="str">
        <f t="shared" si="412"/>
        <v>87566</v>
      </c>
      <c r="D6415" t="s">
        <v>2139</v>
      </c>
      <c r="E6415">
        <v>105.09</v>
      </c>
      <c r="F6415">
        <v>20140206</v>
      </c>
      <c r="G6415" t="s">
        <v>628</v>
      </c>
      <c r="H6415" t="s">
        <v>414</v>
      </c>
      <c r="I6415" t="s">
        <v>21</v>
      </c>
    </row>
    <row r="6416" spans="1:9" x14ac:dyDescent="0.25">
      <c r="A6416">
        <v>20140213</v>
      </c>
      <c r="B6416" t="str">
        <f t="shared" si="411"/>
        <v>114144</v>
      </c>
      <c r="C6416" t="str">
        <f t="shared" si="412"/>
        <v>87566</v>
      </c>
      <c r="D6416" t="s">
        <v>2139</v>
      </c>
      <c r="E6416">
        <v>59.81</v>
      </c>
      <c r="F6416">
        <v>20140206</v>
      </c>
      <c r="G6416" t="s">
        <v>629</v>
      </c>
      <c r="H6416" t="s">
        <v>414</v>
      </c>
      <c r="I6416" t="s">
        <v>21</v>
      </c>
    </row>
    <row r="6417" spans="1:9" x14ac:dyDescent="0.25">
      <c r="A6417">
        <v>20140213</v>
      </c>
      <c r="B6417" t="str">
        <f t="shared" si="411"/>
        <v>114144</v>
      </c>
      <c r="C6417" t="str">
        <f t="shared" si="412"/>
        <v>87566</v>
      </c>
      <c r="D6417" t="s">
        <v>2139</v>
      </c>
      <c r="E6417">
        <v>-59.81</v>
      </c>
      <c r="F6417">
        <v>20140213</v>
      </c>
      <c r="G6417" t="s">
        <v>629</v>
      </c>
      <c r="H6417" t="s">
        <v>414</v>
      </c>
      <c r="I6417" t="s">
        <v>21</v>
      </c>
    </row>
    <row r="6418" spans="1:9" x14ac:dyDescent="0.25">
      <c r="A6418">
        <v>20140213</v>
      </c>
      <c r="B6418" t="str">
        <f t="shared" si="411"/>
        <v>114144</v>
      </c>
      <c r="C6418" t="str">
        <f t="shared" si="412"/>
        <v>87566</v>
      </c>
      <c r="D6418" t="s">
        <v>2139</v>
      </c>
      <c r="E6418">
        <v>111.48</v>
      </c>
      <c r="F6418">
        <v>20140210</v>
      </c>
      <c r="G6418" t="s">
        <v>631</v>
      </c>
      <c r="H6418" t="s">
        <v>414</v>
      </c>
      <c r="I6418" t="s">
        <v>21</v>
      </c>
    </row>
    <row r="6419" spans="1:9" x14ac:dyDescent="0.25">
      <c r="A6419">
        <v>20140213</v>
      </c>
      <c r="B6419" t="str">
        <f t="shared" si="411"/>
        <v>114144</v>
      </c>
      <c r="C6419" t="str">
        <f t="shared" si="412"/>
        <v>87566</v>
      </c>
      <c r="D6419" t="s">
        <v>2139</v>
      </c>
      <c r="E6419">
        <v>434.68</v>
      </c>
      <c r="F6419">
        <v>20140206</v>
      </c>
      <c r="G6419" t="s">
        <v>392</v>
      </c>
      <c r="H6419" t="s">
        <v>414</v>
      </c>
      <c r="I6419" t="s">
        <v>21</v>
      </c>
    </row>
    <row r="6420" spans="1:9" x14ac:dyDescent="0.25">
      <c r="A6420">
        <v>20140213</v>
      </c>
      <c r="B6420" t="str">
        <f t="shared" si="411"/>
        <v>114144</v>
      </c>
      <c r="C6420" t="str">
        <f t="shared" si="412"/>
        <v>87566</v>
      </c>
      <c r="D6420" t="s">
        <v>2139</v>
      </c>
      <c r="E6420">
        <v>241.62</v>
      </c>
      <c r="F6420">
        <v>20140206</v>
      </c>
      <c r="G6420" t="s">
        <v>392</v>
      </c>
      <c r="H6420" t="s">
        <v>414</v>
      </c>
      <c r="I6420" t="s">
        <v>21</v>
      </c>
    </row>
    <row r="6421" spans="1:9" x14ac:dyDescent="0.25">
      <c r="A6421">
        <v>20140213</v>
      </c>
      <c r="B6421" t="str">
        <f t="shared" si="411"/>
        <v>114144</v>
      </c>
      <c r="C6421" t="str">
        <f t="shared" si="412"/>
        <v>87566</v>
      </c>
      <c r="D6421" t="s">
        <v>2139</v>
      </c>
      <c r="E6421">
        <v>52.85</v>
      </c>
      <c r="F6421">
        <v>20140206</v>
      </c>
      <c r="G6421" t="s">
        <v>392</v>
      </c>
      <c r="H6421" t="s">
        <v>414</v>
      </c>
      <c r="I6421" t="s">
        <v>21</v>
      </c>
    </row>
    <row r="6422" spans="1:9" x14ac:dyDescent="0.25">
      <c r="A6422">
        <v>20140213</v>
      </c>
      <c r="B6422" t="str">
        <f t="shared" si="411"/>
        <v>114144</v>
      </c>
      <c r="C6422" t="str">
        <f t="shared" si="412"/>
        <v>87566</v>
      </c>
      <c r="D6422" t="s">
        <v>2139</v>
      </c>
      <c r="E6422">
        <v>15.57</v>
      </c>
      <c r="F6422">
        <v>20140206</v>
      </c>
      <c r="G6422" t="s">
        <v>392</v>
      </c>
      <c r="H6422" t="s">
        <v>414</v>
      </c>
      <c r="I6422" t="s">
        <v>21</v>
      </c>
    </row>
    <row r="6423" spans="1:9" x14ac:dyDescent="0.25">
      <c r="A6423">
        <v>20140213</v>
      </c>
      <c r="B6423" t="str">
        <f t="shared" si="411"/>
        <v>114144</v>
      </c>
      <c r="C6423" t="str">
        <f t="shared" si="412"/>
        <v>87566</v>
      </c>
      <c r="D6423" t="s">
        <v>2139</v>
      </c>
      <c r="E6423">
        <v>36.700000000000003</v>
      </c>
      <c r="F6423">
        <v>20140210</v>
      </c>
      <c r="G6423" t="s">
        <v>392</v>
      </c>
      <c r="H6423" t="s">
        <v>414</v>
      </c>
      <c r="I6423" t="s">
        <v>21</v>
      </c>
    </row>
    <row r="6424" spans="1:9" x14ac:dyDescent="0.25">
      <c r="A6424">
        <v>20140213</v>
      </c>
      <c r="B6424" t="str">
        <f t="shared" si="411"/>
        <v>114144</v>
      </c>
      <c r="C6424" t="str">
        <f t="shared" si="412"/>
        <v>87566</v>
      </c>
      <c r="D6424" t="s">
        <v>2139</v>
      </c>
      <c r="E6424">
        <v>434.68</v>
      </c>
      <c r="F6424">
        <v>20140210</v>
      </c>
      <c r="G6424" t="s">
        <v>392</v>
      </c>
      <c r="H6424" t="s">
        <v>414</v>
      </c>
      <c r="I6424" t="s">
        <v>21</v>
      </c>
    </row>
    <row r="6425" spans="1:9" x14ac:dyDescent="0.25">
      <c r="A6425">
        <v>20140213</v>
      </c>
      <c r="B6425" t="str">
        <f t="shared" si="411"/>
        <v>114144</v>
      </c>
      <c r="C6425" t="str">
        <f t="shared" si="412"/>
        <v>87566</v>
      </c>
      <c r="D6425" t="s">
        <v>2139</v>
      </c>
      <c r="E6425">
        <v>-434.68</v>
      </c>
      <c r="F6425">
        <v>20140213</v>
      </c>
      <c r="G6425" t="s">
        <v>392</v>
      </c>
      <c r="H6425" t="s">
        <v>414</v>
      </c>
      <c r="I6425" t="s">
        <v>21</v>
      </c>
    </row>
    <row r="6426" spans="1:9" x14ac:dyDescent="0.25">
      <c r="A6426">
        <v>20140213</v>
      </c>
      <c r="B6426" t="str">
        <f>"114145"</f>
        <v>114145</v>
      </c>
      <c r="C6426" t="str">
        <f>"87150"</f>
        <v>87150</v>
      </c>
      <c r="D6426" t="s">
        <v>1386</v>
      </c>
      <c r="E6426" s="1">
        <v>1675.01</v>
      </c>
      <c r="F6426">
        <v>20140211</v>
      </c>
      <c r="G6426" t="s">
        <v>404</v>
      </c>
      <c r="H6426" t="s">
        <v>913</v>
      </c>
      <c r="I6426" t="s">
        <v>12</v>
      </c>
    </row>
    <row r="6427" spans="1:9" x14ac:dyDescent="0.25">
      <c r="A6427">
        <v>20140213</v>
      </c>
      <c r="B6427" t="str">
        <f>"114145"</f>
        <v>114145</v>
      </c>
      <c r="C6427" t="str">
        <f>"87150"</f>
        <v>87150</v>
      </c>
      <c r="D6427" t="s">
        <v>1386</v>
      </c>
      <c r="E6427">
        <v>48.89</v>
      </c>
      <c r="F6427">
        <v>20140211</v>
      </c>
      <c r="G6427" t="s">
        <v>202</v>
      </c>
      <c r="H6427" t="s">
        <v>2917</v>
      </c>
      <c r="I6427" t="s">
        <v>12</v>
      </c>
    </row>
    <row r="6428" spans="1:9" x14ac:dyDescent="0.25">
      <c r="A6428">
        <v>20140213</v>
      </c>
      <c r="B6428" t="str">
        <f>"114146"</f>
        <v>114146</v>
      </c>
      <c r="C6428" t="str">
        <f>"87736"</f>
        <v>87736</v>
      </c>
      <c r="D6428" t="s">
        <v>3283</v>
      </c>
      <c r="E6428">
        <v>192.72</v>
      </c>
      <c r="F6428">
        <v>20140211</v>
      </c>
      <c r="G6428" t="s">
        <v>392</v>
      </c>
      <c r="H6428" t="s">
        <v>414</v>
      </c>
      <c r="I6428" t="s">
        <v>21</v>
      </c>
    </row>
    <row r="6429" spans="1:9" x14ac:dyDescent="0.25">
      <c r="A6429">
        <v>20140213</v>
      </c>
      <c r="B6429" t="str">
        <f>"114147"</f>
        <v>114147</v>
      </c>
      <c r="C6429" t="str">
        <f>"87732"</f>
        <v>87732</v>
      </c>
      <c r="D6429" t="s">
        <v>3284</v>
      </c>
      <c r="E6429">
        <v>55.44</v>
      </c>
      <c r="F6429">
        <v>20140207</v>
      </c>
      <c r="G6429" t="s">
        <v>810</v>
      </c>
      <c r="H6429" t="s">
        <v>365</v>
      </c>
      <c r="I6429" t="s">
        <v>66</v>
      </c>
    </row>
    <row r="6430" spans="1:9" x14ac:dyDescent="0.25">
      <c r="A6430">
        <v>20140213</v>
      </c>
      <c r="B6430" t="str">
        <f>"114148"</f>
        <v>114148</v>
      </c>
      <c r="C6430" t="str">
        <f>"82948"</f>
        <v>82948</v>
      </c>
      <c r="D6430" t="s">
        <v>3285</v>
      </c>
      <c r="E6430">
        <v>225</v>
      </c>
      <c r="F6430">
        <v>20140206</v>
      </c>
      <c r="G6430" t="s">
        <v>392</v>
      </c>
      <c r="H6430" t="s">
        <v>3286</v>
      </c>
      <c r="I6430" t="s">
        <v>21</v>
      </c>
    </row>
    <row r="6431" spans="1:9" x14ac:dyDescent="0.25">
      <c r="A6431">
        <v>20140213</v>
      </c>
      <c r="B6431" t="str">
        <f>"114149"</f>
        <v>114149</v>
      </c>
      <c r="C6431" t="str">
        <f>"21950"</f>
        <v>21950</v>
      </c>
      <c r="D6431" t="s">
        <v>35</v>
      </c>
      <c r="E6431">
        <v>35.700000000000003</v>
      </c>
      <c r="F6431">
        <v>20140212</v>
      </c>
      <c r="G6431" t="s">
        <v>39</v>
      </c>
      <c r="H6431" t="s">
        <v>357</v>
      </c>
      <c r="I6431" t="s">
        <v>38</v>
      </c>
    </row>
    <row r="6432" spans="1:9" x14ac:dyDescent="0.25">
      <c r="A6432">
        <v>20140213</v>
      </c>
      <c r="B6432" t="str">
        <f>"114150"</f>
        <v>114150</v>
      </c>
      <c r="C6432" t="str">
        <f>"22200"</f>
        <v>22200</v>
      </c>
      <c r="D6432" t="s">
        <v>519</v>
      </c>
      <c r="E6432">
        <v>36</v>
      </c>
      <c r="F6432">
        <v>20140210</v>
      </c>
      <c r="G6432" t="s">
        <v>737</v>
      </c>
      <c r="H6432" t="s">
        <v>2640</v>
      </c>
      <c r="I6432" t="s">
        <v>21</v>
      </c>
    </row>
    <row r="6433" spans="1:9" x14ac:dyDescent="0.25">
      <c r="A6433">
        <v>20140213</v>
      </c>
      <c r="B6433" t="str">
        <f>"114151"</f>
        <v>114151</v>
      </c>
      <c r="C6433" t="str">
        <f>"22200"</f>
        <v>22200</v>
      </c>
      <c r="D6433" t="s">
        <v>519</v>
      </c>
      <c r="E6433">
        <v>171.25</v>
      </c>
      <c r="F6433">
        <v>20140211</v>
      </c>
      <c r="G6433" t="s">
        <v>202</v>
      </c>
      <c r="H6433" t="s">
        <v>1394</v>
      </c>
      <c r="I6433" t="s">
        <v>12</v>
      </c>
    </row>
    <row r="6434" spans="1:9" x14ac:dyDescent="0.25">
      <c r="A6434">
        <v>20140213</v>
      </c>
      <c r="B6434" t="str">
        <f>"114152"</f>
        <v>114152</v>
      </c>
      <c r="C6434" t="str">
        <f>"86092"</f>
        <v>86092</v>
      </c>
      <c r="D6434" t="s">
        <v>2499</v>
      </c>
      <c r="E6434">
        <v>65</v>
      </c>
      <c r="F6434">
        <v>20140211</v>
      </c>
      <c r="G6434" t="s">
        <v>2324</v>
      </c>
      <c r="H6434" t="s">
        <v>765</v>
      </c>
      <c r="I6434" t="s">
        <v>61</v>
      </c>
    </row>
    <row r="6435" spans="1:9" x14ac:dyDescent="0.25">
      <c r="A6435">
        <v>20140213</v>
      </c>
      <c r="B6435" t="str">
        <f>"114153"</f>
        <v>114153</v>
      </c>
      <c r="C6435" t="str">
        <f>"23827"</f>
        <v>23827</v>
      </c>
      <c r="D6435" t="s">
        <v>528</v>
      </c>
      <c r="E6435">
        <v>651.6</v>
      </c>
      <c r="F6435">
        <v>20140210</v>
      </c>
      <c r="G6435" t="s">
        <v>145</v>
      </c>
      <c r="H6435" t="s">
        <v>513</v>
      </c>
      <c r="I6435" t="s">
        <v>38</v>
      </c>
    </row>
    <row r="6436" spans="1:9" x14ac:dyDescent="0.25">
      <c r="A6436">
        <v>20140213</v>
      </c>
      <c r="B6436" t="str">
        <f>"114153"</f>
        <v>114153</v>
      </c>
      <c r="C6436" t="str">
        <f>"23827"</f>
        <v>23827</v>
      </c>
      <c r="D6436" t="s">
        <v>528</v>
      </c>
      <c r="E6436">
        <v>390</v>
      </c>
      <c r="F6436">
        <v>20140210</v>
      </c>
      <c r="G6436" t="s">
        <v>39</v>
      </c>
      <c r="H6436" t="s">
        <v>513</v>
      </c>
      <c r="I6436" t="s">
        <v>38</v>
      </c>
    </row>
    <row r="6437" spans="1:9" x14ac:dyDescent="0.25">
      <c r="A6437">
        <v>20140213</v>
      </c>
      <c r="B6437" t="str">
        <f>"114153"</f>
        <v>114153</v>
      </c>
      <c r="C6437" t="str">
        <f>"23827"</f>
        <v>23827</v>
      </c>
      <c r="D6437" t="s">
        <v>528</v>
      </c>
      <c r="E6437">
        <v>108.8</v>
      </c>
      <c r="F6437">
        <v>20140206</v>
      </c>
      <c r="G6437" t="s">
        <v>1052</v>
      </c>
      <c r="H6437" t="s">
        <v>513</v>
      </c>
      <c r="I6437" t="s">
        <v>25</v>
      </c>
    </row>
    <row r="6438" spans="1:9" x14ac:dyDescent="0.25">
      <c r="A6438">
        <v>20140213</v>
      </c>
      <c r="B6438" t="str">
        <f>"114154"</f>
        <v>114154</v>
      </c>
      <c r="C6438" t="str">
        <f>"23827"</f>
        <v>23827</v>
      </c>
      <c r="D6438" t="s">
        <v>528</v>
      </c>
      <c r="E6438">
        <v>229.4</v>
      </c>
      <c r="F6438">
        <v>20140212</v>
      </c>
      <c r="G6438" t="s">
        <v>1954</v>
      </c>
      <c r="H6438" t="s">
        <v>513</v>
      </c>
      <c r="I6438" t="s">
        <v>38</v>
      </c>
    </row>
    <row r="6439" spans="1:9" x14ac:dyDescent="0.25">
      <c r="A6439">
        <v>20140213</v>
      </c>
      <c r="B6439" t="str">
        <f>"114155"</f>
        <v>114155</v>
      </c>
      <c r="C6439" t="str">
        <f>"83480"</f>
        <v>83480</v>
      </c>
      <c r="D6439" t="s">
        <v>1972</v>
      </c>
      <c r="E6439">
        <v>55.95</v>
      </c>
      <c r="F6439">
        <v>20140207</v>
      </c>
      <c r="G6439" t="s">
        <v>181</v>
      </c>
      <c r="H6439" t="s">
        <v>354</v>
      </c>
      <c r="I6439" t="s">
        <v>38</v>
      </c>
    </row>
    <row r="6440" spans="1:9" x14ac:dyDescent="0.25">
      <c r="A6440">
        <v>20140213</v>
      </c>
      <c r="B6440" t="str">
        <f>"114156"</f>
        <v>114156</v>
      </c>
      <c r="C6440" t="str">
        <f>"83353"</f>
        <v>83353</v>
      </c>
      <c r="D6440" t="s">
        <v>813</v>
      </c>
      <c r="E6440">
        <v>91.72</v>
      </c>
      <c r="F6440">
        <v>20140207</v>
      </c>
      <c r="G6440" t="s">
        <v>181</v>
      </c>
      <c r="H6440" t="s">
        <v>354</v>
      </c>
      <c r="I6440" t="s">
        <v>38</v>
      </c>
    </row>
    <row r="6441" spans="1:9" x14ac:dyDescent="0.25">
      <c r="A6441">
        <v>20140213</v>
      </c>
      <c r="B6441" t="str">
        <f>"114157"</f>
        <v>114157</v>
      </c>
      <c r="C6441" t="str">
        <f>"87599"</f>
        <v>87599</v>
      </c>
      <c r="D6441" t="s">
        <v>2154</v>
      </c>
      <c r="E6441">
        <v>13.5</v>
      </c>
      <c r="F6441">
        <v>20140206</v>
      </c>
      <c r="G6441" t="s">
        <v>410</v>
      </c>
      <c r="H6441" t="s">
        <v>411</v>
      </c>
      <c r="I6441" t="s">
        <v>12</v>
      </c>
    </row>
    <row r="6442" spans="1:9" x14ac:dyDescent="0.25">
      <c r="A6442">
        <v>20140213</v>
      </c>
      <c r="B6442" t="str">
        <f t="shared" ref="B6442:B6455" si="413">"114158"</f>
        <v>114158</v>
      </c>
      <c r="C6442" t="str">
        <f t="shared" ref="C6442:C6455" si="414">"24530"</f>
        <v>24530</v>
      </c>
      <c r="D6442" t="s">
        <v>412</v>
      </c>
      <c r="E6442">
        <v>32.72</v>
      </c>
      <c r="F6442">
        <v>20140211</v>
      </c>
      <c r="G6442" t="s">
        <v>413</v>
      </c>
      <c r="H6442" t="s">
        <v>414</v>
      </c>
      <c r="I6442" t="s">
        <v>21</v>
      </c>
    </row>
    <row r="6443" spans="1:9" x14ac:dyDescent="0.25">
      <c r="A6443">
        <v>20140213</v>
      </c>
      <c r="B6443" t="str">
        <f t="shared" si="413"/>
        <v>114158</v>
      </c>
      <c r="C6443" t="str">
        <f t="shared" si="414"/>
        <v>24530</v>
      </c>
      <c r="D6443" t="s">
        <v>412</v>
      </c>
      <c r="E6443" s="1">
        <v>1831.55</v>
      </c>
      <c r="F6443">
        <v>20140211</v>
      </c>
      <c r="G6443" t="s">
        <v>415</v>
      </c>
      <c r="H6443" t="s">
        <v>414</v>
      </c>
      <c r="I6443" t="s">
        <v>21</v>
      </c>
    </row>
    <row r="6444" spans="1:9" x14ac:dyDescent="0.25">
      <c r="A6444">
        <v>20140213</v>
      </c>
      <c r="B6444" t="str">
        <f t="shared" si="413"/>
        <v>114158</v>
      </c>
      <c r="C6444" t="str">
        <f t="shared" si="414"/>
        <v>24530</v>
      </c>
      <c r="D6444" t="s">
        <v>412</v>
      </c>
      <c r="E6444">
        <v>466.05</v>
      </c>
      <c r="F6444">
        <v>20140211</v>
      </c>
      <c r="G6444" t="s">
        <v>627</v>
      </c>
      <c r="H6444" t="s">
        <v>414</v>
      </c>
      <c r="I6444" t="s">
        <v>21</v>
      </c>
    </row>
    <row r="6445" spans="1:9" x14ac:dyDescent="0.25">
      <c r="A6445">
        <v>20140213</v>
      </c>
      <c r="B6445" t="str">
        <f t="shared" si="413"/>
        <v>114158</v>
      </c>
      <c r="C6445" t="str">
        <f t="shared" si="414"/>
        <v>24530</v>
      </c>
      <c r="D6445" t="s">
        <v>412</v>
      </c>
      <c r="E6445">
        <v>70.739999999999995</v>
      </c>
      <c r="F6445">
        <v>20140211</v>
      </c>
      <c r="G6445" t="s">
        <v>1222</v>
      </c>
      <c r="H6445" t="s">
        <v>414</v>
      </c>
      <c r="I6445" t="s">
        <v>21</v>
      </c>
    </row>
    <row r="6446" spans="1:9" x14ac:dyDescent="0.25">
      <c r="A6446">
        <v>20140213</v>
      </c>
      <c r="B6446" t="str">
        <f t="shared" si="413"/>
        <v>114158</v>
      </c>
      <c r="C6446" t="str">
        <f t="shared" si="414"/>
        <v>24530</v>
      </c>
      <c r="D6446" t="s">
        <v>412</v>
      </c>
      <c r="E6446">
        <v>66.62</v>
      </c>
      <c r="F6446">
        <v>20140211</v>
      </c>
      <c r="G6446" t="s">
        <v>628</v>
      </c>
      <c r="H6446" t="s">
        <v>414</v>
      </c>
      <c r="I6446" t="s">
        <v>21</v>
      </c>
    </row>
    <row r="6447" spans="1:9" x14ac:dyDescent="0.25">
      <c r="A6447">
        <v>20140213</v>
      </c>
      <c r="B6447" t="str">
        <f t="shared" si="413"/>
        <v>114158</v>
      </c>
      <c r="C6447" t="str">
        <f t="shared" si="414"/>
        <v>24530</v>
      </c>
      <c r="D6447" t="s">
        <v>412</v>
      </c>
      <c r="E6447">
        <v>65</v>
      </c>
      <c r="F6447">
        <v>20140211</v>
      </c>
      <c r="G6447" t="s">
        <v>629</v>
      </c>
      <c r="H6447" t="s">
        <v>414</v>
      </c>
      <c r="I6447" t="s">
        <v>21</v>
      </c>
    </row>
    <row r="6448" spans="1:9" x14ac:dyDescent="0.25">
      <c r="A6448">
        <v>20140213</v>
      </c>
      <c r="B6448" t="str">
        <f t="shared" si="413"/>
        <v>114158</v>
      </c>
      <c r="C6448" t="str">
        <f t="shared" si="414"/>
        <v>24530</v>
      </c>
      <c r="D6448" t="s">
        <v>412</v>
      </c>
      <c r="E6448">
        <v>7.71</v>
      </c>
      <c r="F6448">
        <v>20140211</v>
      </c>
      <c r="G6448" t="s">
        <v>630</v>
      </c>
      <c r="H6448" t="s">
        <v>414</v>
      </c>
      <c r="I6448" t="s">
        <v>21</v>
      </c>
    </row>
    <row r="6449" spans="1:9" x14ac:dyDescent="0.25">
      <c r="A6449">
        <v>20140213</v>
      </c>
      <c r="B6449" t="str">
        <f t="shared" si="413"/>
        <v>114158</v>
      </c>
      <c r="C6449" t="str">
        <f t="shared" si="414"/>
        <v>24530</v>
      </c>
      <c r="D6449" t="s">
        <v>412</v>
      </c>
      <c r="E6449">
        <v>187.69</v>
      </c>
      <c r="F6449">
        <v>20140211</v>
      </c>
      <c r="G6449" t="s">
        <v>530</v>
      </c>
      <c r="H6449" t="s">
        <v>414</v>
      </c>
      <c r="I6449" t="s">
        <v>21</v>
      </c>
    </row>
    <row r="6450" spans="1:9" x14ac:dyDescent="0.25">
      <c r="A6450">
        <v>20140213</v>
      </c>
      <c r="B6450" t="str">
        <f t="shared" si="413"/>
        <v>114158</v>
      </c>
      <c r="C6450" t="str">
        <f t="shared" si="414"/>
        <v>24530</v>
      </c>
      <c r="D6450" t="s">
        <v>412</v>
      </c>
      <c r="E6450">
        <v>462.4</v>
      </c>
      <c r="F6450">
        <v>20140211</v>
      </c>
      <c r="G6450" t="s">
        <v>392</v>
      </c>
      <c r="H6450" t="s">
        <v>414</v>
      </c>
      <c r="I6450" t="s">
        <v>21</v>
      </c>
    </row>
    <row r="6451" spans="1:9" x14ac:dyDescent="0.25">
      <c r="A6451">
        <v>20140213</v>
      </c>
      <c r="B6451" t="str">
        <f t="shared" si="413"/>
        <v>114158</v>
      </c>
      <c r="C6451" t="str">
        <f t="shared" si="414"/>
        <v>24530</v>
      </c>
      <c r="D6451" t="s">
        <v>412</v>
      </c>
      <c r="E6451">
        <v>568.36</v>
      </c>
      <c r="F6451">
        <v>20140211</v>
      </c>
      <c r="G6451" t="s">
        <v>1224</v>
      </c>
      <c r="H6451" t="s">
        <v>414</v>
      </c>
      <c r="I6451" t="s">
        <v>21</v>
      </c>
    </row>
    <row r="6452" spans="1:9" x14ac:dyDescent="0.25">
      <c r="A6452">
        <v>20140213</v>
      </c>
      <c r="B6452" t="str">
        <f t="shared" si="413"/>
        <v>114158</v>
      </c>
      <c r="C6452" t="str">
        <f t="shared" si="414"/>
        <v>24530</v>
      </c>
      <c r="D6452" t="s">
        <v>412</v>
      </c>
      <c r="E6452">
        <v>3.49</v>
      </c>
      <c r="F6452">
        <v>20140211</v>
      </c>
      <c r="G6452" t="s">
        <v>531</v>
      </c>
      <c r="H6452" t="s">
        <v>414</v>
      </c>
      <c r="I6452" t="s">
        <v>21</v>
      </c>
    </row>
    <row r="6453" spans="1:9" x14ac:dyDescent="0.25">
      <c r="A6453">
        <v>20140213</v>
      </c>
      <c r="B6453" t="str">
        <f t="shared" si="413"/>
        <v>114158</v>
      </c>
      <c r="C6453" t="str">
        <f t="shared" si="414"/>
        <v>24530</v>
      </c>
      <c r="D6453" t="s">
        <v>412</v>
      </c>
      <c r="E6453">
        <v>32.770000000000003</v>
      </c>
      <c r="F6453">
        <v>20140211</v>
      </c>
      <c r="G6453" t="s">
        <v>417</v>
      </c>
      <c r="H6453" t="s">
        <v>414</v>
      </c>
      <c r="I6453" t="s">
        <v>21</v>
      </c>
    </row>
    <row r="6454" spans="1:9" x14ac:dyDescent="0.25">
      <c r="A6454">
        <v>20140213</v>
      </c>
      <c r="B6454" t="str">
        <f t="shared" si="413"/>
        <v>114158</v>
      </c>
      <c r="C6454" t="str">
        <f t="shared" si="414"/>
        <v>24530</v>
      </c>
      <c r="D6454" t="s">
        <v>412</v>
      </c>
      <c r="E6454">
        <v>446.4</v>
      </c>
      <c r="F6454">
        <v>20140211</v>
      </c>
      <c r="G6454" t="s">
        <v>331</v>
      </c>
      <c r="H6454" t="s">
        <v>414</v>
      </c>
      <c r="I6454" t="s">
        <v>12</v>
      </c>
    </row>
    <row r="6455" spans="1:9" x14ac:dyDescent="0.25">
      <c r="A6455">
        <v>20140213</v>
      </c>
      <c r="B6455" t="str">
        <f t="shared" si="413"/>
        <v>114158</v>
      </c>
      <c r="C6455" t="str">
        <f t="shared" si="414"/>
        <v>24530</v>
      </c>
      <c r="D6455" t="s">
        <v>412</v>
      </c>
      <c r="E6455">
        <v>150.66999999999999</v>
      </c>
      <c r="F6455">
        <v>20140211</v>
      </c>
      <c r="G6455" t="s">
        <v>1426</v>
      </c>
      <c r="H6455" t="s">
        <v>414</v>
      </c>
      <c r="I6455" t="s">
        <v>38</v>
      </c>
    </row>
    <row r="6456" spans="1:9" x14ac:dyDescent="0.25">
      <c r="A6456">
        <v>20140213</v>
      </c>
      <c r="B6456" t="str">
        <f t="shared" ref="B6456:B6468" si="415">"114159"</f>
        <v>114159</v>
      </c>
      <c r="C6456" t="str">
        <f t="shared" ref="C6456:C6468" si="416">"87714"</f>
        <v>87714</v>
      </c>
      <c r="D6456" t="s">
        <v>3141</v>
      </c>
      <c r="E6456">
        <v>476.87</v>
      </c>
      <c r="F6456">
        <v>20140212</v>
      </c>
      <c r="G6456" t="s">
        <v>717</v>
      </c>
      <c r="H6456" t="s">
        <v>488</v>
      </c>
      <c r="I6456" t="s">
        <v>21</v>
      </c>
    </row>
    <row r="6457" spans="1:9" x14ac:dyDescent="0.25">
      <c r="A6457">
        <v>20140213</v>
      </c>
      <c r="B6457" t="str">
        <f t="shared" si="415"/>
        <v>114159</v>
      </c>
      <c r="C6457" t="str">
        <f t="shared" si="416"/>
        <v>87714</v>
      </c>
      <c r="D6457" t="s">
        <v>3141</v>
      </c>
      <c r="E6457" s="1">
        <v>4821.7700000000004</v>
      </c>
      <c r="F6457">
        <v>20140212</v>
      </c>
      <c r="G6457" t="s">
        <v>718</v>
      </c>
      <c r="H6457" t="s">
        <v>488</v>
      </c>
      <c r="I6457" t="s">
        <v>21</v>
      </c>
    </row>
    <row r="6458" spans="1:9" x14ac:dyDescent="0.25">
      <c r="A6458">
        <v>20140213</v>
      </c>
      <c r="B6458" t="str">
        <f t="shared" si="415"/>
        <v>114159</v>
      </c>
      <c r="C6458" t="str">
        <f t="shared" si="416"/>
        <v>87714</v>
      </c>
      <c r="D6458" t="s">
        <v>3141</v>
      </c>
      <c r="E6458" s="1">
        <v>5754.43</v>
      </c>
      <c r="F6458">
        <v>20140212</v>
      </c>
      <c r="G6458" t="s">
        <v>719</v>
      </c>
      <c r="H6458" t="s">
        <v>488</v>
      </c>
      <c r="I6458" t="s">
        <v>21</v>
      </c>
    </row>
    <row r="6459" spans="1:9" x14ac:dyDescent="0.25">
      <c r="A6459">
        <v>20140213</v>
      </c>
      <c r="B6459" t="str">
        <f t="shared" si="415"/>
        <v>114159</v>
      </c>
      <c r="C6459" t="str">
        <f t="shared" si="416"/>
        <v>87714</v>
      </c>
      <c r="D6459" t="s">
        <v>3141</v>
      </c>
      <c r="E6459" s="1">
        <v>4619.42</v>
      </c>
      <c r="F6459">
        <v>20140212</v>
      </c>
      <c r="G6459" t="s">
        <v>720</v>
      </c>
      <c r="H6459" t="s">
        <v>488</v>
      </c>
      <c r="I6459" t="s">
        <v>21</v>
      </c>
    </row>
    <row r="6460" spans="1:9" x14ac:dyDescent="0.25">
      <c r="A6460">
        <v>20140213</v>
      </c>
      <c r="B6460" t="str">
        <f t="shared" si="415"/>
        <v>114159</v>
      </c>
      <c r="C6460" t="str">
        <f t="shared" si="416"/>
        <v>87714</v>
      </c>
      <c r="D6460" t="s">
        <v>3141</v>
      </c>
      <c r="E6460" s="1">
        <v>4668.29</v>
      </c>
      <c r="F6460">
        <v>20140212</v>
      </c>
      <c r="G6460" t="s">
        <v>721</v>
      </c>
      <c r="H6460" t="s">
        <v>488</v>
      </c>
      <c r="I6460" t="s">
        <v>21</v>
      </c>
    </row>
    <row r="6461" spans="1:9" x14ac:dyDescent="0.25">
      <c r="A6461">
        <v>20140213</v>
      </c>
      <c r="B6461" t="str">
        <f t="shared" si="415"/>
        <v>114159</v>
      </c>
      <c r="C6461" t="str">
        <f t="shared" si="416"/>
        <v>87714</v>
      </c>
      <c r="D6461" t="s">
        <v>3141</v>
      </c>
      <c r="E6461" s="1">
        <v>5171.63</v>
      </c>
      <c r="F6461">
        <v>20140212</v>
      </c>
      <c r="G6461" t="s">
        <v>722</v>
      </c>
      <c r="H6461" t="s">
        <v>488</v>
      </c>
      <c r="I6461" t="s">
        <v>21</v>
      </c>
    </row>
    <row r="6462" spans="1:9" x14ac:dyDescent="0.25">
      <c r="A6462">
        <v>20140213</v>
      </c>
      <c r="B6462" t="str">
        <f t="shared" si="415"/>
        <v>114159</v>
      </c>
      <c r="C6462" t="str">
        <f t="shared" si="416"/>
        <v>87714</v>
      </c>
      <c r="D6462" t="s">
        <v>3141</v>
      </c>
      <c r="E6462" s="1">
        <v>3342.2</v>
      </c>
      <c r="F6462">
        <v>20140212</v>
      </c>
      <c r="G6462" t="s">
        <v>723</v>
      </c>
      <c r="H6462" t="s">
        <v>488</v>
      </c>
      <c r="I6462" t="s">
        <v>21</v>
      </c>
    </row>
    <row r="6463" spans="1:9" x14ac:dyDescent="0.25">
      <c r="A6463">
        <v>20140213</v>
      </c>
      <c r="B6463" t="str">
        <f t="shared" si="415"/>
        <v>114159</v>
      </c>
      <c r="C6463" t="str">
        <f t="shared" si="416"/>
        <v>87714</v>
      </c>
      <c r="D6463" t="s">
        <v>3141</v>
      </c>
      <c r="E6463" s="1">
        <v>4865.59</v>
      </c>
      <c r="F6463">
        <v>20140212</v>
      </c>
      <c r="G6463" t="s">
        <v>725</v>
      </c>
      <c r="H6463" t="s">
        <v>488</v>
      </c>
      <c r="I6463" t="s">
        <v>21</v>
      </c>
    </row>
    <row r="6464" spans="1:9" x14ac:dyDescent="0.25">
      <c r="A6464">
        <v>20140213</v>
      </c>
      <c r="B6464" t="str">
        <f t="shared" si="415"/>
        <v>114159</v>
      </c>
      <c r="C6464" t="str">
        <f t="shared" si="416"/>
        <v>87714</v>
      </c>
      <c r="D6464" t="s">
        <v>3141</v>
      </c>
      <c r="E6464">
        <v>928.08</v>
      </c>
      <c r="F6464">
        <v>20140212</v>
      </c>
      <c r="G6464" t="s">
        <v>726</v>
      </c>
      <c r="H6464" t="s">
        <v>488</v>
      </c>
      <c r="I6464" t="s">
        <v>21</v>
      </c>
    </row>
    <row r="6465" spans="1:9" x14ac:dyDescent="0.25">
      <c r="A6465">
        <v>20140213</v>
      </c>
      <c r="B6465" t="str">
        <f t="shared" si="415"/>
        <v>114159</v>
      </c>
      <c r="C6465" t="str">
        <f t="shared" si="416"/>
        <v>87714</v>
      </c>
      <c r="D6465" t="s">
        <v>3141</v>
      </c>
      <c r="E6465" s="1">
        <v>2150.0100000000002</v>
      </c>
      <c r="F6465">
        <v>20140212</v>
      </c>
      <c r="G6465" t="s">
        <v>727</v>
      </c>
      <c r="H6465" t="s">
        <v>488</v>
      </c>
      <c r="I6465" t="s">
        <v>21</v>
      </c>
    </row>
    <row r="6466" spans="1:9" x14ac:dyDescent="0.25">
      <c r="A6466">
        <v>20140213</v>
      </c>
      <c r="B6466" t="str">
        <f t="shared" si="415"/>
        <v>114159</v>
      </c>
      <c r="C6466" t="str">
        <f t="shared" si="416"/>
        <v>87714</v>
      </c>
      <c r="D6466" t="s">
        <v>3141</v>
      </c>
      <c r="E6466">
        <v>682.39</v>
      </c>
      <c r="F6466">
        <v>20140212</v>
      </c>
      <c r="G6466" t="s">
        <v>728</v>
      </c>
      <c r="H6466" t="s">
        <v>488</v>
      </c>
      <c r="I6466" t="s">
        <v>21</v>
      </c>
    </row>
    <row r="6467" spans="1:9" x14ac:dyDescent="0.25">
      <c r="A6467">
        <v>20140213</v>
      </c>
      <c r="B6467" t="str">
        <f t="shared" si="415"/>
        <v>114159</v>
      </c>
      <c r="C6467" t="str">
        <f t="shared" si="416"/>
        <v>87714</v>
      </c>
      <c r="D6467" t="s">
        <v>3141</v>
      </c>
      <c r="E6467">
        <v>179.9</v>
      </c>
      <c r="F6467">
        <v>20140212</v>
      </c>
      <c r="G6467" t="s">
        <v>729</v>
      </c>
      <c r="H6467" t="s">
        <v>488</v>
      </c>
      <c r="I6467" t="s">
        <v>21</v>
      </c>
    </row>
    <row r="6468" spans="1:9" x14ac:dyDescent="0.25">
      <c r="A6468">
        <v>20140213</v>
      </c>
      <c r="B6468" t="str">
        <f t="shared" si="415"/>
        <v>114159</v>
      </c>
      <c r="C6468" t="str">
        <f t="shared" si="416"/>
        <v>87714</v>
      </c>
      <c r="D6468" t="s">
        <v>3141</v>
      </c>
      <c r="E6468">
        <v>176.59</v>
      </c>
      <c r="F6468">
        <v>20140212</v>
      </c>
      <c r="G6468" t="s">
        <v>467</v>
      </c>
      <c r="H6468" t="s">
        <v>488</v>
      </c>
      <c r="I6468" t="s">
        <v>21</v>
      </c>
    </row>
    <row r="6469" spans="1:9" x14ac:dyDescent="0.25">
      <c r="A6469">
        <v>20140213</v>
      </c>
      <c r="B6469" t="str">
        <f t="shared" ref="B6469:B6479" si="417">"114160"</f>
        <v>114160</v>
      </c>
      <c r="C6469" t="str">
        <f t="shared" ref="C6469:C6480" si="418">"25516"</f>
        <v>25516</v>
      </c>
      <c r="D6469" t="s">
        <v>529</v>
      </c>
      <c r="E6469" s="1">
        <v>1867.77</v>
      </c>
      <c r="F6469">
        <v>20140210</v>
      </c>
      <c r="G6469" t="s">
        <v>473</v>
      </c>
      <c r="H6469" t="s">
        <v>414</v>
      </c>
      <c r="I6469" t="s">
        <v>21</v>
      </c>
    </row>
    <row r="6470" spans="1:9" x14ac:dyDescent="0.25">
      <c r="A6470">
        <v>20140213</v>
      </c>
      <c r="B6470" t="str">
        <f t="shared" si="417"/>
        <v>114160</v>
      </c>
      <c r="C6470" t="str">
        <f t="shared" si="418"/>
        <v>25516</v>
      </c>
      <c r="D6470" t="s">
        <v>529</v>
      </c>
      <c r="E6470">
        <v>481.59</v>
      </c>
      <c r="F6470">
        <v>20140210</v>
      </c>
      <c r="G6470" t="s">
        <v>475</v>
      </c>
      <c r="H6470" t="s">
        <v>414</v>
      </c>
      <c r="I6470" t="s">
        <v>21</v>
      </c>
    </row>
    <row r="6471" spans="1:9" x14ac:dyDescent="0.25">
      <c r="A6471">
        <v>20140213</v>
      </c>
      <c r="B6471" t="str">
        <f t="shared" si="417"/>
        <v>114160</v>
      </c>
      <c r="C6471" t="str">
        <f t="shared" si="418"/>
        <v>25516</v>
      </c>
      <c r="D6471" t="s">
        <v>529</v>
      </c>
      <c r="E6471">
        <v>385.37</v>
      </c>
      <c r="F6471">
        <v>20140210</v>
      </c>
      <c r="G6471" t="s">
        <v>476</v>
      </c>
      <c r="H6471" t="s">
        <v>414</v>
      </c>
      <c r="I6471" t="s">
        <v>21</v>
      </c>
    </row>
    <row r="6472" spans="1:9" x14ac:dyDescent="0.25">
      <c r="A6472">
        <v>20140213</v>
      </c>
      <c r="B6472" t="str">
        <f t="shared" si="417"/>
        <v>114160</v>
      </c>
      <c r="C6472" t="str">
        <f t="shared" si="418"/>
        <v>25516</v>
      </c>
      <c r="D6472" t="s">
        <v>529</v>
      </c>
      <c r="E6472" s="1">
        <v>2052.52</v>
      </c>
      <c r="F6472">
        <v>20140210</v>
      </c>
      <c r="G6472" t="s">
        <v>477</v>
      </c>
      <c r="H6472" t="s">
        <v>414</v>
      </c>
      <c r="I6472" t="s">
        <v>21</v>
      </c>
    </row>
    <row r="6473" spans="1:9" x14ac:dyDescent="0.25">
      <c r="A6473">
        <v>20140213</v>
      </c>
      <c r="B6473" t="str">
        <f t="shared" si="417"/>
        <v>114160</v>
      </c>
      <c r="C6473" t="str">
        <f t="shared" si="418"/>
        <v>25516</v>
      </c>
      <c r="D6473" t="s">
        <v>529</v>
      </c>
      <c r="E6473" s="1">
        <v>1696.96</v>
      </c>
      <c r="F6473">
        <v>20140210</v>
      </c>
      <c r="G6473" t="s">
        <v>478</v>
      </c>
      <c r="H6473" t="s">
        <v>414</v>
      </c>
      <c r="I6473" t="s">
        <v>21</v>
      </c>
    </row>
    <row r="6474" spans="1:9" x14ac:dyDescent="0.25">
      <c r="A6474">
        <v>20140213</v>
      </c>
      <c r="B6474" t="str">
        <f t="shared" si="417"/>
        <v>114160</v>
      </c>
      <c r="C6474" t="str">
        <f t="shared" si="418"/>
        <v>25516</v>
      </c>
      <c r="D6474" t="s">
        <v>529</v>
      </c>
      <c r="E6474" s="1">
        <v>1016.87</v>
      </c>
      <c r="F6474">
        <v>20140210</v>
      </c>
      <c r="G6474" t="s">
        <v>479</v>
      </c>
      <c r="H6474" t="s">
        <v>414</v>
      </c>
      <c r="I6474" t="s">
        <v>21</v>
      </c>
    </row>
    <row r="6475" spans="1:9" x14ac:dyDescent="0.25">
      <c r="A6475">
        <v>20140213</v>
      </c>
      <c r="B6475" t="str">
        <f t="shared" si="417"/>
        <v>114160</v>
      </c>
      <c r="C6475" t="str">
        <f t="shared" si="418"/>
        <v>25516</v>
      </c>
      <c r="D6475" t="s">
        <v>529</v>
      </c>
      <c r="E6475">
        <v>882.97</v>
      </c>
      <c r="F6475">
        <v>20140210</v>
      </c>
      <c r="G6475" t="s">
        <v>480</v>
      </c>
      <c r="H6475" t="s">
        <v>414</v>
      </c>
      <c r="I6475" t="s">
        <v>21</v>
      </c>
    </row>
    <row r="6476" spans="1:9" x14ac:dyDescent="0.25">
      <c r="A6476">
        <v>20140213</v>
      </c>
      <c r="B6476" t="str">
        <f t="shared" si="417"/>
        <v>114160</v>
      </c>
      <c r="C6476" t="str">
        <f t="shared" si="418"/>
        <v>25516</v>
      </c>
      <c r="D6476" t="s">
        <v>529</v>
      </c>
      <c r="E6476" s="1">
        <v>1089.6400000000001</v>
      </c>
      <c r="F6476">
        <v>20140210</v>
      </c>
      <c r="G6476" t="s">
        <v>481</v>
      </c>
      <c r="H6476" t="s">
        <v>414</v>
      </c>
      <c r="I6476" t="s">
        <v>21</v>
      </c>
    </row>
    <row r="6477" spans="1:9" x14ac:dyDescent="0.25">
      <c r="A6477">
        <v>20140213</v>
      </c>
      <c r="B6477" t="str">
        <f t="shared" si="417"/>
        <v>114160</v>
      </c>
      <c r="C6477" t="str">
        <f t="shared" si="418"/>
        <v>25516</v>
      </c>
      <c r="D6477" t="s">
        <v>529</v>
      </c>
      <c r="E6477" s="1">
        <v>1425.33</v>
      </c>
      <c r="F6477">
        <v>20140210</v>
      </c>
      <c r="G6477" t="s">
        <v>482</v>
      </c>
      <c r="H6477" t="s">
        <v>414</v>
      </c>
      <c r="I6477" t="s">
        <v>21</v>
      </c>
    </row>
    <row r="6478" spans="1:9" x14ac:dyDescent="0.25">
      <c r="A6478">
        <v>20140213</v>
      </c>
      <c r="B6478" t="str">
        <f t="shared" si="417"/>
        <v>114160</v>
      </c>
      <c r="C6478" t="str">
        <f t="shared" si="418"/>
        <v>25516</v>
      </c>
      <c r="D6478" t="s">
        <v>529</v>
      </c>
      <c r="E6478">
        <v>660.36</v>
      </c>
      <c r="F6478">
        <v>20140210</v>
      </c>
      <c r="G6478" t="s">
        <v>484</v>
      </c>
      <c r="H6478" t="s">
        <v>414</v>
      </c>
      <c r="I6478" t="s">
        <v>21</v>
      </c>
    </row>
    <row r="6479" spans="1:9" x14ac:dyDescent="0.25">
      <c r="A6479">
        <v>20140213</v>
      </c>
      <c r="B6479" t="str">
        <f t="shared" si="417"/>
        <v>114160</v>
      </c>
      <c r="C6479" t="str">
        <f t="shared" si="418"/>
        <v>25516</v>
      </c>
      <c r="D6479" t="s">
        <v>529</v>
      </c>
      <c r="E6479">
        <v>437.35</v>
      </c>
      <c r="F6479">
        <v>20140210</v>
      </c>
      <c r="G6479" t="s">
        <v>485</v>
      </c>
      <c r="H6479" t="s">
        <v>414</v>
      </c>
      <c r="I6479" t="s">
        <v>21</v>
      </c>
    </row>
    <row r="6480" spans="1:9" x14ac:dyDescent="0.25">
      <c r="A6480">
        <v>20140213</v>
      </c>
      <c r="B6480" t="str">
        <f>"114161"</f>
        <v>114161</v>
      </c>
      <c r="C6480" t="str">
        <f t="shared" si="418"/>
        <v>25516</v>
      </c>
      <c r="D6480" t="s">
        <v>529</v>
      </c>
      <c r="E6480" s="1">
        <v>1961.83</v>
      </c>
      <c r="F6480">
        <v>20140211</v>
      </c>
      <c r="G6480" t="s">
        <v>331</v>
      </c>
      <c r="H6480" t="s">
        <v>3287</v>
      </c>
      <c r="I6480" t="s">
        <v>12</v>
      </c>
    </row>
    <row r="6481" spans="1:9" x14ac:dyDescent="0.25">
      <c r="A6481">
        <v>20140213</v>
      </c>
      <c r="B6481" t="str">
        <f>"114162"</f>
        <v>114162</v>
      </c>
      <c r="C6481" t="str">
        <f>"81134"</f>
        <v>81134</v>
      </c>
      <c r="D6481" t="s">
        <v>3288</v>
      </c>
      <c r="E6481">
        <v>75.099999999999994</v>
      </c>
      <c r="F6481">
        <v>20140212</v>
      </c>
      <c r="G6481" t="s">
        <v>1120</v>
      </c>
      <c r="H6481" t="s">
        <v>365</v>
      </c>
      <c r="I6481" t="s">
        <v>66</v>
      </c>
    </row>
    <row r="6482" spans="1:9" x14ac:dyDescent="0.25">
      <c r="A6482">
        <v>20140213</v>
      </c>
      <c r="B6482" t="str">
        <f>"114163"</f>
        <v>114163</v>
      </c>
      <c r="C6482" t="str">
        <f>"81057"</f>
        <v>81057</v>
      </c>
      <c r="D6482" t="s">
        <v>3289</v>
      </c>
      <c r="E6482">
        <v>28.58</v>
      </c>
      <c r="F6482">
        <v>20140207</v>
      </c>
      <c r="G6482" t="s">
        <v>828</v>
      </c>
      <c r="H6482" t="s">
        <v>3290</v>
      </c>
      <c r="I6482" t="s">
        <v>21</v>
      </c>
    </row>
    <row r="6483" spans="1:9" x14ac:dyDescent="0.25">
      <c r="A6483">
        <v>20140213</v>
      </c>
      <c r="B6483" t="str">
        <f>"114164"</f>
        <v>114164</v>
      </c>
      <c r="C6483" t="str">
        <f>"82613"</f>
        <v>82613</v>
      </c>
      <c r="D6483" t="s">
        <v>546</v>
      </c>
      <c r="E6483">
        <v>198</v>
      </c>
      <c r="F6483">
        <v>20140207</v>
      </c>
      <c r="G6483" t="s">
        <v>337</v>
      </c>
      <c r="H6483" t="s">
        <v>2166</v>
      </c>
      <c r="I6483" t="s">
        <v>21</v>
      </c>
    </row>
    <row r="6484" spans="1:9" x14ac:dyDescent="0.25">
      <c r="A6484">
        <v>20140213</v>
      </c>
      <c r="B6484" t="str">
        <f>"114165"</f>
        <v>114165</v>
      </c>
      <c r="C6484" t="str">
        <f>"26990"</f>
        <v>26990</v>
      </c>
      <c r="D6484" t="s">
        <v>548</v>
      </c>
      <c r="E6484">
        <v>15</v>
      </c>
      <c r="F6484">
        <v>20140206</v>
      </c>
      <c r="G6484" t="s">
        <v>426</v>
      </c>
      <c r="H6484" t="s">
        <v>3291</v>
      </c>
      <c r="I6484" t="s">
        <v>21</v>
      </c>
    </row>
    <row r="6485" spans="1:9" x14ac:dyDescent="0.25">
      <c r="A6485">
        <v>20140213</v>
      </c>
      <c r="B6485" t="str">
        <f>"114166"</f>
        <v>114166</v>
      </c>
      <c r="C6485" t="str">
        <f>"85175"</f>
        <v>85175</v>
      </c>
      <c r="D6485" t="s">
        <v>1414</v>
      </c>
      <c r="E6485">
        <v>36.53</v>
      </c>
      <c r="F6485">
        <v>20140210</v>
      </c>
      <c r="G6485" t="s">
        <v>1033</v>
      </c>
      <c r="H6485" t="s">
        <v>365</v>
      </c>
      <c r="I6485" t="s">
        <v>21</v>
      </c>
    </row>
    <row r="6486" spans="1:9" x14ac:dyDescent="0.25">
      <c r="A6486">
        <v>20140213</v>
      </c>
      <c r="B6486" t="str">
        <f>"114167"</f>
        <v>114167</v>
      </c>
      <c r="C6486" t="str">
        <f>"27981"</f>
        <v>27981</v>
      </c>
      <c r="D6486" t="s">
        <v>551</v>
      </c>
      <c r="E6486">
        <v>45.3</v>
      </c>
      <c r="F6486">
        <v>20140206</v>
      </c>
      <c r="G6486" t="s">
        <v>1222</v>
      </c>
      <c r="H6486" t="s">
        <v>414</v>
      </c>
      <c r="I6486" t="s">
        <v>21</v>
      </c>
    </row>
    <row r="6487" spans="1:9" x14ac:dyDescent="0.25">
      <c r="A6487">
        <v>20140213</v>
      </c>
      <c r="B6487" t="str">
        <f>"114167"</f>
        <v>114167</v>
      </c>
      <c r="C6487" t="str">
        <f>"27981"</f>
        <v>27981</v>
      </c>
      <c r="D6487" t="s">
        <v>551</v>
      </c>
      <c r="E6487">
        <v>114.42</v>
      </c>
      <c r="F6487">
        <v>20140207</v>
      </c>
      <c r="G6487" t="s">
        <v>1426</v>
      </c>
      <c r="H6487" t="s">
        <v>414</v>
      </c>
      <c r="I6487" t="s">
        <v>38</v>
      </c>
    </row>
    <row r="6488" spans="1:9" x14ac:dyDescent="0.25">
      <c r="A6488">
        <v>20140213</v>
      </c>
      <c r="B6488" t="str">
        <f>"114168"</f>
        <v>114168</v>
      </c>
      <c r="C6488" t="str">
        <f>"87737"</f>
        <v>87737</v>
      </c>
      <c r="D6488" t="s">
        <v>3292</v>
      </c>
      <c r="E6488">
        <v>390</v>
      </c>
      <c r="F6488">
        <v>20140211</v>
      </c>
      <c r="G6488" t="s">
        <v>347</v>
      </c>
      <c r="H6488" t="s">
        <v>1360</v>
      </c>
      <c r="I6488" t="s">
        <v>61</v>
      </c>
    </row>
    <row r="6489" spans="1:9" x14ac:dyDescent="0.25">
      <c r="A6489">
        <v>20140213</v>
      </c>
      <c r="B6489" t="str">
        <f>"114169"</f>
        <v>114169</v>
      </c>
      <c r="C6489" t="str">
        <f>"84866"</f>
        <v>84866</v>
      </c>
      <c r="D6489" t="s">
        <v>1060</v>
      </c>
      <c r="E6489">
        <v>155.93</v>
      </c>
      <c r="F6489">
        <v>20140212</v>
      </c>
      <c r="G6489" t="s">
        <v>289</v>
      </c>
      <c r="H6489" t="s">
        <v>1741</v>
      </c>
      <c r="I6489" t="s">
        <v>38</v>
      </c>
    </row>
    <row r="6490" spans="1:9" x14ac:dyDescent="0.25">
      <c r="A6490">
        <v>20140213</v>
      </c>
      <c r="B6490" t="str">
        <f>"114170"</f>
        <v>114170</v>
      </c>
      <c r="C6490" t="str">
        <f>"81292"</f>
        <v>81292</v>
      </c>
      <c r="D6490" t="s">
        <v>1417</v>
      </c>
      <c r="E6490">
        <v>41.09</v>
      </c>
      <c r="F6490">
        <v>20140207</v>
      </c>
      <c r="G6490" t="s">
        <v>498</v>
      </c>
      <c r="H6490" t="s">
        <v>499</v>
      </c>
      <c r="I6490" t="s">
        <v>21</v>
      </c>
    </row>
    <row r="6491" spans="1:9" x14ac:dyDescent="0.25">
      <c r="A6491">
        <v>20140213</v>
      </c>
      <c r="B6491" t="str">
        <f>"114171"</f>
        <v>114171</v>
      </c>
      <c r="C6491" t="str">
        <f>"00695"</f>
        <v>00695</v>
      </c>
      <c r="D6491" t="s">
        <v>2353</v>
      </c>
      <c r="E6491">
        <v>462</v>
      </c>
      <c r="F6491">
        <v>20140206</v>
      </c>
      <c r="G6491" t="s">
        <v>1020</v>
      </c>
      <c r="H6491" t="s">
        <v>954</v>
      </c>
      <c r="I6491" t="s">
        <v>21</v>
      </c>
    </row>
    <row r="6492" spans="1:9" x14ac:dyDescent="0.25">
      <c r="A6492">
        <v>20140213</v>
      </c>
      <c r="B6492" t="str">
        <f>"114172"</f>
        <v>114172</v>
      </c>
      <c r="C6492" t="str">
        <f>"00695"</f>
        <v>00695</v>
      </c>
      <c r="D6492" t="s">
        <v>2353</v>
      </c>
      <c r="E6492">
        <v>42</v>
      </c>
      <c r="F6492">
        <v>20140206</v>
      </c>
      <c r="G6492" t="s">
        <v>1020</v>
      </c>
      <c r="H6492" t="s">
        <v>954</v>
      </c>
      <c r="I6492" t="s">
        <v>21</v>
      </c>
    </row>
    <row r="6493" spans="1:9" x14ac:dyDescent="0.25">
      <c r="A6493">
        <v>20140213</v>
      </c>
      <c r="B6493" t="str">
        <f>"114173"</f>
        <v>114173</v>
      </c>
      <c r="C6493" t="str">
        <f>"30000"</f>
        <v>30000</v>
      </c>
      <c r="D6493" t="s">
        <v>556</v>
      </c>
      <c r="E6493">
        <v>43.98</v>
      </c>
      <c r="F6493">
        <v>20140210</v>
      </c>
      <c r="G6493" t="s">
        <v>828</v>
      </c>
      <c r="H6493" t="s">
        <v>3293</v>
      </c>
      <c r="I6493" t="s">
        <v>21</v>
      </c>
    </row>
    <row r="6494" spans="1:9" x14ac:dyDescent="0.25">
      <c r="A6494">
        <v>20140213</v>
      </c>
      <c r="B6494" t="str">
        <f>"114173"</f>
        <v>114173</v>
      </c>
      <c r="C6494" t="str">
        <f>"30000"</f>
        <v>30000</v>
      </c>
      <c r="D6494" t="s">
        <v>556</v>
      </c>
      <c r="E6494">
        <v>188.89</v>
      </c>
      <c r="F6494">
        <v>20140212</v>
      </c>
      <c r="G6494" t="s">
        <v>3029</v>
      </c>
      <c r="H6494" t="s">
        <v>3294</v>
      </c>
      <c r="I6494" t="s">
        <v>21</v>
      </c>
    </row>
    <row r="6495" spans="1:9" x14ac:dyDescent="0.25">
      <c r="A6495">
        <v>20140213</v>
      </c>
      <c r="B6495" t="str">
        <f>"114174"</f>
        <v>114174</v>
      </c>
      <c r="C6495" t="str">
        <f>"30480"</f>
        <v>30480</v>
      </c>
      <c r="D6495" t="s">
        <v>570</v>
      </c>
      <c r="E6495" s="1">
        <v>5442</v>
      </c>
      <c r="F6495">
        <v>20140212</v>
      </c>
      <c r="G6495" t="s">
        <v>571</v>
      </c>
      <c r="H6495" t="s">
        <v>572</v>
      </c>
      <c r="I6495" t="s">
        <v>21</v>
      </c>
    </row>
    <row r="6496" spans="1:9" x14ac:dyDescent="0.25">
      <c r="A6496">
        <v>20140213</v>
      </c>
      <c r="B6496" t="str">
        <f>"114175"</f>
        <v>114175</v>
      </c>
      <c r="C6496" t="str">
        <f>"87031"</f>
        <v>87031</v>
      </c>
      <c r="D6496" t="s">
        <v>418</v>
      </c>
      <c r="E6496">
        <v>44.1</v>
      </c>
      <c r="F6496">
        <v>20140206</v>
      </c>
      <c r="G6496" t="s">
        <v>410</v>
      </c>
      <c r="H6496" t="s">
        <v>411</v>
      </c>
      <c r="I6496" t="s">
        <v>12</v>
      </c>
    </row>
    <row r="6497" spans="1:9" x14ac:dyDescent="0.25">
      <c r="A6497">
        <v>20140213</v>
      </c>
      <c r="B6497" t="str">
        <f>"114176"</f>
        <v>114176</v>
      </c>
      <c r="C6497" t="str">
        <f>"31570"</f>
        <v>31570</v>
      </c>
      <c r="D6497" t="s">
        <v>1244</v>
      </c>
      <c r="E6497">
        <v>52.66</v>
      </c>
      <c r="F6497">
        <v>20140207</v>
      </c>
      <c r="G6497" t="s">
        <v>1338</v>
      </c>
      <c r="H6497" t="s">
        <v>414</v>
      </c>
      <c r="I6497" t="s">
        <v>21</v>
      </c>
    </row>
    <row r="6498" spans="1:9" x14ac:dyDescent="0.25">
      <c r="A6498">
        <v>20140213</v>
      </c>
      <c r="B6498" t="str">
        <f>"114176"</f>
        <v>114176</v>
      </c>
      <c r="C6498" t="str">
        <f>"31570"</f>
        <v>31570</v>
      </c>
      <c r="D6498" t="s">
        <v>1244</v>
      </c>
      <c r="E6498">
        <v>181.78</v>
      </c>
      <c r="F6498">
        <v>20140207</v>
      </c>
      <c r="G6498" t="s">
        <v>1426</v>
      </c>
      <c r="H6498" t="s">
        <v>414</v>
      </c>
      <c r="I6498" t="s">
        <v>38</v>
      </c>
    </row>
    <row r="6499" spans="1:9" x14ac:dyDescent="0.25">
      <c r="A6499">
        <v>20140213</v>
      </c>
      <c r="B6499" t="str">
        <f>"114177"</f>
        <v>114177</v>
      </c>
      <c r="C6499" t="str">
        <f>"87456"</f>
        <v>87456</v>
      </c>
      <c r="D6499" t="s">
        <v>1434</v>
      </c>
      <c r="E6499">
        <v>120</v>
      </c>
      <c r="F6499">
        <v>20140207</v>
      </c>
      <c r="G6499" t="s">
        <v>2147</v>
      </c>
      <c r="H6499" t="s">
        <v>3295</v>
      </c>
      <c r="I6499" t="s">
        <v>21</v>
      </c>
    </row>
    <row r="6500" spans="1:9" x14ac:dyDescent="0.25">
      <c r="A6500">
        <v>20140213</v>
      </c>
      <c r="B6500" t="str">
        <f>"114178"</f>
        <v>114178</v>
      </c>
      <c r="C6500" t="str">
        <f>"86817"</f>
        <v>86817</v>
      </c>
      <c r="D6500" t="s">
        <v>3296</v>
      </c>
      <c r="E6500">
        <v>141.02000000000001</v>
      </c>
      <c r="F6500">
        <v>20140211</v>
      </c>
      <c r="G6500" t="s">
        <v>3099</v>
      </c>
      <c r="H6500" t="s">
        <v>765</v>
      </c>
      <c r="I6500" t="s">
        <v>61</v>
      </c>
    </row>
    <row r="6501" spans="1:9" x14ac:dyDescent="0.25">
      <c r="A6501">
        <v>20140213</v>
      </c>
      <c r="B6501" t="str">
        <f>"114179"</f>
        <v>114179</v>
      </c>
      <c r="C6501" t="str">
        <f>"87385"</f>
        <v>87385</v>
      </c>
      <c r="D6501" t="s">
        <v>1089</v>
      </c>
      <c r="E6501">
        <v>90.72</v>
      </c>
      <c r="F6501">
        <v>20140207</v>
      </c>
      <c r="G6501" t="s">
        <v>392</v>
      </c>
      <c r="H6501" t="s">
        <v>414</v>
      </c>
      <c r="I6501" t="s">
        <v>21</v>
      </c>
    </row>
    <row r="6502" spans="1:9" x14ac:dyDescent="0.25">
      <c r="A6502">
        <v>20140213</v>
      </c>
      <c r="B6502" t="str">
        <f>"114180"</f>
        <v>114180</v>
      </c>
      <c r="C6502" t="str">
        <f>"87735"</f>
        <v>87735</v>
      </c>
      <c r="D6502" t="s">
        <v>3297</v>
      </c>
      <c r="E6502" s="1">
        <v>1646.08</v>
      </c>
      <c r="F6502">
        <v>20140210</v>
      </c>
      <c r="G6502" t="s">
        <v>1478</v>
      </c>
      <c r="H6502" t="s">
        <v>3298</v>
      </c>
      <c r="I6502" t="s">
        <v>21</v>
      </c>
    </row>
    <row r="6503" spans="1:9" x14ac:dyDescent="0.25">
      <c r="A6503">
        <v>20140213</v>
      </c>
      <c r="B6503" t="str">
        <f>"114181"</f>
        <v>114181</v>
      </c>
      <c r="C6503" t="str">
        <f>"33200"</f>
        <v>33200</v>
      </c>
      <c r="D6503" t="s">
        <v>863</v>
      </c>
      <c r="E6503">
        <v>48.58</v>
      </c>
      <c r="F6503">
        <v>20140211</v>
      </c>
      <c r="G6503" t="s">
        <v>864</v>
      </c>
      <c r="H6503" t="s">
        <v>354</v>
      </c>
      <c r="I6503" t="s">
        <v>21</v>
      </c>
    </row>
    <row r="6504" spans="1:9" x14ac:dyDescent="0.25">
      <c r="A6504">
        <v>20140213</v>
      </c>
      <c r="B6504" t="str">
        <f>"114182"</f>
        <v>114182</v>
      </c>
      <c r="C6504" t="str">
        <f>"84038"</f>
        <v>84038</v>
      </c>
      <c r="D6504" t="s">
        <v>419</v>
      </c>
      <c r="E6504">
        <v>28.35</v>
      </c>
      <c r="F6504">
        <v>20140206</v>
      </c>
      <c r="G6504" t="s">
        <v>410</v>
      </c>
      <c r="H6504" t="s">
        <v>411</v>
      </c>
      <c r="I6504" t="s">
        <v>12</v>
      </c>
    </row>
    <row r="6505" spans="1:9" x14ac:dyDescent="0.25">
      <c r="A6505">
        <v>20140213</v>
      </c>
      <c r="B6505" t="str">
        <f>"114183"</f>
        <v>114183</v>
      </c>
      <c r="C6505" t="str">
        <f>"34100"</f>
        <v>34100</v>
      </c>
      <c r="D6505" t="s">
        <v>3299</v>
      </c>
      <c r="E6505">
        <v>470.4</v>
      </c>
      <c r="F6505">
        <v>20140211</v>
      </c>
      <c r="G6505" t="s">
        <v>150</v>
      </c>
      <c r="H6505" t="s">
        <v>3300</v>
      </c>
      <c r="I6505" t="s">
        <v>25</v>
      </c>
    </row>
    <row r="6506" spans="1:9" x14ac:dyDescent="0.25">
      <c r="A6506">
        <v>20140213</v>
      </c>
      <c r="B6506" t="str">
        <f>"114184"</f>
        <v>114184</v>
      </c>
      <c r="C6506" t="str">
        <f>"34250"</f>
        <v>34250</v>
      </c>
      <c r="D6506" t="s">
        <v>3301</v>
      </c>
      <c r="E6506">
        <v>55.07</v>
      </c>
      <c r="F6506">
        <v>20140210</v>
      </c>
      <c r="G6506" t="s">
        <v>186</v>
      </c>
      <c r="H6506" t="s">
        <v>354</v>
      </c>
      <c r="I6506" t="s">
        <v>61</v>
      </c>
    </row>
    <row r="6507" spans="1:9" x14ac:dyDescent="0.25">
      <c r="A6507">
        <v>20140213</v>
      </c>
      <c r="B6507" t="str">
        <f>"114185"</f>
        <v>114185</v>
      </c>
      <c r="C6507" t="str">
        <f>"87615"</f>
        <v>87615</v>
      </c>
      <c r="D6507" t="s">
        <v>2371</v>
      </c>
      <c r="E6507">
        <v>60</v>
      </c>
      <c r="F6507">
        <v>20140212</v>
      </c>
      <c r="G6507" t="s">
        <v>1049</v>
      </c>
      <c r="H6507" t="s">
        <v>3302</v>
      </c>
      <c r="I6507" t="s">
        <v>21</v>
      </c>
    </row>
    <row r="6508" spans="1:9" x14ac:dyDescent="0.25">
      <c r="A6508">
        <v>20140213</v>
      </c>
      <c r="B6508" t="str">
        <f>"114186"</f>
        <v>114186</v>
      </c>
      <c r="C6508" t="str">
        <f>"35337"</f>
        <v>35337</v>
      </c>
      <c r="D6508" t="s">
        <v>599</v>
      </c>
      <c r="E6508">
        <v>51.65</v>
      </c>
      <c r="F6508">
        <v>20140206</v>
      </c>
      <c r="G6508" t="s">
        <v>498</v>
      </c>
      <c r="H6508" t="s">
        <v>499</v>
      </c>
      <c r="I6508" t="s">
        <v>21</v>
      </c>
    </row>
    <row r="6509" spans="1:9" x14ac:dyDescent="0.25">
      <c r="A6509">
        <v>20140213</v>
      </c>
      <c r="B6509" t="str">
        <f>"114187"</f>
        <v>114187</v>
      </c>
      <c r="C6509" t="str">
        <f>"86174"</f>
        <v>86174</v>
      </c>
      <c r="D6509" t="s">
        <v>3303</v>
      </c>
      <c r="E6509">
        <v>120</v>
      </c>
      <c r="F6509">
        <v>20140211</v>
      </c>
      <c r="G6509" t="s">
        <v>2324</v>
      </c>
      <c r="H6509" t="s">
        <v>765</v>
      </c>
      <c r="I6509" t="s">
        <v>61</v>
      </c>
    </row>
    <row r="6510" spans="1:9" x14ac:dyDescent="0.25">
      <c r="A6510">
        <v>20140213</v>
      </c>
      <c r="B6510" t="str">
        <f>"114188"</f>
        <v>114188</v>
      </c>
      <c r="C6510" t="str">
        <f>"35865"</f>
        <v>35865</v>
      </c>
      <c r="D6510" t="s">
        <v>2206</v>
      </c>
      <c r="E6510">
        <v>233.52</v>
      </c>
      <c r="F6510">
        <v>20140206</v>
      </c>
      <c r="G6510" t="s">
        <v>331</v>
      </c>
      <c r="H6510" t="s">
        <v>414</v>
      </c>
      <c r="I6510" t="s">
        <v>12</v>
      </c>
    </row>
    <row r="6511" spans="1:9" x14ac:dyDescent="0.25">
      <c r="A6511">
        <v>20140213</v>
      </c>
      <c r="B6511" t="str">
        <f>"114189"</f>
        <v>114189</v>
      </c>
      <c r="C6511" t="str">
        <f>"87738"</f>
        <v>87738</v>
      </c>
      <c r="D6511" t="s">
        <v>3304</v>
      </c>
      <c r="E6511">
        <v>75.36</v>
      </c>
      <c r="F6511">
        <v>20140212</v>
      </c>
      <c r="G6511" t="s">
        <v>1120</v>
      </c>
      <c r="H6511" t="s">
        <v>365</v>
      </c>
      <c r="I6511" t="s">
        <v>66</v>
      </c>
    </row>
    <row r="6512" spans="1:9" x14ac:dyDescent="0.25">
      <c r="A6512">
        <v>20140213</v>
      </c>
      <c r="B6512" t="str">
        <f>"114190"</f>
        <v>114190</v>
      </c>
      <c r="C6512" t="str">
        <f>"83064"</f>
        <v>83064</v>
      </c>
      <c r="D6512" t="s">
        <v>1760</v>
      </c>
      <c r="E6512">
        <v>15.89</v>
      </c>
      <c r="F6512">
        <v>20140207</v>
      </c>
      <c r="G6512" t="s">
        <v>583</v>
      </c>
      <c r="H6512" t="s">
        <v>354</v>
      </c>
      <c r="I6512" t="s">
        <v>21</v>
      </c>
    </row>
    <row r="6513" spans="1:9" x14ac:dyDescent="0.25">
      <c r="A6513">
        <v>20140213</v>
      </c>
      <c r="B6513" t="str">
        <f>"114190"</f>
        <v>114190</v>
      </c>
      <c r="C6513" t="str">
        <f>"83064"</f>
        <v>83064</v>
      </c>
      <c r="D6513" t="s">
        <v>1760</v>
      </c>
      <c r="E6513">
        <v>67.099999999999994</v>
      </c>
      <c r="F6513">
        <v>20140207</v>
      </c>
      <c r="G6513" t="s">
        <v>637</v>
      </c>
      <c r="H6513" t="s">
        <v>354</v>
      </c>
      <c r="I6513" t="s">
        <v>38</v>
      </c>
    </row>
    <row r="6514" spans="1:9" x14ac:dyDescent="0.25">
      <c r="A6514">
        <v>20140213</v>
      </c>
      <c r="B6514" t="str">
        <f>"114191"</f>
        <v>114191</v>
      </c>
      <c r="C6514" t="str">
        <f>"36960"</f>
        <v>36960</v>
      </c>
      <c r="D6514" t="s">
        <v>871</v>
      </c>
      <c r="E6514">
        <v>85</v>
      </c>
      <c r="F6514">
        <v>20140211</v>
      </c>
      <c r="G6514" t="s">
        <v>1408</v>
      </c>
      <c r="H6514" t="s">
        <v>525</v>
      </c>
      <c r="I6514" t="s">
        <v>12</v>
      </c>
    </row>
    <row r="6515" spans="1:9" x14ac:dyDescent="0.25">
      <c r="A6515">
        <v>20140213</v>
      </c>
      <c r="B6515" t="str">
        <f>"114192"</f>
        <v>114192</v>
      </c>
      <c r="C6515" t="str">
        <f>"37565"</f>
        <v>37565</v>
      </c>
      <c r="D6515" t="s">
        <v>609</v>
      </c>
      <c r="E6515">
        <v>576</v>
      </c>
      <c r="F6515">
        <v>20140206</v>
      </c>
      <c r="G6515" t="s">
        <v>511</v>
      </c>
      <c r="H6515" t="s">
        <v>3305</v>
      </c>
      <c r="I6515" t="s">
        <v>21</v>
      </c>
    </row>
    <row r="6516" spans="1:9" x14ac:dyDescent="0.25">
      <c r="A6516">
        <v>20140213</v>
      </c>
      <c r="B6516" t="str">
        <f>"114192"</f>
        <v>114192</v>
      </c>
      <c r="C6516" t="str">
        <f>"37565"</f>
        <v>37565</v>
      </c>
      <c r="D6516" t="s">
        <v>609</v>
      </c>
      <c r="E6516">
        <v>225.78</v>
      </c>
      <c r="F6516">
        <v>20140206</v>
      </c>
      <c r="G6516" t="s">
        <v>872</v>
      </c>
      <c r="H6516" t="s">
        <v>3306</v>
      </c>
      <c r="I6516" t="s">
        <v>21</v>
      </c>
    </row>
    <row r="6517" spans="1:9" x14ac:dyDescent="0.25">
      <c r="A6517">
        <v>20140213</v>
      </c>
      <c r="B6517" t="str">
        <f>"114193"</f>
        <v>114193</v>
      </c>
      <c r="C6517" t="str">
        <f>"87716"</f>
        <v>87716</v>
      </c>
      <c r="D6517" t="s">
        <v>3163</v>
      </c>
      <c r="E6517">
        <v>65</v>
      </c>
      <c r="F6517">
        <v>20140211</v>
      </c>
      <c r="G6517" t="s">
        <v>2324</v>
      </c>
      <c r="H6517" t="s">
        <v>765</v>
      </c>
      <c r="I6517" t="s">
        <v>61</v>
      </c>
    </row>
    <row r="6518" spans="1:9" x14ac:dyDescent="0.25">
      <c r="A6518">
        <v>20140213</v>
      </c>
      <c r="B6518" t="str">
        <f>"114194"</f>
        <v>114194</v>
      </c>
      <c r="C6518" t="str">
        <f>"39315"</f>
        <v>39315</v>
      </c>
      <c r="D6518" t="s">
        <v>420</v>
      </c>
      <c r="E6518">
        <v>121.05</v>
      </c>
      <c r="F6518">
        <v>20140206</v>
      </c>
      <c r="G6518" t="s">
        <v>410</v>
      </c>
      <c r="H6518" t="s">
        <v>411</v>
      </c>
      <c r="I6518" t="s">
        <v>12</v>
      </c>
    </row>
    <row r="6519" spans="1:9" x14ac:dyDescent="0.25">
      <c r="A6519">
        <v>20140213</v>
      </c>
      <c r="B6519" t="str">
        <f>"114195"</f>
        <v>114195</v>
      </c>
      <c r="C6519" t="str">
        <f>"85876"</f>
        <v>85876</v>
      </c>
      <c r="D6519" t="s">
        <v>3044</v>
      </c>
      <c r="E6519">
        <v>58.88</v>
      </c>
      <c r="F6519">
        <v>20140212</v>
      </c>
      <c r="G6519" t="s">
        <v>1120</v>
      </c>
      <c r="H6519" t="s">
        <v>365</v>
      </c>
      <c r="I6519" t="s">
        <v>66</v>
      </c>
    </row>
    <row r="6520" spans="1:9" x14ac:dyDescent="0.25">
      <c r="A6520">
        <v>20140213</v>
      </c>
      <c r="B6520" t="str">
        <f>"114196"</f>
        <v>114196</v>
      </c>
      <c r="C6520" t="str">
        <f>"81300"</f>
        <v>81300</v>
      </c>
      <c r="D6520" t="s">
        <v>3307</v>
      </c>
      <c r="E6520">
        <v>61</v>
      </c>
      <c r="F6520">
        <v>20140211</v>
      </c>
      <c r="G6520" t="s">
        <v>426</v>
      </c>
      <c r="H6520" t="s">
        <v>427</v>
      </c>
      <c r="I6520" t="s">
        <v>21</v>
      </c>
    </row>
    <row r="6521" spans="1:9" x14ac:dyDescent="0.25">
      <c r="A6521">
        <v>20140213</v>
      </c>
      <c r="B6521" t="str">
        <f>"114197"</f>
        <v>114197</v>
      </c>
      <c r="C6521" t="str">
        <f>"40448"</f>
        <v>40448</v>
      </c>
      <c r="D6521" t="s">
        <v>613</v>
      </c>
      <c r="E6521">
        <v>150</v>
      </c>
      <c r="F6521">
        <v>20140206</v>
      </c>
      <c r="G6521" t="s">
        <v>340</v>
      </c>
      <c r="H6521" t="s">
        <v>1452</v>
      </c>
      <c r="I6521" t="s">
        <v>21</v>
      </c>
    </row>
    <row r="6522" spans="1:9" x14ac:dyDescent="0.25">
      <c r="A6522">
        <v>20140213</v>
      </c>
      <c r="B6522" t="str">
        <f>"114197"</f>
        <v>114197</v>
      </c>
      <c r="C6522" t="str">
        <f>"40448"</f>
        <v>40448</v>
      </c>
      <c r="D6522" t="s">
        <v>613</v>
      </c>
      <c r="E6522">
        <v>150</v>
      </c>
      <c r="F6522">
        <v>20140206</v>
      </c>
      <c r="G6522" t="s">
        <v>340</v>
      </c>
      <c r="H6522" t="s">
        <v>1452</v>
      </c>
      <c r="I6522" t="s">
        <v>21</v>
      </c>
    </row>
    <row r="6523" spans="1:9" x14ac:dyDescent="0.25">
      <c r="A6523">
        <v>20140213</v>
      </c>
      <c r="B6523" t="str">
        <f>"114197"</f>
        <v>114197</v>
      </c>
      <c r="C6523" t="str">
        <f>"40448"</f>
        <v>40448</v>
      </c>
      <c r="D6523" t="s">
        <v>613</v>
      </c>
      <c r="E6523">
        <v>150</v>
      </c>
      <c r="F6523">
        <v>20140206</v>
      </c>
      <c r="G6523" t="s">
        <v>340</v>
      </c>
      <c r="H6523" t="s">
        <v>1452</v>
      </c>
      <c r="I6523" t="s">
        <v>21</v>
      </c>
    </row>
    <row r="6524" spans="1:9" x14ac:dyDescent="0.25">
      <c r="A6524">
        <v>20140213</v>
      </c>
      <c r="B6524" t="str">
        <f>"114197"</f>
        <v>114197</v>
      </c>
      <c r="C6524" t="str">
        <f>"40448"</f>
        <v>40448</v>
      </c>
      <c r="D6524" t="s">
        <v>613</v>
      </c>
      <c r="E6524">
        <v>150</v>
      </c>
      <c r="F6524">
        <v>20140206</v>
      </c>
      <c r="G6524" t="s">
        <v>340</v>
      </c>
      <c r="H6524" t="s">
        <v>1452</v>
      </c>
      <c r="I6524" t="s">
        <v>21</v>
      </c>
    </row>
    <row r="6525" spans="1:9" x14ac:dyDescent="0.25">
      <c r="A6525">
        <v>20140213</v>
      </c>
      <c r="B6525" t="str">
        <f>"114198"</f>
        <v>114198</v>
      </c>
      <c r="C6525" t="str">
        <f>"40910"</f>
        <v>40910</v>
      </c>
      <c r="D6525" t="s">
        <v>1886</v>
      </c>
      <c r="E6525">
        <v>540.20000000000005</v>
      </c>
      <c r="F6525">
        <v>20140211</v>
      </c>
      <c r="G6525" t="s">
        <v>331</v>
      </c>
      <c r="H6525" t="s">
        <v>3308</v>
      </c>
      <c r="I6525" t="s">
        <v>12</v>
      </c>
    </row>
    <row r="6526" spans="1:9" x14ac:dyDescent="0.25">
      <c r="A6526">
        <v>20140213</v>
      </c>
      <c r="B6526" t="str">
        <f>"114199"</f>
        <v>114199</v>
      </c>
      <c r="C6526" t="str">
        <f>"84161"</f>
        <v>84161</v>
      </c>
      <c r="D6526" t="s">
        <v>1767</v>
      </c>
      <c r="E6526">
        <v>110.68</v>
      </c>
      <c r="F6526">
        <v>20140210</v>
      </c>
      <c r="G6526" t="s">
        <v>808</v>
      </c>
      <c r="H6526" t="s">
        <v>365</v>
      </c>
      <c r="I6526" t="s">
        <v>21</v>
      </c>
    </row>
    <row r="6527" spans="1:9" x14ac:dyDescent="0.25">
      <c r="A6527">
        <v>20140213</v>
      </c>
      <c r="B6527" t="str">
        <f>"114200"</f>
        <v>114200</v>
      </c>
      <c r="C6527" t="str">
        <f>"00267"</f>
        <v>00267</v>
      </c>
      <c r="D6527" t="s">
        <v>2000</v>
      </c>
      <c r="E6527">
        <v>470.69</v>
      </c>
      <c r="F6527">
        <v>20140211</v>
      </c>
      <c r="G6527" t="s">
        <v>2495</v>
      </c>
      <c r="H6527" t="s">
        <v>921</v>
      </c>
      <c r="I6527" t="s">
        <v>21</v>
      </c>
    </row>
    <row r="6528" spans="1:9" x14ac:dyDescent="0.25">
      <c r="A6528">
        <v>20140213</v>
      </c>
      <c r="B6528" t="str">
        <f>"114201"</f>
        <v>114201</v>
      </c>
      <c r="C6528" t="str">
        <f>"41253"</f>
        <v>41253</v>
      </c>
      <c r="D6528" t="s">
        <v>421</v>
      </c>
      <c r="E6528" s="1">
        <v>99288.99</v>
      </c>
      <c r="F6528">
        <v>20140211</v>
      </c>
      <c r="G6528" t="s">
        <v>404</v>
      </c>
      <c r="H6528" t="s">
        <v>913</v>
      </c>
      <c r="I6528" t="s">
        <v>12</v>
      </c>
    </row>
    <row r="6529" spans="1:9" x14ac:dyDescent="0.25">
      <c r="A6529">
        <v>20140213</v>
      </c>
      <c r="B6529" t="str">
        <f>"114201"</f>
        <v>114201</v>
      </c>
      <c r="C6529" t="str">
        <f>"41253"</f>
        <v>41253</v>
      </c>
      <c r="D6529" t="s">
        <v>421</v>
      </c>
      <c r="E6529" s="1">
        <v>8079.98</v>
      </c>
      <c r="F6529">
        <v>20140211</v>
      </c>
      <c r="G6529" t="s">
        <v>1404</v>
      </c>
      <c r="H6529" t="s">
        <v>1456</v>
      </c>
      <c r="I6529" t="s">
        <v>12</v>
      </c>
    </row>
    <row r="6530" spans="1:9" x14ac:dyDescent="0.25">
      <c r="A6530">
        <v>20140213</v>
      </c>
      <c r="B6530" t="str">
        <f>"114202"</f>
        <v>114202</v>
      </c>
      <c r="C6530" t="str">
        <f>"41375"</f>
        <v>41375</v>
      </c>
      <c r="D6530" t="s">
        <v>616</v>
      </c>
      <c r="E6530">
        <v>500.69</v>
      </c>
      <c r="F6530">
        <v>20140207</v>
      </c>
      <c r="G6530" t="s">
        <v>582</v>
      </c>
      <c r="H6530" t="s">
        <v>3309</v>
      </c>
      <c r="I6530" t="s">
        <v>21</v>
      </c>
    </row>
    <row r="6531" spans="1:9" x14ac:dyDescent="0.25">
      <c r="A6531">
        <v>20140213</v>
      </c>
      <c r="B6531" t="str">
        <f>"114203"</f>
        <v>114203</v>
      </c>
      <c r="C6531" t="str">
        <f>"86767"</f>
        <v>86767</v>
      </c>
      <c r="D6531" t="s">
        <v>1458</v>
      </c>
      <c r="E6531">
        <v>25.97</v>
      </c>
      <c r="F6531">
        <v>20140212</v>
      </c>
      <c r="G6531" t="s">
        <v>601</v>
      </c>
      <c r="H6531" t="s">
        <v>563</v>
      </c>
      <c r="I6531" t="s">
        <v>21</v>
      </c>
    </row>
    <row r="6532" spans="1:9" x14ac:dyDescent="0.25">
      <c r="A6532">
        <v>20140213</v>
      </c>
      <c r="B6532" t="str">
        <f>"114204"</f>
        <v>114204</v>
      </c>
      <c r="C6532" t="str">
        <f>"42750"</f>
        <v>42750</v>
      </c>
      <c r="D6532" t="s">
        <v>888</v>
      </c>
      <c r="E6532">
        <v>56.94</v>
      </c>
      <c r="F6532">
        <v>20140207</v>
      </c>
      <c r="G6532" t="s">
        <v>1079</v>
      </c>
      <c r="H6532" t="s">
        <v>354</v>
      </c>
      <c r="I6532" t="s">
        <v>21</v>
      </c>
    </row>
    <row r="6533" spans="1:9" x14ac:dyDescent="0.25">
      <c r="A6533">
        <v>20140213</v>
      </c>
      <c r="B6533" t="str">
        <f>"114205"</f>
        <v>114205</v>
      </c>
      <c r="C6533" t="str">
        <f>"83430"</f>
        <v>83430</v>
      </c>
      <c r="D6533" t="s">
        <v>423</v>
      </c>
      <c r="E6533">
        <v>53.1</v>
      </c>
      <c r="F6533">
        <v>20140206</v>
      </c>
      <c r="G6533" t="s">
        <v>410</v>
      </c>
      <c r="H6533" t="s">
        <v>411</v>
      </c>
      <c r="I6533" t="s">
        <v>12</v>
      </c>
    </row>
    <row r="6534" spans="1:9" x14ac:dyDescent="0.25">
      <c r="A6534">
        <v>20140213</v>
      </c>
      <c r="B6534" t="str">
        <f>"114206"</f>
        <v>114206</v>
      </c>
      <c r="C6534" t="str">
        <f>"43798"</f>
        <v>43798</v>
      </c>
      <c r="D6534" t="s">
        <v>620</v>
      </c>
      <c r="E6534">
        <v>486</v>
      </c>
      <c r="F6534">
        <v>20140206</v>
      </c>
      <c r="G6534" t="s">
        <v>511</v>
      </c>
      <c r="H6534" t="s">
        <v>1463</v>
      </c>
      <c r="I6534" t="s">
        <v>21</v>
      </c>
    </row>
    <row r="6535" spans="1:9" x14ac:dyDescent="0.25">
      <c r="A6535">
        <v>20140213</v>
      </c>
      <c r="B6535" t="str">
        <f>"114207"</f>
        <v>114207</v>
      </c>
      <c r="C6535" t="str">
        <f>"87567"</f>
        <v>87567</v>
      </c>
      <c r="D6535" t="s">
        <v>1768</v>
      </c>
      <c r="E6535" s="1">
        <v>2024</v>
      </c>
      <c r="F6535">
        <v>20140207</v>
      </c>
      <c r="G6535" t="s">
        <v>496</v>
      </c>
      <c r="H6535" t="s">
        <v>3310</v>
      </c>
      <c r="I6535" t="s">
        <v>21</v>
      </c>
    </row>
    <row r="6536" spans="1:9" x14ac:dyDescent="0.25">
      <c r="A6536">
        <v>20140213</v>
      </c>
      <c r="B6536" t="str">
        <f>"114208"</f>
        <v>114208</v>
      </c>
      <c r="C6536" t="str">
        <f>"44875"</f>
        <v>44875</v>
      </c>
      <c r="D6536" t="s">
        <v>424</v>
      </c>
      <c r="E6536">
        <v>66.150000000000006</v>
      </c>
      <c r="F6536">
        <v>20140206</v>
      </c>
      <c r="G6536" t="s">
        <v>410</v>
      </c>
      <c r="H6536" t="s">
        <v>411</v>
      </c>
      <c r="I6536" t="s">
        <v>12</v>
      </c>
    </row>
    <row r="6537" spans="1:9" x14ac:dyDescent="0.25">
      <c r="A6537">
        <v>20140213</v>
      </c>
      <c r="B6537" t="str">
        <f>"114208"</f>
        <v>114208</v>
      </c>
      <c r="C6537" t="str">
        <f>"44875"</f>
        <v>44875</v>
      </c>
      <c r="D6537" t="s">
        <v>424</v>
      </c>
      <c r="E6537">
        <v>55.92</v>
      </c>
      <c r="F6537">
        <v>20140211</v>
      </c>
      <c r="G6537" t="s">
        <v>410</v>
      </c>
      <c r="H6537" t="s">
        <v>3311</v>
      </c>
      <c r="I6537" t="s">
        <v>12</v>
      </c>
    </row>
    <row r="6538" spans="1:9" x14ac:dyDescent="0.25">
      <c r="A6538">
        <v>20140213</v>
      </c>
      <c r="B6538" t="str">
        <f>"114209"</f>
        <v>114209</v>
      </c>
      <c r="C6538" t="str">
        <f>"82532"</f>
        <v>82532</v>
      </c>
      <c r="D6538" t="s">
        <v>2005</v>
      </c>
      <c r="E6538" s="1">
        <v>3719</v>
      </c>
      <c r="F6538">
        <v>20140210</v>
      </c>
      <c r="G6538" t="s">
        <v>340</v>
      </c>
      <c r="H6538" t="s">
        <v>2006</v>
      </c>
      <c r="I6538" t="s">
        <v>21</v>
      </c>
    </row>
    <row r="6539" spans="1:9" x14ac:dyDescent="0.25">
      <c r="A6539">
        <v>20140213</v>
      </c>
      <c r="B6539" t="str">
        <f>"114210"</f>
        <v>114210</v>
      </c>
      <c r="C6539" t="str">
        <f>"45446"</f>
        <v>45446</v>
      </c>
      <c r="D6539" t="s">
        <v>2007</v>
      </c>
      <c r="E6539">
        <v>240</v>
      </c>
      <c r="F6539">
        <v>20140211</v>
      </c>
      <c r="G6539" t="s">
        <v>1679</v>
      </c>
      <c r="H6539" t="s">
        <v>553</v>
      </c>
      <c r="I6539" t="s">
        <v>25</v>
      </c>
    </row>
    <row r="6540" spans="1:9" x14ac:dyDescent="0.25">
      <c r="A6540">
        <v>20140213</v>
      </c>
      <c r="B6540" t="str">
        <f>"114211"</f>
        <v>114211</v>
      </c>
      <c r="C6540" t="str">
        <f>"45465"</f>
        <v>45465</v>
      </c>
      <c r="D6540" t="s">
        <v>1473</v>
      </c>
      <c r="E6540">
        <v>91.6</v>
      </c>
      <c r="F6540">
        <v>20140206</v>
      </c>
      <c r="G6540" t="s">
        <v>415</v>
      </c>
      <c r="H6540" t="s">
        <v>414</v>
      </c>
      <c r="I6540" t="s">
        <v>21</v>
      </c>
    </row>
    <row r="6541" spans="1:9" x14ac:dyDescent="0.25">
      <c r="A6541">
        <v>20140213</v>
      </c>
      <c r="B6541" t="str">
        <f>"114211"</f>
        <v>114211</v>
      </c>
      <c r="C6541" t="str">
        <f>"45465"</f>
        <v>45465</v>
      </c>
      <c r="D6541" t="s">
        <v>1473</v>
      </c>
      <c r="E6541">
        <v>483.78</v>
      </c>
      <c r="F6541">
        <v>20140206</v>
      </c>
      <c r="G6541" t="s">
        <v>392</v>
      </c>
      <c r="H6541" t="s">
        <v>414</v>
      </c>
      <c r="I6541" t="s">
        <v>21</v>
      </c>
    </row>
    <row r="6542" spans="1:9" x14ac:dyDescent="0.25">
      <c r="A6542">
        <v>20140213</v>
      </c>
      <c r="B6542" t="str">
        <f>"114211"</f>
        <v>114211</v>
      </c>
      <c r="C6542" t="str">
        <f>"45465"</f>
        <v>45465</v>
      </c>
      <c r="D6542" t="s">
        <v>1473</v>
      </c>
      <c r="E6542">
        <v>847.02</v>
      </c>
      <c r="F6542">
        <v>20140207</v>
      </c>
      <c r="G6542" t="s">
        <v>392</v>
      </c>
      <c r="H6542" t="s">
        <v>414</v>
      </c>
      <c r="I6542" t="s">
        <v>21</v>
      </c>
    </row>
    <row r="6543" spans="1:9" x14ac:dyDescent="0.25">
      <c r="A6543">
        <v>20140213</v>
      </c>
      <c r="B6543" t="str">
        <f>"114211"</f>
        <v>114211</v>
      </c>
      <c r="C6543" t="str">
        <f>"45465"</f>
        <v>45465</v>
      </c>
      <c r="D6543" t="s">
        <v>1473</v>
      </c>
      <c r="E6543">
        <v>238.05</v>
      </c>
      <c r="F6543">
        <v>20140211</v>
      </c>
      <c r="G6543" t="s">
        <v>392</v>
      </c>
      <c r="H6543" t="s">
        <v>414</v>
      </c>
      <c r="I6543" t="s">
        <v>21</v>
      </c>
    </row>
    <row r="6544" spans="1:9" x14ac:dyDescent="0.25">
      <c r="A6544">
        <v>20140213</v>
      </c>
      <c r="B6544" t="str">
        <f>"114212"</f>
        <v>114212</v>
      </c>
      <c r="C6544" t="str">
        <f>"87221"</f>
        <v>87221</v>
      </c>
      <c r="D6544" t="s">
        <v>2534</v>
      </c>
      <c r="E6544">
        <v>105</v>
      </c>
      <c r="F6544">
        <v>20140210</v>
      </c>
      <c r="G6544" t="s">
        <v>2324</v>
      </c>
      <c r="H6544" t="s">
        <v>765</v>
      </c>
      <c r="I6544" t="s">
        <v>61</v>
      </c>
    </row>
    <row r="6545" spans="1:9" x14ac:dyDescent="0.25">
      <c r="A6545">
        <v>20140213</v>
      </c>
      <c r="B6545" t="str">
        <f>"114213"</f>
        <v>114213</v>
      </c>
      <c r="C6545" t="str">
        <f>"45605"</f>
        <v>45605</v>
      </c>
      <c r="D6545" t="s">
        <v>1474</v>
      </c>
      <c r="E6545">
        <v>279.64999999999998</v>
      </c>
      <c r="F6545">
        <v>20140206</v>
      </c>
      <c r="G6545" t="s">
        <v>413</v>
      </c>
      <c r="H6545" t="s">
        <v>414</v>
      </c>
      <c r="I6545" t="s">
        <v>21</v>
      </c>
    </row>
    <row r="6546" spans="1:9" x14ac:dyDescent="0.25">
      <c r="A6546">
        <v>20140213</v>
      </c>
      <c r="B6546" t="str">
        <f>"114213"</f>
        <v>114213</v>
      </c>
      <c r="C6546" t="str">
        <f>"45605"</f>
        <v>45605</v>
      </c>
      <c r="D6546" t="s">
        <v>1474</v>
      </c>
      <c r="E6546">
        <v>9.6999999999999993</v>
      </c>
      <c r="F6546">
        <v>20140206</v>
      </c>
      <c r="G6546" t="s">
        <v>392</v>
      </c>
      <c r="H6546" t="s">
        <v>414</v>
      </c>
      <c r="I6546" t="s">
        <v>21</v>
      </c>
    </row>
    <row r="6547" spans="1:9" x14ac:dyDescent="0.25">
      <c r="A6547">
        <v>20140213</v>
      </c>
      <c r="B6547" t="str">
        <f>"114213"</f>
        <v>114213</v>
      </c>
      <c r="C6547" t="str">
        <f>"45605"</f>
        <v>45605</v>
      </c>
      <c r="D6547" t="s">
        <v>1474</v>
      </c>
      <c r="E6547">
        <v>18.78</v>
      </c>
      <c r="F6547">
        <v>20140206</v>
      </c>
      <c r="G6547" t="s">
        <v>392</v>
      </c>
      <c r="H6547" t="s">
        <v>414</v>
      </c>
      <c r="I6547" t="s">
        <v>21</v>
      </c>
    </row>
    <row r="6548" spans="1:9" x14ac:dyDescent="0.25">
      <c r="A6548">
        <v>20140213</v>
      </c>
      <c r="B6548" t="str">
        <f>"114214"</f>
        <v>114214</v>
      </c>
      <c r="C6548" t="str">
        <f>"87729"</f>
        <v>87729</v>
      </c>
      <c r="D6548" t="s">
        <v>3312</v>
      </c>
      <c r="E6548" s="1">
        <v>1275</v>
      </c>
      <c r="F6548">
        <v>20140206</v>
      </c>
      <c r="G6548" t="s">
        <v>48</v>
      </c>
      <c r="H6548" t="s">
        <v>3313</v>
      </c>
      <c r="I6548" t="s">
        <v>25</v>
      </c>
    </row>
    <row r="6549" spans="1:9" x14ac:dyDescent="0.25">
      <c r="A6549">
        <v>20140213</v>
      </c>
      <c r="B6549" t="str">
        <f>"114215"</f>
        <v>114215</v>
      </c>
      <c r="C6549" t="str">
        <f>"87473"</f>
        <v>87473</v>
      </c>
      <c r="D6549" t="s">
        <v>160</v>
      </c>
      <c r="E6549">
        <v>166.53</v>
      </c>
      <c r="F6549">
        <v>20140207</v>
      </c>
      <c r="G6549" t="s">
        <v>1533</v>
      </c>
      <c r="H6549" t="s">
        <v>365</v>
      </c>
      <c r="I6549" t="s">
        <v>21</v>
      </c>
    </row>
    <row r="6550" spans="1:9" x14ac:dyDescent="0.25">
      <c r="A6550">
        <v>20140213</v>
      </c>
      <c r="B6550" t="str">
        <f>"114215"</f>
        <v>114215</v>
      </c>
      <c r="C6550" t="str">
        <f>"87473"</f>
        <v>87473</v>
      </c>
      <c r="D6550" t="s">
        <v>160</v>
      </c>
      <c r="E6550">
        <v>79</v>
      </c>
      <c r="F6550">
        <v>20140211</v>
      </c>
      <c r="G6550" t="s">
        <v>2599</v>
      </c>
      <c r="H6550" t="s">
        <v>354</v>
      </c>
      <c r="I6550" t="s">
        <v>21</v>
      </c>
    </row>
    <row r="6551" spans="1:9" x14ac:dyDescent="0.25">
      <c r="A6551">
        <v>20140213</v>
      </c>
      <c r="B6551" t="str">
        <f>"114216"</f>
        <v>114216</v>
      </c>
      <c r="C6551" t="str">
        <f>"84239"</f>
        <v>84239</v>
      </c>
      <c r="D6551" t="s">
        <v>632</v>
      </c>
      <c r="E6551">
        <v>343.5</v>
      </c>
      <c r="F6551">
        <v>20140207</v>
      </c>
      <c r="G6551" t="s">
        <v>633</v>
      </c>
      <c r="H6551" t="s">
        <v>634</v>
      </c>
      <c r="I6551" t="s">
        <v>21</v>
      </c>
    </row>
    <row r="6552" spans="1:9" x14ac:dyDescent="0.25">
      <c r="A6552">
        <v>20140213</v>
      </c>
      <c r="B6552" t="str">
        <f>"114217"</f>
        <v>114217</v>
      </c>
      <c r="C6552" t="str">
        <f>"82365"</f>
        <v>82365</v>
      </c>
      <c r="D6552" t="s">
        <v>1477</v>
      </c>
      <c r="E6552">
        <v>996.79</v>
      </c>
      <c r="F6552">
        <v>20140206</v>
      </c>
      <c r="G6552" t="s">
        <v>1478</v>
      </c>
      <c r="H6552" t="s">
        <v>3314</v>
      </c>
      <c r="I6552" t="s">
        <v>21</v>
      </c>
    </row>
    <row r="6553" spans="1:9" x14ac:dyDescent="0.25">
      <c r="A6553">
        <v>20140213</v>
      </c>
      <c r="B6553" t="str">
        <f>"114218"</f>
        <v>114218</v>
      </c>
      <c r="C6553" t="str">
        <f>"48820"</f>
        <v>48820</v>
      </c>
      <c r="D6553" t="s">
        <v>1106</v>
      </c>
      <c r="E6553">
        <v>113.17</v>
      </c>
      <c r="F6553">
        <v>20140212</v>
      </c>
      <c r="G6553" t="s">
        <v>1067</v>
      </c>
      <c r="H6553" t="s">
        <v>354</v>
      </c>
      <c r="I6553" t="s">
        <v>21</v>
      </c>
    </row>
    <row r="6554" spans="1:9" x14ac:dyDescent="0.25">
      <c r="A6554">
        <v>20140213</v>
      </c>
      <c r="B6554" t="str">
        <f>"114218"</f>
        <v>114218</v>
      </c>
      <c r="C6554" t="str">
        <f>"48820"</f>
        <v>48820</v>
      </c>
      <c r="D6554" t="s">
        <v>1106</v>
      </c>
      <c r="E6554">
        <v>134.91999999999999</v>
      </c>
      <c r="F6554">
        <v>20140212</v>
      </c>
      <c r="G6554" t="s">
        <v>209</v>
      </c>
      <c r="H6554" t="s">
        <v>354</v>
      </c>
      <c r="I6554" t="s">
        <v>25</v>
      </c>
    </row>
    <row r="6555" spans="1:9" x14ac:dyDescent="0.25">
      <c r="A6555">
        <v>20140213</v>
      </c>
      <c r="B6555" t="str">
        <f>"114219"</f>
        <v>114219</v>
      </c>
      <c r="C6555" t="str">
        <f>"48897"</f>
        <v>48897</v>
      </c>
      <c r="D6555" t="s">
        <v>3315</v>
      </c>
      <c r="E6555" s="1">
        <v>1368.78</v>
      </c>
      <c r="F6555">
        <v>20140207</v>
      </c>
      <c r="G6555" t="s">
        <v>496</v>
      </c>
      <c r="H6555" t="s">
        <v>414</v>
      </c>
      <c r="I6555" t="s">
        <v>21</v>
      </c>
    </row>
    <row r="6556" spans="1:9" x14ac:dyDescent="0.25">
      <c r="A6556">
        <v>20140213</v>
      </c>
      <c r="B6556" t="str">
        <f>"114220"</f>
        <v>114220</v>
      </c>
      <c r="C6556" t="str">
        <f>"84424"</f>
        <v>84424</v>
      </c>
      <c r="D6556" t="s">
        <v>1107</v>
      </c>
      <c r="E6556">
        <v>72.319999999999993</v>
      </c>
      <c r="F6556">
        <v>20140212</v>
      </c>
      <c r="G6556" t="s">
        <v>637</v>
      </c>
      <c r="H6556" t="s">
        <v>354</v>
      </c>
      <c r="I6556" t="s">
        <v>38</v>
      </c>
    </row>
    <row r="6557" spans="1:9" x14ac:dyDescent="0.25">
      <c r="A6557">
        <v>20140213</v>
      </c>
      <c r="B6557" t="str">
        <f>"114221"</f>
        <v>114221</v>
      </c>
      <c r="C6557" t="str">
        <f>"49555"</f>
        <v>49555</v>
      </c>
      <c r="D6557" t="s">
        <v>2388</v>
      </c>
      <c r="E6557">
        <v>97.42</v>
      </c>
      <c r="F6557">
        <v>20140212</v>
      </c>
      <c r="G6557" t="s">
        <v>3029</v>
      </c>
      <c r="H6557" t="s">
        <v>3316</v>
      </c>
      <c r="I6557" t="s">
        <v>21</v>
      </c>
    </row>
    <row r="6558" spans="1:9" x14ac:dyDescent="0.25">
      <c r="A6558">
        <v>20140213</v>
      </c>
      <c r="B6558" t="str">
        <f>"114221"</f>
        <v>114221</v>
      </c>
      <c r="C6558" t="str">
        <f>"49555"</f>
        <v>49555</v>
      </c>
      <c r="D6558" t="s">
        <v>2388</v>
      </c>
      <c r="E6558">
        <v>202.17</v>
      </c>
      <c r="F6558">
        <v>20140207</v>
      </c>
      <c r="G6558" t="s">
        <v>2037</v>
      </c>
      <c r="H6558" t="s">
        <v>3317</v>
      </c>
      <c r="I6558" t="s">
        <v>21</v>
      </c>
    </row>
    <row r="6559" spans="1:9" x14ac:dyDescent="0.25">
      <c r="A6559">
        <v>20140213</v>
      </c>
      <c r="B6559" t="str">
        <f>"114222"</f>
        <v>114222</v>
      </c>
      <c r="C6559" t="str">
        <f>"82192"</f>
        <v>82192</v>
      </c>
      <c r="D6559" t="s">
        <v>642</v>
      </c>
      <c r="E6559" s="1">
        <v>5553</v>
      </c>
      <c r="F6559">
        <v>20140207</v>
      </c>
      <c r="G6559" t="s">
        <v>643</v>
      </c>
      <c r="H6559" t="s">
        <v>488</v>
      </c>
      <c r="I6559" t="s">
        <v>21</v>
      </c>
    </row>
    <row r="6560" spans="1:9" x14ac:dyDescent="0.25">
      <c r="A6560">
        <v>20140213</v>
      </c>
      <c r="B6560" t="str">
        <f>"114223"</f>
        <v>114223</v>
      </c>
      <c r="C6560" t="str">
        <f>"87684"</f>
        <v>87684</v>
      </c>
      <c r="D6560" t="s">
        <v>2862</v>
      </c>
      <c r="E6560">
        <v>66.739999999999995</v>
      </c>
      <c r="F6560">
        <v>20140211</v>
      </c>
      <c r="G6560" t="s">
        <v>36</v>
      </c>
      <c r="H6560" t="s">
        <v>3318</v>
      </c>
      <c r="I6560" t="s">
        <v>38</v>
      </c>
    </row>
    <row r="6561" spans="1:9" x14ac:dyDescent="0.25">
      <c r="A6561">
        <v>20140213</v>
      </c>
      <c r="B6561" t="str">
        <f>"114223"</f>
        <v>114223</v>
      </c>
      <c r="C6561" t="str">
        <f>"87684"</f>
        <v>87684</v>
      </c>
      <c r="D6561" t="s">
        <v>2862</v>
      </c>
      <c r="E6561">
        <v>-66.739999999999995</v>
      </c>
      <c r="F6561">
        <v>20140220</v>
      </c>
      <c r="G6561" t="s">
        <v>36</v>
      </c>
      <c r="H6561" t="s">
        <v>3319</v>
      </c>
      <c r="I6561" t="s">
        <v>38</v>
      </c>
    </row>
    <row r="6562" spans="1:9" x14ac:dyDescent="0.25">
      <c r="A6562">
        <v>20140213</v>
      </c>
      <c r="B6562" t="str">
        <f>"114224"</f>
        <v>114224</v>
      </c>
      <c r="C6562" t="str">
        <f>"85760"</f>
        <v>85760</v>
      </c>
      <c r="D6562" t="s">
        <v>1485</v>
      </c>
      <c r="E6562">
        <v>70.73</v>
      </c>
      <c r="F6562">
        <v>20140206</v>
      </c>
      <c r="G6562" t="s">
        <v>531</v>
      </c>
      <c r="H6562" t="s">
        <v>414</v>
      </c>
      <c r="I6562" t="s">
        <v>21</v>
      </c>
    </row>
    <row r="6563" spans="1:9" x14ac:dyDescent="0.25">
      <c r="A6563">
        <v>20140213</v>
      </c>
      <c r="B6563" t="str">
        <f>"114225"</f>
        <v>114225</v>
      </c>
      <c r="C6563" t="str">
        <f>"84193"</f>
        <v>84193</v>
      </c>
      <c r="D6563" t="s">
        <v>1110</v>
      </c>
      <c r="E6563">
        <v>25.74</v>
      </c>
      <c r="F6563">
        <v>20140212</v>
      </c>
      <c r="G6563" t="s">
        <v>562</v>
      </c>
      <c r="H6563" t="s">
        <v>563</v>
      </c>
      <c r="I6563" t="s">
        <v>21</v>
      </c>
    </row>
    <row r="6564" spans="1:9" x14ac:dyDescent="0.25">
      <c r="A6564">
        <v>20140213</v>
      </c>
      <c r="B6564" t="str">
        <f>"114226"</f>
        <v>114226</v>
      </c>
      <c r="C6564" t="str">
        <f>"86643"</f>
        <v>86643</v>
      </c>
      <c r="D6564" t="s">
        <v>3320</v>
      </c>
      <c r="E6564">
        <v>105</v>
      </c>
      <c r="F6564">
        <v>20140210</v>
      </c>
      <c r="G6564" t="s">
        <v>2324</v>
      </c>
      <c r="H6564" t="s">
        <v>765</v>
      </c>
      <c r="I6564" t="s">
        <v>61</v>
      </c>
    </row>
    <row r="6565" spans="1:9" x14ac:dyDescent="0.25">
      <c r="A6565">
        <v>20140213</v>
      </c>
      <c r="B6565" t="str">
        <f>"114227"</f>
        <v>114227</v>
      </c>
      <c r="C6565" t="str">
        <f>"85770"</f>
        <v>85770</v>
      </c>
      <c r="D6565" t="s">
        <v>363</v>
      </c>
      <c r="E6565">
        <v>53.6</v>
      </c>
      <c r="F6565">
        <v>20140206</v>
      </c>
      <c r="G6565" t="s">
        <v>364</v>
      </c>
      <c r="H6565" t="s">
        <v>563</v>
      </c>
      <c r="I6565" t="s">
        <v>21</v>
      </c>
    </row>
    <row r="6566" spans="1:9" x14ac:dyDescent="0.25">
      <c r="A6566">
        <v>20140213</v>
      </c>
      <c r="B6566" t="str">
        <f>"114227"</f>
        <v>114227</v>
      </c>
      <c r="C6566" t="str">
        <f>"85770"</f>
        <v>85770</v>
      </c>
      <c r="D6566" t="s">
        <v>363</v>
      </c>
      <c r="E6566">
        <v>139.5</v>
      </c>
      <c r="F6566">
        <v>20140206</v>
      </c>
      <c r="G6566" t="s">
        <v>364</v>
      </c>
      <c r="H6566" t="s">
        <v>365</v>
      </c>
      <c r="I6566" t="s">
        <v>21</v>
      </c>
    </row>
    <row r="6567" spans="1:9" x14ac:dyDescent="0.25">
      <c r="A6567">
        <v>20140213</v>
      </c>
      <c r="B6567" t="str">
        <f>"114228"</f>
        <v>114228</v>
      </c>
      <c r="C6567" t="str">
        <f>"86137"</f>
        <v>86137</v>
      </c>
      <c r="D6567" t="s">
        <v>916</v>
      </c>
      <c r="E6567">
        <v>175</v>
      </c>
      <c r="F6567">
        <v>20140206</v>
      </c>
      <c r="G6567" t="s">
        <v>2324</v>
      </c>
      <c r="H6567" t="s">
        <v>765</v>
      </c>
      <c r="I6567" t="s">
        <v>61</v>
      </c>
    </row>
    <row r="6568" spans="1:9" x14ac:dyDescent="0.25">
      <c r="A6568">
        <v>20140213</v>
      </c>
      <c r="B6568" t="str">
        <f>"114228"</f>
        <v>114228</v>
      </c>
      <c r="C6568" t="str">
        <f>"86137"</f>
        <v>86137</v>
      </c>
      <c r="D6568" t="s">
        <v>916</v>
      </c>
      <c r="E6568">
        <v>135</v>
      </c>
      <c r="F6568">
        <v>20140210</v>
      </c>
      <c r="G6568" t="s">
        <v>2324</v>
      </c>
      <c r="H6568" t="s">
        <v>765</v>
      </c>
      <c r="I6568" t="s">
        <v>61</v>
      </c>
    </row>
    <row r="6569" spans="1:9" x14ac:dyDescent="0.25">
      <c r="A6569">
        <v>20140213</v>
      </c>
      <c r="B6569" t="str">
        <f>"114229"</f>
        <v>114229</v>
      </c>
      <c r="C6569" t="str">
        <f>"00760"</f>
        <v>00760</v>
      </c>
      <c r="D6569" t="s">
        <v>920</v>
      </c>
      <c r="E6569">
        <v>599.4</v>
      </c>
      <c r="F6569">
        <v>20140210</v>
      </c>
      <c r="G6569" t="s">
        <v>973</v>
      </c>
      <c r="H6569" t="s">
        <v>921</v>
      </c>
      <c r="I6569" t="s">
        <v>21</v>
      </c>
    </row>
    <row r="6570" spans="1:9" x14ac:dyDescent="0.25">
      <c r="A6570">
        <v>20140213</v>
      </c>
      <c r="B6570" t="str">
        <f>"114230"</f>
        <v>114230</v>
      </c>
      <c r="C6570" t="str">
        <f>"00760"</f>
        <v>00760</v>
      </c>
      <c r="D6570" t="s">
        <v>920</v>
      </c>
      <c r="E6570">
        <v>511.6</v>
      </c>
      <c r="F6570">
        <v>20140211</v>
      </c>
      <c r="G6570" t="s">
        <v>926</v>
      </c>
      <c r="H6570" t="s">
        <v>921</v>
      </c>
      <c r="I6570" t="s">
        <v>21</v>
      </c>
    </row>
    <row r="6571" spans="1:9" x14ac:dyDescent="0.25">
      <c r="A6571">
        <v>20140213</v>
      </c>
      <c r="B6571" t="str">
        <f>"114231"</f>
        <v>114231</v>
      </c>
      <c r="C6571" t="str">
        <f>"00760"</f>
        <v>00760</v>
      </c>
      <c r="D6571" t="s">
        <v>920</v>
      </c>
      <c r="E6571">
        <v>277.5</v>
      </c>
      <c r="F6571">
        <v>20140210</v>
      </c>
      <c r="G6571" t="s">
        <v>973</v>
      </c>
      <c r="H6571" t="s">
        <v>921</v>
      </c>
      <c r="I6571" t="s">
        <v>21</v>
      </c>
    </row>
    <row r="6572" spans="1:9" x14ac:dyDescent="0.25">
      <c r="A6572">
        <v>20140213</v>
      </c>
      <c r="B6572" t="str">
        <f>"114232"</f>
        <v>114232</v>
      </c>
      <c r="C6572" t="str">
        <f>"52518"</f>
        <v>52518</v>
      </c>
      <c r="D6572" t="s">
        <v>647</v>
      </c>
      <c r="E6572">
        <v>52.24</v>
      </c>
      <c r="F6572">
        <v>20140207</v>
      </c>
      <c r="G6572" t="s">
        <v>498</v>
      </c>
      <c r="H6572" t="s">
        <v>499</v>
      </c>
      <c r="I6572" t="s">
        <v>21</v>
      </c>
    </row>
    <row r="6573" spans="1:9" x14ac:dyDescent="0.25">
      <c r="A6573">
        <v>20140213</v>
      </c>
      <c r="B6573" t="str">
        <f>"114232"</f>
        <v>114232</v>
      </c>
      <c r="C6573" t="str">
        <f>"52518"</f>
        <v>52518</v>
      </c>
      <c r="D6573" t="s">
        <v>647</v>
      </c>
      <c r="E6573">
        <v>446.81</v>
      </c>
      <c r="F6573">
        <v>20140207</v>
      </c>
      <c r="G6573" t="s">
        <v>496</v>
      </c>
      <c r="H6573" t="s">
        <v>414</v>
      </c>
      <c r="I6573" t="s">
        <v>21</v>
      </c>
    </row>
    <row r="6574" spans="1:9" x14ac:dyDescent="0.25">
      <c r="A6574">
        <v>20140213</v>
      </c>
      <c r="B6574" t="str">
        <f>"114232"</f>
        <v>114232</v>
      </c>
      <c r="C6574" t="str">
        <f>"52518"</f>
        <v>52518</v>
      </c>
      <c r="D6574" t="s">
        <v>647</v>
      </c>
      <c r="E6574">
        <v>231.22</v>
      </c>
      <c r="F6574">
        <v>20140207</v>
      </c>
      <c r="G6574" t="s">
        <v>392</v>
      </c>
      <c r="H6574" t="s">
        <v>414</v>
      </c>
      <c r="I6574" t="s">
        <v>21</v>
      </c>
    </row>
    <row r="6575" spans="1:9" x14ac:dyDescent="0.25">
      <c r="A6575">
        <v>20140213</v>
      </c>
      <c r="B6575" t="str">
        <f>"114232"</f>
        <v>114232</v>
      </c>
      <c r="C6575" t="str">
        <f>"52518"</f>
        <v>52518</v>
      </c>
      <c r="D6575" t="s">
        <v>647</v>
      </c>
      <c r="E6575">
        <v>475.8</v>
      </c>
      <c r="F6575">
        <v>20140207</v>
      </c>
      <c r="G6575" t="s">
        <v>1426</v>
      </c>
      <c r="H6575" t="s">
        <v>414</v>
      </c>
      <c r="I6575" t="s">
        <v>38</v>
      </c>
    </row>
    <row r="6576" spans="1:9" x14ac:dyDescent="0.25">
      <c r="A6576">
        <v>20140213</v>
      </c>
      <c r="B6576" t="str">
        <f>"114233"</f>
        <v>114233</v>
      </c>
      <c r="C6576" t="str">
        <f>"82978"</f>
        <v>82978</v>
      </c>
      <c r="D6576" t="s">
        <v>2245</v>
      </c>
      <c r="E6576">
        <v>394.8</v>
      </c>
      <c r="F6576">
        <v>20140212</v>
      </c>
      <c r="G6576" t="s">
        <v>583</v>
      </c>
      <c r="H6576" t="s">
        <v>3321</v>
      </c>
      <c r="I6576" t="s">
        <v>21</v>
      </c>
    </row>
    <row r="6577" spans="1:9" x14ac:dyDescent="0.25">
      <c r="A6577">
        <v>20140213</v>
      </c>
      <c r="B6577" t="str">
        <f>"114234"</f>
        <v>114234</v>
      </c>
      <c r="C6577" t="str">
        <f>"55675"</f>
        <v>55675</v>
      </c>
      <c r="D6577" t="s">
        <v>1114</v>
      </c>
      <c r="E6577">
        <v>184.99</v>
      </c>
      <c r="F6577">
        <v>20140206</v>
      </c>
      <c r="G6577" t="s">
        <v>506</v>
      </c>
      <c r="H6577" t="s">
        <v>414</v>
      </c>
      <c r="I6577" t="s">
        <v>21</v>
      </c>
    </row>
    <row r="6578" spans="1:9" x14ac:dyDescent="0.25">
      <c r="A6578">
        <v>20140213</v>
      </c>
      <c r="B6578" t="str">
        <f>"114234"</f>
        <v>114234</v>
      </c>
      <c r="C6578" t="str">
        <f>"55675"</f>
        <v>55675</v>
      </c>
      <c r="D6578" t="s">
        <v>1114</v>
      </c>
      <c r="E6578">
        <v>76.489999999999995</v>
      </c>
      <c r="F6578">
        <v>20140206</v>
      </c>
      <c r="G6578" t="s">
        <v>506</v>
      </c>
      <c r="H6578" t="s">
        <v>414</v>
      </c>
      <c r="I6578" t="s">
        <v>21</v>
      </c>
    </row>
    <row r="6579" spans="1:9" x14ac:dyDescent="0.25">
      <c r="A6579">
        <v>20140213</v>
      </c>
      <c r="B6579" t="str">
        <f>"114235"</f>
        <v>114235</v>
      </c>
      <c r="C6579" t="str">
        <f>"55795"</f>
        <v>55795</v>
      </c>
      <c r="D6579" t="s">
        <v>931</v>
      </c>
      <c r="E6579">
        <v>83</v>
      </c>
      <c r="F6579">
        <v>20140212</v>
      </c>
      <c r="G6579" t="s">
        <v>2667</v>
      </c>
      <c r="H6579" t="s">
        <v>354</v>
      </c>
      <c r="I6579" t="s">
        <v>21</v>
      </c>
    </row>
    <row r="6580" spans="1:9" x14ac:dyDescent="0.25">
      <c r="A6580">
        <v>20140213</v>
      </c>
      <c r="B6580" t="str">
        <f>"114236"</f>
        <v>114236</v>
      </c>
      <c r="C6580" t="str">
        <f>"55801"</f>
        <v>55801</v>
      </c>
      <c r="D6580" t="s">
        <v>3322</v>
      </c>
      <c r="E6580">
        <v>41.5</v>
      </c>
      <c r="F6580">
        <v>20140212</v>
      </c>
      <c r="G6580" t="s">
        <v>3323</v>
      </c>
      <c r="H6580" t="s">
        <v>3324</v>
      </c>
      <c r="I6580" t="s">
        <v>21</v>
      </c>
    </row>
    <row r="6581" spans="1:9" x14ac:dyDescent="0.25">
      <c r="A6581">
        <v>20140213</v>
      </c>
      <c r="B6581" t="str">
        <f>"114237"</f>
        <v>114237</v>
      </c>
      <c r="C6581" t="str">
        <f>"83263"</f>
        <v>83263</v>
      </c>
      <c r="D6581" t="s">
        <v>2876</v>
      </c>
      <c r="E6581">
        <v>124.65</v>
      </c>
      <c r="F6581">
        <v>20140206</v>
      </c>
      <c r="G6581" t="s">
        <v>410</v>
      </c>
      <c r="H6581" t="s">
        <v>411</v>
      </c>
      <c r="I6581" t="s">
        <v>12</v>
      </c>
    </row>
    <row r="6582" spans="1:9" x14ac:dyDescent="0.25">
      <c r="A6582">
        <v>20140213</v>
      </c>
      <c r="B6582" t="str">
        <f>"114238"</f>
        <v>114238</v>
      </c>
      <c r="C6582" t="str">
        <f>"58458"</f>
        <v>58458</v>
      </c>
      <c r="D6582" t="s">
        <v>369</v>
      </c>
      <c r="E6582">
        <v>15.62</v>
      </c>
      <c r="F6582">
        <v>20140210</v>
      </c>
      <c r="G6582" t="s">
        <v>39</v>
      </c>
      <c r="H6582" t="s">
        <v>354</v>
      </c>
      <c r="I6582" t="s">
        <v>38</v>
      </c>
    </row>
    <row r="6583" spans="1:9" x14ac:dyDescent="0.25">
      <c r="A6583">
        <v>20140213</v>
      </c>
      <c r="B6583" t="str">
        <f>"114239"</f>
        <v>114239</v>
      </c>
      <c r="C6583" t="str">
        <f>"58675"</f>
        <v>58675</v>
      </c>
      <c r="D6583" t="s">
        <v>657</v>
      </c>
      <c r="E6583">
        <v>613.01</v>
      </c>
      <c r="F6583">
        <v>20140210</v>
      </c>
      <c r="G6583" t="s">
        <v>498</v>
      </c>
      <c r="H6583" t="s">
        <v>499</v>
      </c>
      <c r="I6583" t="s">
        <v>21</v>
      </c>
    </row>
    <row r="6584" spans="1:9" x14ac:dyDescent="0.25">
      <c r="A6584">
        <v>20140213</v>
      </c>
      <c r="B6584" t="str">
        <f>"114240"</f>
        <v>114240</v>
      </c>
      <c r="C6584" t="str">
        <f>"00583"</f>
        <v>00583</v>
      </c>
      <c r="D6584" t="s">
        <v>3325</v>
      </c>
      <c r="E6584" s="1">
        <v>4741</v>
      </c>
      <c r="F6584">
        <v>20140207</v>
      </c>
      <c r="G6584" t="s">
        <v>3326</v>
      </c>
      <c r="H6584" t="s">
        <v>3327</v>
      </c>
      <c r="I6584" t="s">
        <v>21</v>
      </c>
    </row>
    <row r="6585" spans="1:9" x14ac:dyDescent="0.25">
      <c r="A6585">
        <v>20140213</v>
      </c>
      <c r="B6585" t="str">
        <f>"114241"</f>
        <v>114241</v>
      </c>
      <c r="C6585" t="str">
        <f>"59303"</f>
        <v>59303</v>
      </c>
      <c r="D6585" t="s">
        <v>2557</v>
      </c>
      <c r="E6585">
        <v>169.99</v>
      </c>
      <c r="F6585">
        <v>20140206</v>
      </c>
      <c r="G6585" t="s">
        <v>511</v>
      </c>
      <c r="H6585" t="s">
        <v>3328</v>
      </c>
      <c r="I6585" t="s">
        <v>21</v>
      </c>
    </row>
    <row r="6586" spans="1:9" x14ac:dyDescent="0.25">
      <c r="A6586">
        <v>20140213</v>
      </c>
      <c r="B6586" t="str">
        <f>"114241"</f>
        <v>114241</v>
      </c>
      <c r="C6586" t="str">
        <f>"59303"</f>
        <v>59303</v>
      </c>
      <c r="D6586" t="s">
        <v>2557</v>
      </c>
      <c r="E6586">
        <v>380.67</v>
      </c>
      <c r="F6586">
        <v>20140206</v>
      </c>
      <c r="G6586" t="s">
        <v>511</v>
      </c>
      <c r="H6586" t="s">
        <v>3328</v>
      </c>
      <c r="I6586" t="s">
        <v>21</v>
      </c>
    </row>
    <row r="6587" spans="1:9" x14ac:dyDescent="0.25">
      <c r="A6587">
        <v>20140213</v>
      </c>
      <c r="B6587" t="str">
        <f>"114242"</f>
        <v>114242</v>
      </c>
      <c r="C6587" t="str">
        <f>"87330"</f>
        <v>87330</v>
      </c>
      <c r="D6587" t="s">
        <v>671</v>
      </c>
      <c r="E6587" s="1">
        <v>1050</v>
      </c>
      <c r="F6587">
        <v>20140210</v>
      </c>
      <c r="G6587" t="s">
        <v>672</v>
      </c>
      <c r="H6587" t="s">
        <v>2264</v>
      </c>
      <c r="I6587" t="s">
        <v>21</v>
      </c>
    </row>
    <row r="6588" spans="1:9" x14ac:dyDescent="0.25">
      <c r="A6588">
        <v>20140213</v>
      </c>
      <c r="B6588" t="str">
        <f>"114243"</f>
        <v>114243</v>
      </c>
      <c r="C6588" t="str">
        <f>"86795"</f>
        <v>86795</v>
      </c>
      <c r="D6588" t="s">
        <v>430</v>
      </c>
      <c r="E6588">
        <v>19.350000000000001</v>
      </c>
      <c r="F6588">
        <v>20140206</v>
      </c>
      <c r="G6588" t="s">
        <v>410</v>
      </c>
      <c r="H6588" t="s">
        <v>411</v>
      </c>
      <c r="I6588" t="s">
        <v>12</v>
      </c>
    </row>
    <row r="6589" spans="1:9" x14ac:dyDescent="0.25">
      <c r="A6589">
        <v>20140213</v>
      </c>
      <c r="B6589" t="str">
        <f>"114244"</f>
        <v>114244</v>
      </c>
      <c r="C6589" t="str">
        <f>"87731"</f>
        <v>87731</v>
      </c>
      <c r="D6589" t="s">
        <v>3329</v>
      </c>
      <c r="E6589">
        <v>18.88</v>
      </c>
      <c r="F6589">
        <v>20140207</v>
      </c>
      <c r="G6589" t="s">
        <v>181</v>
      </c>
      <c r="H6589" t="s">
        <v>354</v>
      </c>
      <c r="I6589" t="s">
        <v>38</v>
      </c>
    </row>
    <row r="6590" spans="1:9" x14ac:dyDescent="0.25">
      <c r="A6590">
        <v>20140213</v>
      </c>
      <c r="B6590" t="str">
        <f>"114245"</f>
        <v>114245</v>
      </c>
      <c r="C6590" t="str">
        <f>"59695"</f>
        <v>59695</v>
      </c>
      <c r="D6590" t="s">
        <v>371</v>
      </c>
      <c r="E6590">
        <v>810</v>
      </c>
      <c r="F6590">
        <v>20140206</v>
      </c>
      <c r="G6590" t="s">
        <v>372</v>
      </c>
      <c r="H6590" t="s">
        <v>373</v>
      </c>
      <c r="I6590" t="s">
        <v>21</v>
      </c>
    </row>
    <row r="6591" spans="1:9" x14ac:dyDescent="0.25">
      <c r="A6591">
        <v>20140213</v>
      </c>
      <c r="B6591" t="str">
        <f>"114245"</f>
        <v>114245</v>
      </c>
      <c r="C6591" t="str">
        <f>"59695"</f>
        <v>59695</v>
      </c>
      <c r="D6591" t="s">
        <v>371</v>
      </c>
      <c r="E6591">
        <v>405</v>
      </c>
      <c r="F6591">
        <v>20140206</v>
      </c>
      <c r="G6591" t="s">
        <v>374</v>
      </c>
      <c r="H6591" t="s">
        <v>373</v>
      </c>
      <c r="I6591" t="s">
        <v>21</v>
      </c>
    </row>
    <row r="6592" spans="1:9" x14ac:dyDescent="0.25">
      <c r="A6592">
        <v>20140213</v>
      </c>
      <c r="B6592" t="str">
        <f>"114245"</f>
        <v>114245</v>
      </c>
      <c r="C6592" t="str">
        <f>"59695"</f>
        <v>59695</v>
      </c>
      <c r="D6592" t="s">
        <v>371</v>
      </c>
      <c r="E6592">
        <v>100</v>
      </c>
      <c r="F6592">
        <v>20140206</v>
      </c>
      <c r="G6592" t="s">
        <v>375</v>
      </c>
      <c r="H6592" t="s">
        <v>373</v>
      </c>
      <c r="I6592" t="s">
        <v>21</v>
      </c>
    </row>
    <row r="6593" spans="1:9" x14ac:dyDescent="0.25">
      <c r="A6593">
        <v>20140213</v>
      </c>
      <c r="B6593" t="str">
        <f>"114245"</f>
        <v>114245</v>
      </c>
      <c r="C6593" t="str">
        <f>"59695"</f>
        <v>59695</v>
      </c>
      <c r="D6593" t="s">
        <v>371</v>
      </c>
      <c r="E6593">
        <v>620</v>
      </c>
      <c r="F6593">
        <v>20140206</v>
      </c>
      <c r="G6593" t="s">
        <v>376</v>
      </c>
      <c r="H6593" t="s">
        <v>373</v>
      </c>
      <c r="I6593" t="s">
        <v>21</v>
      </c>
    </row>
    <row r="6594" spans="1:9" x14ac:dyDescent="0.25">
      <c r="A6594">
        <v>20140213</v>
      </c>
      <c r="B6594" t="str">
        <f>"114246"</f>
        <v>114246</v>
      </c>
      <c r="C6594" t="str">
        <f>"84214"</f>
        <v>84214</v>
      </c>
      <c r="D6594" t="s">
        <v>431</v>
      </c>
      <c r="E6594">
        <v>36.450000000000003</v>
      </c>
      <c r="F6594">
        <v>20140206</v>
      </c>
      <c r="G6594" t="s">
        <v>410</v>
      </c>
      <c r="H6594" t="s">
        <v>411</v>
      </c>
      <c r="I6594" t="s">
        <v>12</v>
      </c>
    </row>
    <row r="6595" spans="1:9" x14ac:dyDescent="0.25">
      <c r="A6595">
        <v>20140213</v>
      </c>
      <c r="B6595" t="str">
        <f>"114247"</f>
        <v>114247</v>
      </c>
      <c r="C6595" t="str">
        <f>"87739"</f>
        <v>87739</v>
      </c>
      <c r="D6595" t="s">
        <v>3330</v>
      </c>
      <c r="E6595">
        <v>60.93</v>
      </c>
      <c r="F6595">
        <v>20140212</v>
      </c>
      <c r="G6595" t="s">
        <v>440</v>
      </c>
      <c r="H6595" t="s">
        <v>365</v>
      </c>
      <c r="I6595" t="s">
        <v>66</v>
      </c>
    </row>
    <row r="6596" spans="1:9" x14ac:dyDescent="0.25">
      <c r="A6596">
        <v>20140213</v>
      </c>
      <c r="B6596" t="str">
        <f>"114248"</f>
        <v>114248</v>
      </c>
      <c r="C6596" t="str">
        <f>"81933"</f>
        <v>81933</v>
      </c>
      <c r="D6596" t="s">
        <v>432</v>
      </c>
      <c r="E6596">
        <v>49.5</v>
      </c>
      <c r="F6596">
        <v>20140206</v>
      </c>
      <c r="G6596" t="s">
        <v>410</v>
      </c>
      <c r="H6596" t="s">
        <v>411</v>
      </c>
      <c r="I6596" t="s">
        <v>12</v>
      </c>
    </row>
    <row r="6597" spans="1:9" x14ac:dyDescent="0.25">
      <c r="A6597">
        <v>20140213</v>
      </c>
      <c r="B6597" t="str">
        <f>"114249"</f>
        <v>114249</v>
      </c>
      <c r="C6597" t="str">
        <f>"84597"</f>
        <v>84597</v>
      </c>
      <c r="D6597" t="s">
        <v>1508</v>
      </c>
      <c r="E6597">
        <v>245.41</v>
      </c>
      <c r="F6597">
        <v>20140210</v>
      </c>
      <c r="G6597" t="s">
        <v>340</v>
      </c>
      <c r="H6597" t="s">
        <v>525</v>
      </c>
      <c r="I6597" t="s">
        <v>21</v>
      </c>
    </row>
    <row r="6598" spans="1:9" x14ac:dyDescent="0.25">
      <c r="A6598">
        <v>20140213</v>
      </c>
      <c r="B6598" t="str">
        <f>"114249"</f>
        <v>114249</v>
      </c>
      <c r="C6598" t="str">
        <f>"84597"</f>
        <v>84597</v>
      </c>
      <c r="D6598" t="s">
        <v>1508</v>
      </c>
      <c r="E6598">
        <v>410.23</v>
      </c>
      <c r="F6598">
        <v>20140210</v>
      </c>
      <c r="G6598" t="s">
        <v>498</v>
      </c>
      <c r="H6598" t="s">
        <v>499</v>
      </c>
      <c r="I6598" t="s">
        <v>21</v>
      </c>
    </row>
    <row r="6599" spans="1:9" x14ac:dyDescent="0.25">
      <c r="A6599">
        <v>20140213</v>
      </c>
      <c r="B6599" t="str">
        <f>"114250"</f>
        <v>114250</v>
      </c>
      <c r="C6599" t="str">
        <f>"62200"</f>
        <v>62200</v>
      </c>
      <c r="D6599" t="s">
        <v>1510</v>
      </c>
      <c r="E6599">
        <v>190.29</v>
      </c>
      <c r="F6599">
        <v>20140206</v>
      </c>
      <c r="G6599" t="s">
        <v>496</v>
      </c>
      <c r="H6599" t="s">
        <v>414</v>
      </c>
      <c r="I6599" t="s">
        <v>21</v>
      </c>
    </row>
    <row r="6600" spans="1:9" x14ac:dyDescent="0.25">
      <c r="A6600">
        <v>20140213</v>
      </c>
      <c r="B6600" t="str">
        <f>"114251"</f>
        <v>114251</v>
      </c>
      <c r="C6600" t="str">
        <f>"62420"</f>
        <v>62420</v>
      </c>
      <c r="D6600" t="s">
        <v>1124</v>
      </c>
      <c r="E6600">
        <v>318.10000000000002</v>
      </c>
      <c r="F6600">
        <v>20140207</v>
      </c>
      <c r="G6600" t="s">
        <v>1743</v>
      </c>
      <c r="H6600" t="s">
        <v>3331</v>
      </c>
      <c r="I6600" t="s">
        <v>21</v>
      </c>
    </row>
    <row r="6601" spans="1:9" x14ac:dyDescent="0.25">
      <c r="A6601">
        <v>20140213</v>
      </c>
      <c r="B6601" t="str">
        <f>"114252"</f>
        <v>114252</v>
      </c>
      <c r="C6601" t="str">
        <f>"62900"</f>
        <v>62900</v>
      </c>
      <c r="D6601" t="s">
        <v>1293</v>
      </c>
      <c r="E6601">
        <v>274.75</v>
      </c>
      <c r="F6601">
        <v>20140207</v>
      </c>
      <c r="G6601" t="s">
        <v>828</v>
      </c>
      <c r="H6601" t="s">
        <v>3332</v>
      </c>
      <c r="I6601" t="s">
        <v>21</v>
      </c>
    </row>
    <row r="6602" spans="1:9" x14ac:dyDescent="0.25">
      <c r="A6602">
        <v>20140213</v>
      </c>
      <c r="B6602" t="str">
        <f>"114253"</f>
        <v>114253</v>
      </c>
      <c r="C6602" t="str">
        <f>"87730"</f>
        <v>87730</v>
      </c>
      <c r="D6602" t="s">
        <v>3333</v>
      </c>
      <c r="E6602">
        <v>105</v>
      </c>
      <c r="F6602">
        <v>20140206</v>
      </c>
      <c r="G6602" t="s">
        <v>2324</v>
      </c>
      <c r="H6602" t="s">
        <v>765</v>
      </c>
      <c r="I6602" t="s">
        <v>61</v>
      </c>
    </row>
    <row r="6603" spans="1:9" x14ac:dyDescent="0.25">
      <c r="A6603">
        <v>20140213</v>
      </c>
      <c r="B6603" t="str">
        <f>"114254"</f>
        <v>114254</v>
      </c>
      <c r="C6603" t="str">
        <f>"00411"</f>
        <v>00411</v>
      </c>
      <c r="D6603" t="s">
        <v>3334</v>
      </c>
      <c r="E6603" s="1">
        <v>44613.88</v>
      </c>
      <c r="F6603">
        <v>20140210</v>
      </c>
      <c r="G6603" t="s">
        <v>574</v>
      </c>
      <c r="H6603" t="s">
        <v>3335</v>
      </c>
      <c r="I6603" t="s">
        <v>21</v>
      </c>
    </row>
    <row r="6604" spans="1:9" x14ac:dyDescent="0.25">
      <c r="A6604">
        <v>20140213</v>
      </c>
      <c r="B6604" t="str">
        <f>"114255"</f>
        <v>114255</v>
      </c>
      <c r="C6604" t="str">
        <f>"87288"</f>
        <v>87288</v>
      </c>
      <c r="D6604" t="s">
        <v>1137</v>
      </c>
      <c r="E6604">
        <v>96</v>
      </c>
      <c r="F6604">
        <v>20140206</v>
      </c>
      <c r="G6604" t="s">
        <v>734</v>
      </c>
      <c r="H6604" t="s">
        <v>993</v>
      </c>
      <c r="I6604" t="s">
        <v>21</v>
      </c>
    </row>
    <row r="6605" spans="1:9" x14ac:dyDescent="0.25">
      <c r="A6605">
        <v>20140213</v>
      </c>
      <c r="B6605" t="str">
        <f>"114255"</f>
        <v>114255</v>
      </c>
      <c r="C6605" t="str">
        <f>"87288"</f>
        <v>87288</v>
      </c>
      <c r="D6605" t="s">
        <v>1137</v>
      </c>
      <c r="E6605">
        <v>30</v>
      </c>
      <c r="F6605">
        <v>20140206</v>
      </c>
      <c r="G6605" t="s">
        <v>734</v>
      </c>
      <c r="H6605" t="s">
        <v>993</v>
      </c>
      <c r="I6605" t="s">
        <v>21</v>
      </c>
    </row>
    <row r="6606" spans="1:9" x14ac:dyDescent="0.25">
      <c r="A6606">
        <v>20140213</v>
      </c>
      <c r="B6606" t="str">
        <f>"114256"</f>
        <v>114256</v>
      </c>
      <c r="C6606" t="str">
        <f>"81411"</f>
        <v>81411</v>
      </c>
      <c r="D6606" t="s">
        <v>687</v>
      </c>
      <c r="E6606" s="1">
        <v>3386</v>
      </c>
      <c r="F6606">
        <v>20140207</v>
      </c>
      <c r="G6606" t="s">
        <v>496</v>
      </c>
      <c r="H6606" t="s">
        <v>688</v>
      </c>
      <c r="I6606" t="s">
        <v>21</v>
      </c>
    </row>
    <row r="6607" spans="1:9" x14ac:dyDescent="0.25">
      <c r="A6607">
        <v>20140213</v>
      </c>
      <c r="B6607" t="str">
        <f>"114257"</f>
        <v>114257</v>
      </c>
      <c r="C6607" t="str">
        <f>"86621"</f>
        <v>86621</v>
      </c>
      <c r="D6607" t="s">
        <v>2570</v>
      </c>
      <c r="E6607">
        <v>135</v>
      </c>
      <c r="F6607">
        <v>20140210</v>
      </c>
      <c r="G6607" t="s">
        <v>2324</v>
      </c>
      <c r="H6607" t="s">
        <v>765</v>
      </c>
      <c r="I6607" t="s">
        <v>61</v>
      </c>
    </row>
    <row r="6608" spans="1:9" x14ac:dyDescent="0.25">
      <c r="A6608">
        <v>20140213</v>
      </c>
      <c r="B6608" t="str">
        <f>"114258"</f>
        <v>114258</v>
      </c>
      <c r="C6608" t="str">
        <f>"83322"</f>
        <v>83322</v>
      </c>
      <c r="D6608" t="s">
        <v>1935</v>
      </c>
      <c r="E6608">
        <v>165.6</v>
      </c>
      <c r="F6608">
        <v>20140210</v>
      </c>
      <c r="G6608" t="s">
        <v>810</v>
      </c>
      <c r="H6608" t="s">
        <v>365</v>
      </c>
      <c r="I6608" t="s">
        <v>66</v>
      </c>
    </row>
    <row r="6609" spans="1:9" x14ac:dyDescent="0.25">
      <c r="A6609">
        <v>20140213</v>
      </c>
      <c r="B6609" t="str">
        <f>"114259"</f>
        <v>114259</v>
      </c>
      <c r="C6609" t="str">
        <f>"68960"</f>
        <v>68960</v>
      </c>
      <c r="D6609" t="s">
        <v>689</v>
      </c>
      <c r="E6609">
        <v>127.96</v>
      </c>
      <c r="F6609">
        <v>20140211</v>
      </c>
      <c r="G6609" t="s">
        <v>145</v>
      </c>
      <c r="H6609" t="s">
        <v>357</v>
      </c>
      <c r="I6609" t="s">
        <v>38</v>
      </c>
    </row>
    <row r="6610" spans="1:9" x14ac:dyDescent="0.25">
      <c r="A6610">
        <v>20140213</v>
      </c>
      <c r="B6610" t="str">
        <f>"114259"</f>
        <v>114259</v>
      </c>
      <c r="C6610" t="str">
        <f>"68960"</f>
        <v>68960</v>
      </c>
      <c r="D6610" t="s">
        <v>689</v>
      </c>
      <c r="E6610">
        <v>100</v>
      </c>
      <c r="F6610">
        <v>20140207</v>
      </c>
      <c r="G6610" t="s">
        <v>181</v>
      </c>
      <c r="H6610" t="s">
        <v>357</v>
      </c>
      <c r="I6610" t="s">
        <v>38</v>
      </c>
    </row>
    <row r="6611" spans="1:9" x14ac:dyDescent="0.25">
      <c r="A6611">
        <v>20140213</v>
      </c>
      <c r="B6611" t="str">
        <f>"114260"</f>
        <v>114260</v>
      </c>
      <c r="C6611" t="str">
        <f>"86376"</f>
        <v>86376</v>
      </c>
      <c r="D6611" t="s">
        <v>1661</v>
      </c>
      <c r="E6611" s="1">
        <v>104393</v>
      </c>
      <c r="F6611">
        <v>20140212</v>
      </c>
      <c r="G6611" t="s">
        <v>1900</v>
      </c>
      <c r="H6611" t="s">
        <v>3336</v>
      </c>
      <c r="I6611" t="s">
        <v>608</v>
      </c>
    </row>
    <row r="6612" spans="1:9" x14ac:dyDescent="0.25">
      <c r="A6612">
        <v>20140213</v>
      </c>
      <c r="B6612" t="str">
        <f>"114261"</f>
        <v>114261</v>
      </c>
      <c r="C6612" t="str">
        <f>"81886"</f>
        <v>81886</v>
      </c>
      <c r="D6612" t="s">
        <v>1527</v>
      </c>
      <c r="E6612" s="1">
        <v>1420</v>
      </c>
      <c r="F6612">
        <v>20140206</v>
      </c>
      <c r="G6612" t="s">
        <v>746</v>
      </c>
      <c r="H6612" t="s">
        <v>555</v>
      </c>
      <c r="I6612" t="s">
        <v>21</v>
      </c>
    </row>
    <row r="6613" spans="1:9" x14ac:dyDescent="0.25">
      <c r="A6613">
        <v>20140213</v>
      </c>
      <c r="B6613" t="str">
        <f>"114262"</f>
        <v>114262</v>
      </c>
      <c r="C6613" t="str">
        <f>"83166"</f>
        <v>83166</v>
      </c>
      <c r="D6613" t="s">
        <v>3249</v>
      </c>
      <c r="E6613">
        <v>450</v>
      </c>
      <c r="F6613">
        <v>20140212</v>
      </c>
      <c r="G6613" t="s">
        <v>3250</v>
      </c>
      <c r="H6613" t="s">
        <v>3337</v>
      </c>
      <c r="I6613" t="s">
        <v>21</v>
      </c>
    </row>
    <row r="6614" spans="1:9" x14ac:dyDescent="0.25">
      <c r="A6614">
        <v>20140213</v>
      </c>
      <c r="B6614" t="str">
        <f>"114263"</f>
        <v>114263</v>
      </c>
      <c r="C6614" t="str">
        <f>"85180"</f>
        <v>85180</v>
      </c>
      <c r="D6614" t="s">
        <v>3338</v>
      </c>
      <c r="E6614">
        <v>58.36</v>
      </c>
      <c r="F6614">
        <v>20140210</v>
      </c>
      <c r="G6614" t="s">
        <v>828</v>
      </c>
      <c r="H6614" t="s">
        <v>3339</v>
      </c>
      <c r="I6614" t="s">
        <v>21</v>
      </c>
    </row>
    <row r="6615" spans="1:9" x14ac:dyDescent="0.25">
      <c r="A6615">
        <v>20140213</v>
      </c>
      <c r="B6615" t="str">
        <f>"114264"</f>
        <v>114264</v>
      </c>
      <c r="C6615" t="str">
        <f>"86085"</f>
        <v>86085</v>
      </c>
      <c r="D6615" t="s">
        <v>703</v>
      </c>
      <c r="E6615">
        <v>76</v>
      </c>
      <c r="F6615">
        <v>20140206</v>
      </c>
      <c r="G6615" t="s">
        <v>704</v>
      </c>
      <c r="H6615" t="s">
        <v>357</v>
      </c>
      <c r="I6615" t="s">
        <v>21</v>
      </c>
    </row>
    <row r="6616" spans="1:9" x14ac:dyDescent="0.25">
      <c r="A6616">
        <v>20140213</v>
      </c>
      <c r="B6616" t="str">
        <f>"114265"</f>
        <v>114265</v>
      </c>
      <c r="C6616" t="str">
        <f>"82002"</f>
        <v>82002</v>
      </c>
      <c r="D6616" t="s">
        <v>3340</v>
      </c>
      <c r="E6616">
        <v>190</v>
      </c>
      <c r="F6616">
        <v>20140211</v>
      </c>
      <c r="G6616" t="s">
        <v>347</v>
      </c>
      <c r="H6616" t="s">
        <v>1360</v>
      </c>
      <c r="I6616" t="s">
        <v>61</v>
      </c>
    </row>
    <row r="6617" spans="1:9" x14ac:dyDescent="0.25">
      <c r="A6617">
        <v>20140213</v>
      </c>
      <c r="B6617" t="str">
        <f>"114265"</f>
        <v>114265</v>
      </c>
      <c r="C6617" t="str">
        <f>"82002"</f>
        <v>82002</v>
      </c>
      <c r="D6617" t="s">
        <v>3340</v>
      </c>
      <c r="E6617">
        <v>-190</v>
      </c>
      <c r="F6617">
        <v>20140227</v>
      </c>
      <c r="G6617" t="s">
        <v>347</v>
      </c>
      <c r="H6617" t="s">
        <v>3341</v>
      </c>
      <c r="I6617" t="s">
        <v>61</v>
      </c>
    </row>
    <row r="6618" spans="1:9" x14ac:dyDescent="0.25">
      <c r="A6618">
        <v>20140213</v>
      </c>
      <c r="B6618" t="str">
        <f>"114266"</f>
        <v>114266</v>
      </c>
      <c r="C6618" t="str">
        <f>"82002"</f>
        <v>82002</v>
      </c>
      <c r="D6618" t="s">
        <v>3340</v>
      </c>
      <c r="E6618">
        <v>190</v>
      </c>
      <c r="F6618">
        <v>20140211</v>
      </c>
      <c r="G6618" t="s">
        <v>347</v>
      </c>
      <c r="H6618" t="s">
        <v>1360</v>
      </c>
      <c r="I6618" t="s">
        <v>61</v>
      </c>
    </row>
    <row r="6619" spans="1:9" x14ac:dyDescent="0.25">
      <c r="A6619">
        <v>20140213</v>
      </c>
      <c r="B6619" t="str">
        <f>"114267"</f>
        <v>114267</v>
      </c>
      <c r="C6619" t="str">
        <f>"82502"</f>
        <v>82502</v>
      </c>
      <c r="D6619" t="s">
        <v>706</v>
      </c>
      <c r="E6619">
        <v>7.5</v>
      </c>
      <c r="F6619">
        <v>20140206</v>
      </c>
      <c r="G6619" t="s">
        <v>340</v>
      </c>
      <c r="H6619" t="s">
        <v>707</v>
      </c>
      <c r="I6619" t="s">
        <v>21</v>
      </c>
    </row>
    <row r="6620" spans="1:9" x14ac:dyDescent="0.25">
      <c r="A6620">
        <v>20140213</v>
      </c>
      <c r="B6620" t="str">
        <f>"114267"</f>
        <v>114267</v>
      </c>
      <c r="C6620" t="str">
        <f>"82502"</f>
        <v>82502</v>
      </c>
      <c r="D6620" t="s">
        <v>706</v>
      </c>
      <c r="E6620">
        <v>75</v>
      </c>
      <c r="F6620">
        <v>20140206</v>
      </c>
      <c r="G6620" t="s">
        <v>340</v>
      </c>
      <c r="H6620" t="s">
        <v>2988</v>
      </c>
      <c r="I6620" t="s">
        <v>21</v>
      </c>
    </row>
    <row r="6621" spans="1:9" x14ac:dyDescent="0.25">
      <c r="A6621">
        <v>20140213</v>
      </c>
      <c r="B6621" t="str">
        <f>"114267"</f>
        <v>114267</v>
      </c>
      <c r="C6621" t="str">
        <f>"82502"</f>
        <v>82502</v>
      </c>
      <c r="D6621" t="s">
        <v>706</v>
      </c>
      <c r="E6621">
        <v>75</v>
      </c>
      <c r="F6621">
        <v>20140206</v>
      </c>
      <c r="G6621" t="s">
        <v>340</v>
      </c>
      <c r="H6621" t="s">
        <v>2988</v>
      </c>
      <c r="I6621" t="s">
        <v>21</v>
      </c>
    </row>
    <row r="6622" spans="1:9" x14ac:dyDescent="0.25">
      <c r="A6622">
        <v>20140213</v>
      </c>
      <c r="B6622" t="str">
        <f>"114267"</f>
        <v>114267</v>
      </c>
      <c r="C6622" t="str">
        <f>"82502"</f>
        <v>82502</v>
      </c>
      <c r="D6622" t="s">
        <v>706</v>
      </c>
      <c r="E6622">
        <v>7.5</v>
      </c>
      <c r="F6622">
        <v>20140211</v>
      </c>
      <c r="G6622" t="s">
        <v>340</v>
      </c>
      <c r="H6622" t="s">
        <v>707</v>
      </c>
      <c r="I6622" t="s">
        <v>21</v>
      </c>
    </row>
    <row r="6623" spans="1:9" x14ac:dyDescent="0.25">
      <c r="A6623">
        <v>20140213</v>
      </c>
      <c r="B6623" t="str">
        <f>"114267"</f>
        <v>114267</v>
      </c>
      <c r="C6623" t="str">
        <f>"82502"</f>
        <v>82502</v>
      </c>
      <c r="D6623" t="s">
        <v>706</v>
      </c>
      <c r="E6623">
        <v>25</v>
      </c>
      <c r="F6623">
        <v>20140206</v>
      </c>
      <c r="G6623" t="s">
        <v>413</v>
      </c>
      <c r="H6623" t="s">
        <v>2988</v>
      </c>
      <c r="I6623" t="s">
        <v>21</v>
      </c>
    </row>
    <row r="6624" spans="1:9" x14ac:dyDescent="0.25">
      <c r="A6624">
        <v>20140213</v>
      </c>
      <c r="B6624" t="str">
        <f>"114268"</f>
        <v>114268</v>
      </c>
      <c r="C6624" t="str">
        <f>"87742"</f>
        <v>87742</v>
      </c>
      <c r="D6624" t="s">
        <v>3342</v>
      </c>
      <c r="E6624">
        <v>343.23</v>
      </c>
      <c r="F6624">
        <v>20140212</v>
      </c>
      <c r="G6624" t="s">
        <v>789</v>
      </c>
      <c r="H6624" t="s">
        <v>365</v>
      </c>
      <c r="I6624" t="s">
        <v>61</v>
      </c>
    </row>
    <row r="6625" spans="1:9" x14ac:dyDescent="0.25">
      <c r="A6625">
        <v>20140213</v>
      </c>
      <c r="B6625" t="str">
        <f>"114269"</f>
        <v>114269</v>
      </c>
      <c r="C6625" t="str">
        <f>"83933"</f>
        <v>83933</v>
      </c>
      <c r="D6625" t="s">
        <v>1539</v>
      </c>
      <c r="E6625" s="1">
        <v>1584</v>
      </c>
      <c r="F6625">
        <v>20140211</v>
      </c>
      <c r="G6625" t="s">
        <v>404</v>
      </c>
      <c r="H6625" t="s">
        <v>1540</v>
      </c>
      <c r="I6625" t="s">
        <v>12</v>
      </c>
    </row>
    <row r="6626" spans="1:9" x14ac:dyDescent="0.25">
      <c r="A6626">
        <v>20140213</v>
      </c>
      <c r="B6626" t="str">
        <f t="shared" ref="B6626:B6631" si="419">"114270"</f>
        <v>114270</v>
      </c>
      <c r="C6626" t="str">
        <f t="shared" ref="C6626:C6631" si="420">"75600"</f>
        <v>75600</v>
      </c>
      <c r="D6626" t="s">
        <v>714</v>
      </c>
      <c r="E6626">
        <v>70</v>
      </c>
      <c r="F6626">
        <v>20140206</v>
      </c>
      <c r="G6626" t="s">
        <v>498</v>
      </c>
      <c r="H6626" t="s">
        <v>499</v>
      </c>
      <c r="I6626" t="s">
        <v>21</v>
      </c>
    </row>
    <row r="6627" spans="1:9" x14ac:dyDescent="0.25">
      <c r="A6627">
        <v>20140213</v>
      </c>
      <c r="B6627" t="str">
        <f t="shared" si="419"/>
        <v>114270</v>
      </c>
      <c r="C6627" t="str">
        <f t="shared" si="420"/>
        <v>75600</v>
      </c>
      <c r="D6627" t="s">
        <v>714</v>
      </c>
      <c r="E6627">
        <v>72.150000000000006</v>
      </c>
      <c r="F6627">
        <v>20140206</v>
      </c>
      <c r="G6627" t="s">
        <v>498</v>
      </c>
      <c r="H6627" t="s">
        <v>499</v>
      </c>
      <c r="I6627" t="s">
        <v>21</v>
      </c>
    </row>
    <row r="6628" spans="1:9" x14ac:dyDescent="0.25">
      <c r="A6628">
        <v>20140213</v>
      </c>
      <c r="B6628" t="str">
        <f t="shared" si="419"/>
        <v>114270</v>
      </c>
      <c r="C6628" t="str">
        <f t="shared" si="420"/>
        <v>75600</v>
      </c>
      <c r="D6628" t="s">
        <v>714</v>
      </c>
      <c r="E6628">
        <v>52.72</v>
      </c>
      <c r="F6628">
        <v>20140206</v>
      </c>
      <c r="G6628" t="s">
        <v>498</v>
      </c>
      <c r="H6628" t="s">
        <v>499</v>
      </c>
      <c r="I6628" t="s">
        <v>21</v>
      </c>
    </row>
    <row r="6629" spans="1:9" x14ac:dyDescent="0.25">
      <c r="A6629">
        <v>20140213</v>
      </c>
      <c r="B6629" t="str">
        <f t="shared" si="419"/>
        <v>114270</v>
      </c>
      <c r="C6629" t="str">
        <f t="shared" si="420"/>
        <v>75600</v>
      </c>
      <c r="D6629" t="s">
        <v>714</v>
      </c>
      <c r="E6629">
        <v>229.24</v>
      </c>
      <c r="F6629">
        <v>20140206</v>
      </c>
      <c r="G6629" t="s">
        <v>498</v>
      </c>
      <c r="H6629" t="s">
        <v>499</v>
      </c>
      <c r="I6629" t="s">
        <v>21</v>
      </c>
    </row>
    <row r="6630" spans="1:9" x14ac:dyDescent="0.25">
      <c r="A6630">
        <v>20140213</v>
      </c>
      <c r="B6630" t="str">
        <f t="shared" si="419"/>
        <v>114270</v>
      </c>
      <c r="C6630" t="str">
        <f t="shared" si="420"/>
        <v>75600</v>
      </c>
      <c r="D6630" t="s">
        <v>714</v>
      </c>
      <c r="E6630">
        <v>111.51</v>
      </c>
      <c r="F6630">
        <v>20140206</v>
      </c>
      <c r="G6630" t="s">
        <v>498</v>
      </c>
      <c r="H6630" t="s">
        <v>499</v>
      </c>
      <c r="I6630" t="s">
        <v>21</v>
      </c>
    </row>
    <row r="6631" spans="1:9" x14ac:dyDescent="0.25">
      <c r="A6631">
        <v>20140213</v>
      </c>
      <c r="B6631" t="str">
        <f t="shared" si="419"/>
        <v>114270</v>
      </c>
      <c r="C6631" t="str">
        <f t="shared" si="420"/>
        <v>75600</v>
      </c>
      <c r="D6631" t="s">
        <v>714</v>
      </c>
      <c r="E6631">
        <v>142.26</v>
      </c>
      <c r="F6631">
        <v>20140206</v>
      </c>
      <c r="G6631" t="s">
        <v>496</v>
      </c>
      <c r="H6631" t="s">
        <v>414</v>
      </c>
      <c r="I6631" t="s">
        <v>21</v>
      </c>
    </row>
    <row r="6632" spans="1:9" x14ac:dyDescent="0.25">
      <c r="A6632">
        <v>20140213</v>
      </c>
      <c r="B6632" t="str">
        <f>"114271"</f>
        <v>114271</v>
      </c>
      <c r="C6632" t="str">
        <f>"75581"</f>
        <v>75581</v>
      </c>
      <c r="D6632" t="s">
        <v>391</v>
      </c>
      <c r="E6632" s="1">
        <v>1020.6</v>
      </c>
      <c r="F6632">
        <v>20140211</v>
      </c>
      <c r="G6632" t="s">
        <v>392</v>
      </c>
      <c r="H6632" t="s">
        <v>393</v>
      </c>
      <c r="I6632" t="s">
        <v>21</v>
      </c>
    </row>
    <row r="6633" spans="1:9" x14ac:dyDescent="0.25">
      <c r="A6633">
        <v>20140213</v>
      </c>
      <c r="B6633" t="str">
        <f t="shared" ref="B6633:B6646" si="421">"114272"</f>
        <v>114272</v>
      </c>
      <c r="C6633" t="str">
        <f t="shared" ref="C6633:C6646" si="422">"69310"</f>
        <v>69310</v>
      </c>
      <c r="D6633" t="s">
        <v>716</v>
      </c>
      <c r="E6633" s="1">
        <v>3100.87</v>
      </c>
      <c r="F6633">
        <v>20140210</v>
      </c>
      <c r="G6633" t="s">
        <v>717</v>
      </c>
      <c r="H6633" t="s">
        <v>488</v>
      </c>
      <c r="I6633" t="s">
        <v>21</v>
      </c>
    </row>
    <row r="6634" spans="1:9" x14ac:dyDescent="0.25">
      <c r="A6634">
        <v>20140213</v>
      </c>
      <c r="B6634" t="str">
        <f t="shared" si="421"/>
        <v>114272</v>
      </c>
      <c r="C6634" t="str">
        <f t="shared" si="422"/>
        <v>69310</v>
      </c>
      <c r="D6634" t="s">
        <v>716</v>
      </c>
      <c r="E6634" s="1">
        <v>31353.279999999999</v>
      </c>
      <c r="F6634">
        <v>20140210</v>
      </c>
      <c r="G6634" t="s">
        <v>718</v>
      </c>
      <c r="H6634" t="s">
        <v>488</v>
      </c>
      <c r="I6634" t="s">
        <v>21</v>
      </c>
    </row>
    <row r="6635" spans="1:9" x14ac:dyDescent="0.25">
      <c r="A6635">
        <v>20140213</v>
      </c>
      <c r="B6635" t="str">
        <f t="shared" si="421"/>
        <v>114272</v>
      </c>
      <c r="C6635" t="str">
        <f t="shared" si="422"/>
        <v>69310</v>
      </c>
      <c r="D6635" t="s">
        <v>716</v>
      </c>
      <c r="E6635" s="1">
        <v>2939.7</v>
      </c>
      <c r="F6635">
        <v>20140210</v>
      </c>
      <c r="G6635" t="s">
        <v>719</v>
      </c>
      <c r="H6635" t="s">
        <v>488</v>
      </c>
      <c r="I6635" t="s">
        <v>21</v>
      </c>
    </row>
    <row r="6636" spans="1:9" x14ac:dyDescent="0.25">
      <c r="A6636">
        <v>20140213</v>
      </c>
      <c r="B6636" t="str">
        <f t="shared" si="421"/>
        <v>114272</v>
      </c>
      <c r="C6636" t="str">
        <f t="shared" si="422"/>
        <v>69310</v>
      </c>
      <c r="D6636" t="s">
        <v>716</v>
      </c>
      <c r="E6636" s="1">
        <v>1190.3699999999999</v>
      </c>
      <c r="F6636">
        <v>20140210</v>
      </c>
      <c r="G6636" t="s">
        <v>720</v>
      </c>
      <c r="H6636" t="s">
        <v>488</v>
      </c>
      <c r="I6636" t="s">
        <v>21</v>
      </c>
    </row>
    <row r="6637" spans="1:9" x14ac:dyDescent="0.25">
      <c r="A6637">
        <v>20140213</v>
      </c>
      <c r="B6637" t="str">
        <f t="shared" si="421"/>
        <v>114272</v>
      </c>
      <c r="C6637" t="str">
        <f t="shared" si="422"/>
        <v>69310</v>
      </c>
      <c r="D6637" t="s">
        <v>716</v>
      </c>
      <c r="E6637" s="1">
        <v>2272.4299999999998</v>
      </c>
      <c r="F6637">
        <v>20140210</v>
      </c>
      <c r="G6637" t="s">
        <v>721</v>
      </c>
      <c r="H6637" t="s">
        <v>488</v>
      </c>
      <c r="I6637" t="s">
        <v>21</v>
      </c>
    </row>
    <row r="6638" spans="1:9" x14ac:dyDescent="0.25">
      <c r="A6638">
        <v>20140213</v>
      </c>
      <c r="B6638" t="str">
        <f t="shared" si="421"/>
        <v>114272</v>
      </c>
      <c r="C6638" t="str">
        <f t="shared" si="422"/>
        <v>69310</v>
      </c>
      <c r="D6638" t="s">
        <v>716</v>
      </c>
      <c r="E6638" s="1">
        <v>7335.28</v>
      </c>
      <c r="F6638">
        <v>20140210</v>
      </c>
      <c r="G6638" t="s">
        <v>722</v>
      </c>
      <c r="H6638" t="s">
        <v>488</v>
      </c>
      <c r="I6638" t="s">
        <v>21</v>
      </c>
    </row>
    <row r="6639" spans="1:9" x14ac:dyDescent="0.25">
      <c r="A6639">
        <v>20140213</v>
      </c>
      <c r="B6639" t="str">
        <f t="shared" si="421"/>
        <v>114272</v>
      </c>
      <c r="C6639" t="str">
        <f t="shared" si="422"/>
        <v>69310</v>
      </c>
      <c r="D6639" t="s">
        <v>716</v>
      </c>
      <c r="E6639" s="1">
        <v>2280.71</v>
      </c>
      <c r="F6639">
        <v>20140210</v>
      </c>
      <c r="G6639" t="s">
        <v>723</v>
      </c>
      <c r="H6639" t="s">
        <v>488</v>
      </c>
      <c r="I6639" t="s">
        <v>21</v>
      </c>
    </row>
    <row r="6640" spans="1:9" x14ac:dyDescent="0.25">
      <c r="A6640">
        <v>20140213</v>
      </c>
      <c r="B6640" t="str">
        <f t="shared" si="421"/>
        <v>114272</v>
      </c>
      <c r="C6640" t="str">
        <f t="shared" si="422"/>
        <v>69310</v>
      </c>
      <c r="D6640" t="s">
        <v>716</v>
      </c>
      <c r="E6640" s="1">
        <v>4451.18</v>
      </c>
      <c r="F6640">
        <v>20140210</v>
      </c>
      <c r="G6640" t="s">
        <v>724</v>
      </c>
      <c r="H6640" t="s">
        <v>488</v>
      </c>
      <c r="I6640" t="s">
        <v>21</v>
      </c>
    </row>
    <row r="6641" spans="1:9" x14ac:dyDescent="0.25">
      <c r="A6641">
        <v>20140213</v>
      </c>
      <c r="B6641" t="str">
        <f t="shared" si="421"/>
        <v>114272</v>
      </c>
      <c r="C6641" t="str">
        <f t="shared" si="422"/>
        <v>69310</v>
      </c>
      <c r="D6641" t="s">
        <v>716</v>
      </c>
      <c r="E6641" s="1">
        <v>7797.74</v>
      </c>
      <c r="F6641">
        <v>20140210</v>
      </c>
      <c r="G6641" t="s">
        <v>725</v>
      </c>
      <c r="H6641" t="s">
        <v>488</v>
      </c>
      <c r="I6641" t="s">
        <v>21</v>
      </c>
    </row>
    <row r="6642" spans="1:9" x14ac:dyDescent="0.25">
      <c r="A6642">
        <v>20140213</v>
      </c>
      <c r="B6642" t="str">
        <f t="shared" si="421"/>
        <v>114272</v>
      </c>
      <c r="C6642" t="str">
        <f t="shared" si="422"/>
        <v>69310</v>
      </c>
      <c r="D6642" t="s">
        <v>716</v>
      </c>
      <c r="E6642">
        <v>786.67</v>
      </c>
      <c r="F6642">
        <v>20140210</v>
      </c>
      <c r="G6642" t="s">
        <v>726</v>
      </c>
      <c r="H6642" t="s">
        <v>488</v>
      </c>
      <c r="I6642" t="s">
        <v>21</v>
      </c>
    </row>
    <row r="6643" spans="1:9" x14ac:dyDescent="0.25">
      <c r="A6643">
        <v>20140213</v>
      </c>
      <c r="B6643" t="str">
        <f t="shared" si="421"/>
        <v>114272</v>
      </c>
      <c r="C6643" t="str">
        <f t="shared" si="422"/>
        <v>69310</v>
      </c>
      <c r="D6643" t="s">
        <v>716</v>
      </c>
      <c r="E6643">
        <v>745.45</v>
      </c>
      <c r="F6643">
        <v>20140210</v>
      </c>
      <c r="G6643" t="s">
        <v>727</v>
      </c>
      <c r="H6643" t="s">
        <v>488</v>
      </c>
      <c r="I6643" t="s">
        <v>21</v>
      </c>
    </row>
    <row r="6644" spans="1:9" x14ac:dyDescent="0.25">
      <c r="A6644">
        <v>20140213</v>
      </c>
      <c r="B6644" t="str">
        <f t="shared" si="421"/>
        <v>114272</v>
      </c>
      <c r="C6644" t="str">
        <f t="shared" si="422"/>
        <v>69310</v>
      </c>
      <c r="D6644" t="s">
        <v>716</v>
      </c>
      <c r="E6644" s="1">
        <v>2761.8</v>
      </c>
      <c r="F6644">
        <v>20140210</v>
      </c>
      <c r="G6644" t="s">
        <v>728</v>
      </c>
      <c r="H6644" t="s">
        <v>488</v>
      </c>
      <c r="I6644" t="s">
        <v>21</v>
      </c>
    </row>
    <row r="6645" spans="1:9" x14ac:dyDescent="0.25">
      <c r="A6645">
        <v>20140213</v>
      </c>
      <c r="B6645" t="str">
        <f t="shared" si="421"/>
        <v>114272</v>
      </c>
      <c r="C6645" t="str">
        <f t="shared" si="422"/>
        <v>69310</v>
      </c>
      <c r="D6645" t="s">
        <v>716</v>
      </c>
      <c r="E6645">
        <v>396.75</v>
      </c>
      <c r="F6645">
        <v>20140210</v>
      </c>
      <c r="G6645" t="s">
        <v>729</v>
      </c>
      <c r="H6645" t="s">
        <v>488</v>
      </c>
      <c r="I6645" t="s">
        <v>21</v>
      </c>
    </row>
    <row r="6646" spans="1:9" x14ac:dyDescent="0.25">
      <c r="A6646">
        <v>20140213</v>
      </c>
      <c r="B6646" t="str">
        <f t="shared" si="421"/>
        <v>114272</v>
      </c>
      <c r="C6646" t="str">
        <f t="shared" si="422"/>
        <v>69310</v>
      </c>
      <c r="D6646" t="s">
        <v>716</v>
      </c>
      <c r="E6646">
        <v>417.65</v>
      </c>
      <c r="F6646">
        <v>20140210</v>
      </c>
      <c r="G6646" t="s">
        <v>467</v>
      </c>
      <c r="H6646" t="s">
        <v>488</v>
      </c>
      <c r="I6646" t="s">
        <v>21</v>
      </c>
    </row>
    <row r="6647" spans="1:9" x14ac:dyDescent="0.25">
      <c r="A6647">
        <v>20140213</v>
      </c>
      <c r="B6647" t="str">
        <f>"114273"</f>
        <v>114273</v>
      </c>
      <c r="C6647" t="str">
        <f>"00372"</f>
        <v>00372</v>
      </c>
      <c r="D6647" t="s">
        <v>979</v>
      </c>
      <c r="E6647">
        <v>344</v>
      </c>
      <c r="F6647">
        <v>20140211</v>
      </c>
      <c r="G6647" t="s">
        <v>965</v>
      </c>
      <c r="H6647" t="s">
        <v>1109</v>
      </c>
      <c r="I6647" t="s">
        <v>21</v>
      </c>
    </row>
    <row r="6648" spans="1:9" x14ac:dyDescent="0.25">
      <c r="A6648">
        <v>20140213</v>
      </c>
      <c r="B6648" t="str">
        <f>"114274"</f>
        <v>114274</v>
      </c>
      <c r="C6648" t="str">
        <f>"87189"</f>
        <v>87189</v>
      </c>
      <c r="D6648" t="s">
        <v>730</v>
      </c>
      <c r="E6648">
        <v>644.80999999999995</v>
      </c>
      <c r="F6648">
        <v>20140207</v>
      </c>
      <c r="G6648" t="s">
        <v>473</v>
      </c>
      <c r="H6648" t="s">
        <v>414</v>
      </c>
      <c r="I6648" t="s">
        <v>21</v>
      </c>
    </row>
    <row r="6649" spans="1:9" x14ac:dyDescent="0.25">
      <c r="A6649">
        <v>20140213</v>
      </c>
      <c r="B6649" t="str">
        <f>"114274"</f>
        <v>114274</v>
      </c>
      <c r="C6649" t="str">
        <f>"87189"</f>
        <v>87189</v>
      </c>
      <c r="D6649" t="s">
        <v>730</v>
      </c>
      <c r="E6649">
        <v>170.08</v>
      </c>
      <c r="F6649">
        <v>20140206</v>
      </c>
      <c r="G6649" t="s">
        <v>477</v>
      </c>
      <c r="H6649" t="s">
        <v>414</v>
      </c>
      <c r="I6649" t="s">
        <v>21</v>
      </c>
    </row>
    <row r="6650" spans="1:9" x14ac:dyDescent="0.25">
      <c r="A6650">
        <v>20140213</v>
      </c>
      <c r="B6650" t="str">
        <f>"114274"</f>
        <v>114274</v>
      </c>
      <c r="C6650" t="str">
        <f>"87189"</f>
        <v>87189</v>
      </c>
      <c r="D6650" t="s">
        <v>730</v>
      </c>
      <c r="E6650">
        <v>294.81</v>
      </c>
      <c r="F6650">
        <v>20140210</v>
      </c>
      <c r="G6650" t="s">
        <v>628</v>
      </c>
      <c r="H6650" t="s">
        <v>414</v>
      </c>
      <c r="I6650" t="s">
        <v>21</v>
      </c>
    </row>
    <row r="6651" spans="1:9" x14ac:dyDescent="0.25">
      <c r="A6651">
        <v>20140213</v>
      </c>
      <c r="B6651" t="str">
        <f>"114274"</f>
        <v>114274</v>
      </c>
      <c r="C6651" t="str">
        <f>"87189"</f>
        <v>87189</v>
      </c>
      <c r="D6651" t="s">
        <v>730</v>
      </c>
      <c r="E6651" s="1">
        <v>1152.81</v>
      </c>
      <c r="F6651">
        <v>20140206</v>
      </c>
      <c r="G6651" t="s">
        <v>734</v>
      </c>
      <c r="H6651" t="s">
        <v>414</v>
      </c>
      <c r="I6651" t="s">
        <v>21</v>
      </c>
    </row>
    <row r="6652" spans="1:9" x14ac:dyDescent="0.25">
      <c r="A6652">
        <v>20140213</v>
      </c>
      <c r="B6652" t="str">
        <f>"114275"</f>
        <v>114275</v>
      </c>
      <c r="C6652" t="str">
        <f>"81358"</f>
        <v>81358</v>
      </c>
      <c r="D6652" t="s">
        <v>736</v>
      </c>
      <c r="E6652" s="1">
        <v>2397.59</v>
      </c>
      <c r="F6652">
        <v>20140210</v>
      </c>
      <c r="G6652" t="s">
        <v>1543</v>
      </c>
      <c r="H6652" t="s">
        <v>738</v>
      </c>
      <c r="I6652" t="s">
        <v>21</v>
      </c>
    </row>
    <row r="6653" spans="1:9" x14ac:dyDescent="0.25">
      <c r="A6653">
        <v>20140213</v>
      </c>
      <c r="B6653" t="str">
        <f>"114275"</f>
        <v>114275</v>
      </c>
      <c r="C6653" t="str">
        <f>"81358"</f>
        <v>81358</v>
      </c>
      <c r="D6653" t="s">
        <v>736</v>
      </c>
      <c r="E6653" s="1">
        <v>4183.2299999999996</v>
      </c>
      <c r="F6653">
        <v>20140210</v>
      </c>
      <c r="G6653" t="s">
        <v>737</v>
      </c>
      <c r="H6653" t="s">
        <v>738</v>
      </c>
      <c r="I6653" t="s">
        <v>21</v>
      </c>
    </row>
    <row r="6654" spans="1:9" x14ac:dyDescent="0.25">
      <c r="A6654">
        <v>20140213</v>
      </c>
      <c r="B6654" t="str">
        <f>"114276"</f>
        <v>114276</v>
      </c>
      <c r="C6654" t="str">
        <f>"81358"</f>
        <v>81358</v>
      </c>
      <c r="D6654" t="s">
        <v>736</v>
      </c>
      <c r="E6654">
        <v>316.56</v>
      </c>
      <c r="F6654">
        <v>20140206</v>
      </c>
      <c r="G6654" t="s">
        <v>737</v>
      </c>
      <c r="H6654" t="s">
        <v>738</v>
      </c>
      <c r="I6654" t="s">
        <v>21</v>
      </c>
    </row>
    <row r="6655" spans="1:9" x14ac:dyDescent="0.25">
      <c r="A6655">
        <v>20140213</v>
      </c>
      <c r="B6655" t="str">
        <f>"114277"</f>
        <v>114277</v>
      </c>
      <c r="C6655" t="str">
        <f>"76775"</f>
        <v>76775</v>
      </c>
      <c r="D6655" t="s">
        <v>2308</v>
      </c>
      <c r="E6655">
        <v>525.5</v>
      </c>
      <c r="F6655">
        <v>20140206</v>
      </c>
      <c r="G6655" t="s">
        <v>511</v>
      </c>
      <c r="H6655" t="s">
        <v>525</v>
      </c>
      <c r="I6655" t="s">
        <v>21</v>
      </c>
    </row>
    <row r="6656" spans="1:9" x14ac:dyDescent="0.25">
      <c r="A6656">
        <v>20140213</v>
      </c>
      <c r="B6656" t="str">
        <f>"114277"</f>
        <v>114277</v>
      </c>
      <c r="C6656" t="str">
        <f>"76775"</f>
        <v>76775</v>
      </c>
      <c r="D6656" t="s">
        <v>2308</v>
      </c>
      <c r="E6656">
        <v>475</v>
      </c>
      <c r="F6656">
        <v>20140206</v>
      </c>
      <c r="G6656" t="s">
        <v>624</v>
      </c>
      <c r="H6656" t="s">
        <v>525</v>
      </c>
      <c r="I6656" t="s">
        <v>21</v>
      </c>
    </row>
    <row r="6657" spans="1:9" x14ac:dyDescent="0.25">
      <c r="A6657">
        <v>20140213</v>
      </c>
      <c r="B6657" t="str">
        <f>"114277"</f>
        <v>114277</v>
      </c>
      <c r="C6657" t="str">
        <f>"76775"</f>
        <v>76775</v>
      </c>
      <c r="D6657" t="s">
        <v>2308</v>
      </c>
      <c r="E6657" s="1">
        <v>1062.48</v>
      </c>
      <c r="F6657">
        <v>20140206</v>
      </c>
      <c r="G6657" t="s">
        <v>450</v>
      </c>
      <c r="H6657" t="s">
        <v>525</v>
      </c>
      <c r="I6657" t="s">
        <v>21</v>
      </c>
    </row>
    <row r="6658" spans="1:9" x14ac:dyDescent="0.25">
      <c r="A6658">
        <v>20140213</v>
      </c>
      <c r="B6658" t="str">
        <f>"114278"</f>
        <v>114278</v>
      </c>
      <c r="C6658" t="str">
        <f>"85673"</f>
        <v>85673</v>
      </c>
      <c r="D6658" t="s">
        <v>3343</v>
      </c>
      <c r="E6658">
        <v>450</v>
      </c>
      <c r="F6658">
        <v>20140210</v>
      </c>
      <c r="G6658" t="s">
        <v>3250</v>
      </c>
      <c r="H6658" t="s">
        <v>3344</v>
      </c>
      <c r="I6658" t="s">
        <v>21</v>
      </c>
    </row>
    <row r="6659" spans="1:9" x14ac:dyDescent="0.25">
      <c r="A6659">
        <v>20140213</v>
      </c>
      <c r="B6659" t="str">
        <f>"114279"</f>
        <v>114279</v>
      </c>
      <c r="C6659" t="str">
        <f>"86041"</f>
        <v>86041</v>
      </c>
      <c r="D6659" t="s">
        <v>3345</v>
      </c>
      <c r="E6659">
        <v>240</v>
      </c>
      <c r="F6659">
        <v>20140210</v>
      </c>
      <c r="G6659" t="s">
        <v>347</v>
      </c>
      <c r="H6659" t="s">
        <v>3346</v>
      </c>
      <c r="I6659" t="s">
        <v>61</v>
      </c>
    </row>
    <row r="6660" spans="1:9" x14ac:dyDescent="0.25">
      <c r="A6660">
        <v>20140213</v>
      </c>
      <c r="B6660" t="str">
        <f>"114280"</f>
        <v>114280</v>
      </c>
      <c r="C6660" t="str">
        <f>"87734"</f>
        <v>87734</v>
      </c>
      <c r="D6660" t="s">
        <v>3347</v>
      </c>
      <c r="E6660" s="1">
        <v>1500</v>
      </c>
      <c r="F6660">
        <v>20140210</v>
      </c>
      <c r="G6660" t="s">
        <v>1478</v>
      </c>
      <c r="H6660" t="s">
        <v>3298</v>
      </c>
      <c r="I6660" t="s">
        <v>21</v>
      </c>
    </row>
    <row r="6661" spans="1:9" x14ac:dyDescent="0.25">
      <c r="A6661">
        <v>20140213</v>
      </c>
      <c r="B6661" t="str">
        <f>"114281"</f>
        <v>114281</v>
      </c>
      <c r="C6661" t="str">
        <f>"81681"</f>
        <v>81681</v>
      </c>
      <c r="D6661" t="s">
        <v>3348</v>
      </c>
      <c r="E6661">
        <v>450</v>
      </c>
      <c r="F6661">
        <v>20140206</v>
      </c>
      <c r="G6661" t="s">
        <v>340</v>
      </c>
      <c r="H6661" t="s">
        <v>3349</v>
      </c>
      <c r="I6661" t="s">
        <v>21</v>
      </c>
    </row>
    <row r="6662" spans="1:9" x14ac:dyDescent="0.25">
      <c r="A6662">
        <v>20140213</v>
      </c>
      <c r="B6662" t="str">
        <f>"114281"</f>
        <v>114281</v>
      </c>
      <c r="C6662" t="str">
        <f>"81681"</f>
        <v>81681</v>
      </c>
      <c r="D6662" t="s">
        <v>3348</v>
      </c>
      <c r="E6662">
        <v>200</v>
      </c>
      <c r="F6662">
        <v>20140207</v>
      </c>
      <c r="G6662" t="s">
        <v>1426</v>
      </c>
      <c r="H6662" t="s">
        <v>3350</v>
      </c>
      <c r="I6662" t="s">
        <v>38</v>
      </c>
    </row>
    <row r="6663" spans="1:9" x14ac:dyDescent="0.25">
      <c r="A6663">
        <v>20140213</v>
      </c>
      <c r="B6663" t="str">
        <f>"114282"</f>
        <v>114282</v>
      </c>
      <c r="C6663" t="str">
        <f>"87177"</f>
        <v>87177</v>
      </c>
      <c r="D6663" t="s">
        <v>1326</v>
      </c>
      <c r="E6663">
        <v>241.68</v>
      </c>
      <c r="F6663">
        <v>20140212</v>
      </c>
      <c r="G6663" t="s">
        <v>1724</v>
      </c>
      <c r="H6663" t="s">
        <v>365</v>
      </c>
      <c r="I6663" t="s">
        <v>66</v>
      </c>
    </row>
    <row r="6664" spans="1:9" x14ac:dyDescent="0.25">
      <c r="A6664">
        <v>20140213</v>
      </c>
      <c r="B6664" t="str">
        <f>"114283"</f>
        <v>114283</v>
      </c>
      <c r="C6664" t="str">
        <f>"00067"</f>
        <v>00067</v>
      </c>
      <c r="D6664" t="s">
        <v>1327</v>
      </c>
      <c r="E6664">
        <v>184.96</v>
      </c>
      <c r="F6664">
        <v>20140211</v>
      </c>
      <c r="G6664" t="s">
        <v>356</v>
      </c>
      <c r="H6664" t="s">
        <v>357</v>
      </c>
      <c r="I6664" t="s">
        <v>61</v>
      </c>
    </row>
    <row r="6665" spans="1:9" x14ac:dyDescent="0.25">
      <c r="A6665">
        <v>20140213</v>
      </c>
      <c r="B6665" t="str">
        <f>"114284"</f>
        <v>114284</v>
      </c>
      <c r="C6665" t="str">
        <f>"00072"</f>
        <v>00072</v>
      </c>
      <c r="D6665" t="s">
        <v>1327</v>
      </c>
      <c r="E6665">
        <v>222.84</v>
      </c>
      <c r="F6665">
        <v>20140211</v>
      </c>
      <c r="G6665" t="s">
        <v>356</v>
      </c>
      <c r="H6665" t="s">
        <v>357</v>
      </c>
      <c r="I6665" t="s">
        <v>61</v>
      </c>
    </row>
    <row r="6666" spans="1:9" x14ac:dyDescent="0.25">
      <c r="A6666">
        <v>20140213</v>
      </c>
      <c r="B6666" t="str">
        <f>"114285"</f>
        <v>114285</v>
      </c>
      <c r="C6666" t="str">
        <f>"79400"</f>
        <v>79400</v>
      </c>
      <c r="D6666" t="s">
        <v>1328</v>
      </c>
      <c r="E6666" s="1">
        <v>23623.759999999998</v>
      </c>
      <c r="F6666">
        <v>20140206</v>
      </c>
      <c r="G6666" t="s">
        <v>1329</v>
      </c>
      <c r="H6666" t="s">
        <v>1330</v>
      </c>
      <c r="I6666" t="s">
        <v>21</v>
      </c>
    </row>
    <row r="6667" spans="1:9" x14ac:dyDescent="0.25">
      <c r="A6667">
        <v>20140213</v>
      </c>
      <c r="B6667" t="str">
        <f>"114285"</f>
        <v>114285</v>
      </c>
      <c r="C6667" t="str">
        <f>"79400"</f>
        <v>79400</v>
      </c>
      <c r="D6667" t="s">
        <v>1328</v>
      </c>
      <c r="E6667">
        <v>120</v>
      </c>
      <c r="F6667">
        <v>20140206</v>
      </c>
      <c r="G6667" t="s">
        <v>496</v>
      </c>
      <c r="H6667" t="s">
        <v>414</v>
      </c>
      <c r="I6667" t="s">
        <v>21</v>
      </c>
    </row>
    <row r="6668" spans="1:9" x14ac:dyDescent="0.25">
      <c r="A6668">
        <v>20140213</v>
      </c>
      <c r="B6668" t="str">
        <f>"114286"</f>
        <v>114286</v>
      </c>
      <c r="C6668" t="str">
        <f>"19200"</f>
        <v>19200</v>
      </c>
      <c r="D6668" t="s">
        <v>436</v>
      </c>
      <c r="E6668">
        <v>45.9</v>
      </c>
      <c r="F6668">
        <v>20140206</v>
      </c>
      <c r="G6668" t="s">
        <v>410</v>
      </c>
      <c r="H6668" t="s">
        <v>411</v>
      </c>
      <c r="I6668" t="s">
        <v>12</v>
      </c>
    </row>
    <row r="6669" spans="1:9" x14ac:dyDescent="0.25">
      <c r="A6669">
        <v>20140213</v>
      </c>
      <c r="B6669" t="str">
        <f>"114287"</f>
        <v>114287</v>
      </c>
      <c r="C6669" t="str">
        <f>"87141"</f>
        <v>87141</v>
      </c>
      <c r="D6669" t="s">
        <v>1332</v>
      </c>
      <c r="E6669" s="1">
        <v>4741.6099999999997</v>
      </c>
      <c r="F6669">
        <v>20140211</v>
      </c>
      <c r="G6669" t="s">
        <v>119</v>
      </c>
      <c r="H6669" t="s">
        <v>2903</v>
      </c>
      <c r="I6669" t="s">
        <v>38</v>
      </c>
    </row>
    <row r="6670" spans="1:9" x14ac:dyDescent="0.25">
      <c r="A6670">
        <v>20140213</v>
      </c>
      <c r="B6670" t="str">
        <f>"114288"</f>
        <v>114288</v>
      </c>
      <c r="C6670" t="str">
        <f>"87141"</f>
        <v>87141</v>
      </c>
      <c r="D6670" t="s">
        <v>1332</v>
      </c>
      <c r="E6670" s="1">
        <v>2148.75</v>
      </c>
      <c r="F6670">
        <v>20140212</v>
      </c>
      <c r="G6670" t="s">
        <v>1954</v>
      </c>
      <c r="H6670" t="s">
        <v>3351</v>
      </c>
      <c r="I6670" t="s">
        <v>38</v>
      </c>
    </row>
    <row r="6671" spans="1:9" x14ac:dyDescent="0.25">
      <c r="A6671">
        <v>20140213</v>
      </c>
      <c r="B6671" t="str">
        <f>"114289"</f>
        <v>114289</v>
      </c>
      <c r="C6671" t="str">
        <f>"87152"</f>
        <v>87152</v>
      </c>
      <c r="D6671" t="s">
        <v>2316</v>
      </c>
      <c r="E6671" s="1">
        <v>1316</v>
      </c>
      <c r="F6671">
        <v>20140210</v>
      </c>
      <c r="G6671" t="s">
        <v>1193</v>
      </c>
      <c r="H6671" t="s">
        <v>3352</v>
      </c>
      <c r="I6671" t="s">
        <v>25</v>
      </c>
    </row>
    <row r="6672" spans="1:9" x14ac:dyDescent="0.25">
      <c r="A6672">
        <v>20140213</v>
      </c>
      <c r="B6672" t="str">
        <f t="shared" ref="B6672:B6682" si="423">"114290"</f>
        <v>114290</v>
      </c>
      <c r="C6672" t="str">
        <f t="shared" ref="C6672:C6682" si="424">"80825"</f>
        <v>80825</v>
      </c>
      <c r="D6672" t="s">
        <v>747</v>
      </c>
      <c r="E6672">
        <v>582.95000000000005</v>
      </c>
      <c r="F6672">
        <v>20140206</v>
      </c>
      <c r="G6672" t="s">
        <v>753</v>
      </c>
      <c r="H6672" t="s">
        <v>749</v>
      </c>
      <c r="I6672" t="s">
        <v>21</v>
      </c>
    </row>
    <row r="6673" spans="1:9" x14ac:dyDescent="0.25">
      <c r="A6673">
        <v>20140213</v>
      </c>
      <c r="B6673" t="str">
        <f t="shared" si="423"/>
        <v>114290</v>
      </c>
      <c r="C6673" t="str">
        <f t="shared" si="424"/>
        <v>80825</v>
      </c>
      <c r="D6673" t="s">
        <v>747</v>
      </c>
      <c r="E6673">
        <v>582.95000000000005</v>
      </c>
      <c r="F6673">
        <v>20140206</v>
      </c>
      <c r="G6673" t="s">
        <v>753</v>
      </c>
      <c r="H6673" t="s">
        <v>749</v>
      </c>
      <c r="I6673" t="s">
        <v>21</v>
      </c>
    </row>
    <row r="6674" spans="1:9" x14ac:dyDescent="0.25">
      <c r="A6674">
        <v>20140213</v>
      </c>
      <c r="B6674" t="str">
        <f t="shared" si="423"/>
        <v>114290</v>
      </c>
      <c r="C6674" t="str">
        <f t="shared" si="424"/>
        <v>80825</v>
      </c>
      <c r="D6674" t="s">
        <v>747</v>
      </c>
      <c r="E6674">
        <v>582.95000000000005</v>
      </c>
      <c r="F6674">
        <v>20140206</v>
      </c>
      <c r="G6674" t="s">
        <v>756</v>
      </c>
      <c r="H6674" t="s">
        <v>749</v>
      </c>
      <c r="I6674" t="s">
        <v>21</v>
      </c>
    </row>
    <row r="6675" spans="1:9" x14ac:dyDescent="0.25">
      <c r="A6675">
        <v>20140213</v>
      </c>
      <c r="B6675" t="str">
        <f t="shared" si="423"/>
        <v>114290</v>
      </c>
      <c r="C6675" t="str">
        <f t="shared" si="424"/>
        <v>80825</v>
      </c>
      <c r="D6675" t="s">
        <v>747</v>
      </c>
      <c r="E6675">
        <v>65.5</v>
      </c>
      <c r="F6675">
        <v>20140206</v>
      </c>
      <c r="G6675" t="s">
        <v>757</v>
      </c>
      <c r="H6675" t="s">
        <v>749</v>
      </c>
      <c r="I6675" t="s">
        <v>21</v>
      </c>
    </row>
    <row r="6676" spans="1:9" x14ac:dyDescent="0.25">
      <c r="A6676">
        <v>20140213</v>
      </c>
      <c r="B6676" t="str">
        <f t="shared" si="423"/>
        <v>114290</v>
      </c>
      <c r="C6676" t="str">
        <f t="shared" si="424"/>
        <v>80825</v>
      </c>
      <c r="D6676" t="s">
        <v>747</v>
      </c>
      <c r="E6676">
        <v>133.9</v>
      </c>
      <c r="F6676">
        <v>20140206</v>
      </c>
      <c r="G6676" t="s">
        <v>757</v>
      </c>
      <c r="H6676" t="s">
        <v>749</v>
      </c>
      <c r="I6676" t="s">
        <v>21</v>
      </c>
    </row>
    <row r="6677" spans="1:9" x14ac:dyDescent="0.25">
      <c r="A6677">
        <v>20140213</v>
      </c>
      <c r="B6677" t="str">
        <f t="shared" si="423"/>
        <v>114290</v>
      </c>
      <c r="C6677" t="str">
        <f t="shared" si="424"/>
        <v>80825</v>
      </c>
      <c r="D6677" t="s">
        <v>747</v>
      </c>
      <c r="E6677">
        <v>82.75</v>
      </c>
      <c r="F6677">
        <v>20140206</v>
      </c>
      <c r="G6677" t="s">
        <v>758</v>
      </c>
      <c r="H6677" t="s">
        <v>749</v>
      </c>
      <c r="I6677" t="s">
        <v>21</v>
      </c>
    </row>
    <row r="6678" spans="1:9" x14ac:dyDescent="0.25">
      <c r="A6678">
        <v>20140213</v>
      </c>
      <c r="B6678" t="str">
        <f t="shared" si="423"/>
        <v>114290</v>
      </c>
      <c r="C6678" t="str">
        <f t="shared" si="424"/>
        <v>80825</v>
      </c>
      <c r="D6678" t="s">
        <v>747</v>
      </c>
      <c r="E6678">
        <v>65.48</v>
      </c>
      <c r="F6678">
        <v>20140206</v>
      </c>
      <c r="G6678" t="s">
        <v>544</v>
      </c>
      <c r="H6678" t="s">
        <v>749</v>
      </c>
      <c r="I6678" t="s">
        <v>21</v>
      </c>
    </row>
    <row r="6679" spans="1:9" x14ac:dyDescent="0.25">
      <c r="A6679">
        <v>20140213</v>
      </c>
      <c r="B6679" t="str">
        <f t="shared" si="423"/>
        <v>114290</v>
      </c>
      <c r="C6679" t="str">
        <f t="shared" si="424"/>
        <v>80825</v>
      </c>
      <c r="D6679" t="s">
        <v>747</v>
      </c>
      <c r="E6679">
        <v>133.9</v>
      </c>
      <c r="F6679">
        <v>20140206</v>
      </c>
      <c r="G6679" t="s">
        <v>544</v>
      </c>
      <c r="H6679" t="s">
        <v>749</v>
      </c>
      <c r="I6679" t="s">
        <v>21</v>
      </c>
    </row>
    <row r="6680" spans="1:9" x14ac:dyDescent="0.25">
      <c r="A6680">
        <v>20140213</v>
      </c>
      <c r="B6680" t="str">
        <f t="shared" si="423"/>
        <v>114290</v>
      </c>
      <c r="C6680" t="str">
        <f t="shared" si="424"/>
        <v>80825</v>
      </c>
      <c r="D6680" t="s">
        <v>747</v>
      </c>
      <c r="E6680">
        <v>65.48</v>
      </c>
      <c r="F6680">
        <v>20140206</v>
      </c>
      <c r="G6680" t="s">
        <v>545</v>
      </c>
      <c r="H6680" t="s">
        <v>749</v>
      </c>
      <c r="I6680" t="s">
        <v>21</v>
      </c>
    </row>
    <row r="6681" spans="1:9" x14ac:dyDescent="0.25">
      <c r="A6681">
        <v>20140213</v>
      </c>
      <c r="B6681" t="str">
        <f t="shared" si="423"/>
        <v>114290</v>
      </c>
      <c r="C6681" t="str">
        <f t="shared" si="424"/>
        <v>80825</v>
      </c>
      <c r="D6681" t="s">
        <v>747</v>
      </c>
      <c r="E6681">
        <v>133.91</v>
      </c>
      <c r="F6681">
        <v>20140206</v>
      </c>
      <c r="G6681" t="s">
        <v>545</v>
      </c>
      <c r="H6681" t="s">
        <v>749</v>
      </c>
      <c r="I6681" t="s">
        <v>21</v>
      </c>
    </row>
    <row r="6682" spans="1:9" x14ac:dyDescent="0.25">
      <c r="A6682">
        <v>20140213</v>
      </c>
      <c r="B6682" t="str">
        <f t="shared" si="423"/>
        <v>114290</v>
      </c>
      <c r="C6682" t="str">
        <f t="shared" si="424"/>
        <v>80825</v>
      </c>
      <c r="D6682" t="s">
        <v>747</v>
      </c>
      <c r="E6682">
        <v>196.46</v>
      </c>
      <c r="F6682">
        <v>20140206</v>
      </c>
      <c r="G6682" t="s">
        <v>759</v>
      </c>
      <c r="H6682" t="s">
        <v>749</v>
      </c>
      <c r="I6682" t="s">
        <v>12</v>
      </c>
    </row>
    <row r="6683" spans="1:9" x14ac:dyDescent="0.25">
      <c r="A6683">
        <v>20140213</v>
      </c>
      <c r="B6683" t="str">
        <f>"114291"</f>
        <v>114291</v>
      </c>
      <c r="C6683" t="str">
        <f>"80875"</f>
        <v>80875</v>
      </c>
      <c r="D6683" t="s">
        <v>3353</v>
      </c>
      <c r="E6683">
        <v>137.22</v>
      </c>
      <c r="F6683">
        <v>20140207</v>
      </c>
      <c r="G6683" t="s">
        <v>2918</v>
      </c>
      <c r="H6683" t="s">
        <v>3354</v>
      </c>
      <c r="I6683" t="s">
        <v>21</v>
      </c>
    </row>
    <row r="6684" spans="1:9" x14ac:dyDescent="0.25">
      <c r="A6684">
        <v>20140213</v>
      </c>
      <c r="B6684" t="str">
        <f>"114292"</f>
        <v>114292</v>
      </c>
      <c r="C6684" t="str">
        <f>"87363"</f>
        <v>87363</v>
      </c>
      <c r="D6684" t="s">
        <v>3355</v>
      </c>
      <c r="E6684">
        <v>158.80000000000001</v>
      </c>
      <c r="F6684">
        <v>20140213</v>
      </c>
      <c r="G6684" t="s">
        <v>189</v>
      </c>
      <c r="H6684" t="s">
        <v>408</v>
      </c>
      <c r="I6684" t="s">
        <v>25</v>
      </c>
    </row>
    <row r="6685" spans="1:9" x14ac:dyDescent="0.25">
      <c r="A6685">
        <v>20140214</v>
      </c>
      <c r="B6685" t="str">
        <f>"114293"</f>
        <v>114293</v>
      </c>
      <c r="C6685" t="str">
        <f>"82531"</f>
        <v>82531</v>
      </c>
      <c r="D6685" t="s">
        <v>3356</v>
      </c>
      <c r="E6685">
        <v>40</v>
      </c>
      <c r="F6685">
        <v>20140214</v>
      </c>
      <c r="G6685" t="s">
        <v>562</v>
      </c>
      <c r="H6685" t="s">
        <v>357</v>
      </c>
      <c r="I6685" t="s">
        <v>21</v>
      </c>
    </row>
    <row r="6686" spans="1:9" x14ac:dyDescent="0.25">
      <c r="A6686">
        <v>20140220</v>
      </c>
      <c r="B6686" t="str">
        <f>"114294"</f>
        <v>114294</v>
      </c>
      <c r="C6686" t="str">
        <f>"87744"</f>
        <v>87744</v>
      </c>
      <c r="D6686" t="s">
        <v>3357</v>
      </c>
      <c r="E6686">
        <v>170</v>
      </c>
      <c r="F6686">
        <v>20140214</v>
      </c>
      <c r="G6686" t="s">
        <v>1635</v>
      </c>
      <c r="H6686" t="s">
        <v>3358</v>
      </c>
      <c r="I6686" t="s">
        <v>21</v>
      </c>
    </row>
    <row r="6687" spans="1:9" x14ac:dyDescent="0.25">
      <c r="A6687">
        <v>20140220</v>
      </c>
      <c r="B6687" t="str">
        <f>"114295"</f>
        <v>114295</v>
      </c>
      <c r="C6687" t="str">
        <f>"01840"</f>
        <v>01840</v>
      </c>
      <c r="D6687" t="s">
        <v>3096</v>
      </c>
      <c r="E6687">
        <v>375</v>
      </c>
      <c r="F6687">
        <v>20140219</v>
      </c>
      <c r="G6687" t="s">
        <v>214</v>
      </c>
      <c r="H6687" t="s">
        <v>1151</v>
      </c>
      <c r="I6687" t="s">
        <v>38</v>
      </c>
    </row>
    <row r="6688" spans="1:9" x14ac:dyDescent="0.25">
      <c r="A6688">
        <v>20140220</v>
      </c>
      <c r="B6688" t="str">
        <f>"114296"</f>
        <v>114296</v>
      </c>
      <c r="C6688" t="str">
        <f>"84595"</f>
        <v>84595</v>
      </c>
      <c r="D6688" t="s">
        <v>3264</v>
      </c>
      <c r="E6688">
        <v>94.81</v>
      </c>
      <c r="F6688">
        <v>20140217</v>
      </c>
      <c r="G6688" t="s">
        <v>3099</v>
      </c>
      <c r="H6688" t="s">
        <v>765</v>
      </c>
      <c r="I6688" t="s">
        <v>61</v>
      </c>
    </row>
    <row r="6689" spans="1:9" x14ac:dyDescent="0.25">
      <c r="A6689">
        <v>20140220</v>
      </c>
      <c r="B6689" t="str">
        <f>"114297"</f>
        <v>114297</v>
      </c>
      <c r="C6689" t="str">
        <f>"84594"</f>
        <v>84594</v>
      </c>
      <c r="D6689" t="s">
        <v>3265</v>
      </c>
      <c r="E6689">
        <v>109.81</v>
      </c>
      <c r="F6689">
        <v>20140217</v>
      </c>
      <c r="G6689" t="s">
        <v>3099</v>
      </c>
      <c r="H6689" t="s">
        <v>765</v>
      </c>
      <c r="I6689" t="s">
        <v>61</v>
      </c>
    </row>
    <row r="6690" spans="1:9" x14ac:dyDescent="0.25">
      <c r="A6690">
        <v>20140220</v>
      </c>
      <c r="B6690" t="str">
        <f>"114298"</f>
        <v>114298</v>
      </c>
      <c r="C6690" t="str">
        <f>"83217"</f>
        <v>83217</v>
      </c>
      <c r="D6690" t="s">
        <v>3359</v>
      </c>
      <c r="E6690">
        <v>475</v>
      </c>
      <c r="F6690">
        <v>20140217</v>
      </c>
      <c r="G6690" t="s">
        <v>3250</v>
      </c>
      <c r="H6690" t="s">
        <v>3360</v>
      </c>
      <c r="I6690" t="s">
        <v>21</v>
      </c>
    </row>
    <row r="6691" spans="1:9" x14ac:dyDescent="0.25">
      <c r="A6691">
        <v>20140220</v>
      </c>
      <c r="B6691" t="str">
        <f>"114299"</f>
        <v>114299</v>
      </c>
      <c r="C6691" t="str">
        <f>"05802"</f>
        <v>05802</v>
      </c>
      <c r="D6691" t="s">
        <v>3361</v>
      </c>
      <c r="E6691">
        <v>131.91999999999999</v>
      </c>
      <c r="F6691">
        <v>20140217</v>
      </c>
      <c r="G6691" t="s">
        <v>1605</v>
      </c>
      <c r="H6691" t="s">
        <v>3362</v>
      </c>
      <c r="I6691" t="s">
        <v>21</v>
      </c>
    </row>
    <row r="6692" spans="1:9" x14ac:dyDescent="0.25">
      <c r="A6692">
        <v>20140220</v>
      </c>
      <c r="B6692" t="str">
        <f>"114300"</f>
        <v>114300</v>
      </c>
      <c r="C6692" t="str">
        <f>"00500"</f>
        <v>00500</v>
      </c>
      <c r="D6692" t="s">
        <v>486</v>
      </c>
      <c r="E6692" s="1">
        <v>7016.46</v>
      </c>
      <c r="F6692">
        <v>20140214</v>
      </c>
      <c r="G6692" t="s">
        <v>487</v>
      </c>
      <c r="H6692" t="s">
        <v>488</v>
      </c>
      <c r="I6692" t="s">
        <v>21</v>
      </c>
    </row>
    <row r="6693" spans="1:9" x14ac:dyDescent="0.25">
      <c r="A6693">
        <v>20140220</v>
      </c>
      <c r="B6693" t="str">
        <f>"114301"</f>
        <v>114301</v>
      </c>
      <c r="C6693" t="str">
        <f>"66825"</f>
        <v>66825</v>
      </c>
      <c r="D6693" t="s">
        <v>2325</v>
      </c>
      <c r="E6693" s="1">
        <v>5010.24</v>
      </c>
      <c r="F6693">
        <v>20140214</v>
      </c>
      <c r="G6693" t="s">
        <v>2326</v>
      </c>
      <c r="H6693" t="s">
        <v>488</v>
      </c>
      <c r="I6693" t="s">
        <v>21</v>
      </c>
    </row>
    <row r="6694" spans="1:9" x14ac:dyDescent="0.25">
      <c r="A6694">
        <v>20140220</v>
      </c>
      <c r="B6694" t="str">
        <f>"114302"</f>
        <v>114302</v>
      </c>
      <c r="C6694" t="str">
        <f>"00255"</f>
        <v>00255</v>
      </c>
      <c r="D6694" t="s">
        <v>489</v>
      </c>
      <c r="E6694">
        <v>161.31</v>
      </c>
      <c r="F6694">
        <v>20140218</v>
      </c>
      <c r="G6694" t="s">
        <v>1186</v>
      </c>
      <c r="H6694" t="s">
        <v>488</v>
      </c>
      <c r="I6694" t="s">
        <v>21</v>
      </c>
    </row>
    <row r="6695" spans="1:9" x14ac:dyDescent="0.25">
      <c r="A6695">
        <v>20140220</v>
      </c>
      <c r="B6695" t="str">
        <f>"114303"</f>
        <v>114303</v>
      </c>
      <c r="C6695" t="str">
        <f>"83627"</f>
        <v>83627</v>
      </c>
      <c r="D6695" t="s">
        <v>1556</v>
      </c>
      <c r="E6695">
        <v>55</v>
      </c>
      <c r="F6695">
        <v>20140219</v>
      </c>
      <c r="G6695" t="s">
        <v>356</v>
      </c>
      <c r="H6695" t="s">
        <v>357</v>
      </c>
      <c r="I6695" t="s">
        <v>61</v>
      </c>
    </row>
    <row r="6696" spans="1:9" x14ac:dyDescent="0.25">
      <c r="A6696">
        <v>20140220</v>
      </c>
      <c r="B6696" t="str">
        <f>"114304"</f>
        <v>114304</v>
      </c>
      <c r="C6696" t="str">
        <f>"83627"</f>
        <v>83627</v>
      </c>
      <c r="D6696" t="s">
        <v>1556</v>
      </c>
      <c r="E6696">
        <v>55</v>
      </c>
      <c r="F6696">
        <v>20140219</v>
      </c>
      <c r="G6696" t="s">
        <v>356</v>
      </c>
      <c r="H6696" t="s">
        <v>357</v>
      </c>
      <c r="I6696" t="s">
        <v>61</v>
      </c>
    </row>
    <row r="6697" spans="1:9" x14ac:dyDescent="0.25">
      <c r="A6697">
        <v>20140220</v>
      </c>
      <c r="B6697" t="str">
        <f>"114305"</f>
        <v>114305</v>
      </c>
      <c r="C6697" t="str">
        <f>"83627"</f>
        <v>83627</v>
      </c>
      <c r="D6697" t="s">
        <v>1556</v>
      </c>
      <c r="E6697">
        <v>30</v>
      </c>
      <c r="F6697">
        <v>20140219</v>
      </c>
      <c r="G6697" t="s">
        <v>356</v>
      </c>
      <c r="H6697" t="s">
        <v>357</v>
      </c>
      <c r="I6697" t="s">
        <v>61</v>
      </c>
    </row>
    <row r="6698" spans="1:9" x14ac:dyDescent="0.25">
      <c r="A6698">
        <v>20140220</v>
      </c>
      <c r="B6698" t="str">
        <f>"114306"</f>
        <v>114306</v>
      </c>
      <c r="C6698" t="str">
        <f>"09575"</f>
        <v>09575</v>
      </c>
      <c r="D6698" t="s">
        <v>2109</v>
      </c>
      <c r="E6698">
        <v>480</v>
      </c>
      <c r="F6698">
        <v>20140219</v>
      </c>
      <c r="G6698" t="s">
        <v>3363</v>
      </c>
      <c r="H6698" t="s">
        <v>3364</v>
      </c>
      <c r="I6698" t="s">
        <v>61</v>
      </c>
    </row>
    <row r="6699" spans="1:9" x14ac:dyDescent="0.25">
      <c r="A6699">
        <v>20140220</v>
      </c>
      <c r="B6699" t="str">
        <f>"114307"</f>
        <v>114307</v>
      </c>
      <c r="C6699" t="str">
        <f>"00042"</f>
        <v>00042</v>
      </c>
      <c r="D6699" t="s">
        <v>2617</v>
      </c>
      <c r="E6699">
        <v>292.8</v>
      </c>
      <c r="F6699">
        <v>20140219</v>
      </c>
      <c r="G6699" t="s">
        <v>1193</v>
      </c>
      <c r="H6699" t="s">
        <v>513</v>
      </c>
      <c r="I6699" t="s">
        <v>25</v>
      </c>
    </row>
    <row r="6700" spans="1:9" x14ac:dyDescent="0.25">
      <c r="A6700">
        <v>20140220</v>
      </c>
      <c r="B6700" t="str">
        <f>"114307"</f>
        <v>114307</v>
      </c>
      <c r="C6700" t="str">
        <f>"00042"</f>
        <v>00042</v>
      </c>
      <c r="D6700" t="s">
        <v>2617</v>
      </c>
      <c r="E6700">
        <v>216</v>
      </c>
      <c r="F6700">
        <v>20140219</v>
      </c>
      <c r="G6700" t="s">
        <v>1193</v>
      </c>
      <c r="H6700" t="s">
        <v>513</v>
      </c>
      <c r="I6700" t="s">
        <v>25</v>
      </c>
    </row>
    <row r="6701" spans="1:9" x14ac:dyDescent="0.25">
      <c r="A6701">
        <v>20140220</v>
      </c>
      <c r="B6701" t="str">
        <f>"114307"</f>
        <v>114307</v>
      </c>
      <c r="C6701" t="str">
        <f>"00042"</f>
        <v>00042</v>
      </c>
      <c r="D6701" t="s">
        <v>2617</v>
      </c>
      <c r="E6701" s="1">
        <v>1309</v>
      </c>
      <c r="F6701">
        <v>20140219</v>
      </c>
      <c r="G6701" t="s">
        <v>1193</v>
      </c>
      <c r="H6701" t="s">
        <v>3365</v>
      </c>
      <c r="I6701" t="s">
        <v>25</v>
      </c>
    </row>
    <row r="6702" spans="1:9" x14ac:dyDescent="0.25">
      <c r="A6702">
        <v>20140220</v>
      </c>
      <c r="B6702" t="str">
        <f>"114308"</f>
        <v>114308</v>
      </c>
      <c r="C6702" t="str">
        <f>"87753"</f>
        <v>87753</v>
      </c>
      <c r="D6702" t="s">
        <v>3366</v>
      </c>
      <c r="E6702">
        <v>121.44</v>
      </c>
      <c r="F6702">
        <v>20140219</v>
      </c>
      <c r="G6702" t="s">
        <v>1846</v>
      </c>
      <c r="H6702" t="s">
        <v>765</v>
      </c>
      <c r="I6702" t="s">
        <v>63</v>
      </c>
    </row>
    <row r="6703" spans="1:9" x14ac:dyDescent="0.25">
      <c r="A6703">
        <v>20140220</v>
      </c>
      <c r="B6703" t="str">
        <f>"114309"</f>
        <v>114309</v>
      </c>
      <c r="C6703" t="str">
        <f>"87322"</f>
        <v>87322</v>
      </c>
      <c r="D6703" t="s">
        <v>3367</v>
      </c>
      <c r="E6703">
        <v>306.75</v>
      </c>
      <c r="F6703">
        <v>20140213</v>
      </c>
      <c r="G6703" t="s">
        <v>1064</v>
      </c>
      <c r="H6703" t="s">
        <v>3368</v>
      </c>
      <c r="I6703" t="s">
        <v>21</v>
      </c>
    </row>
    <row r="6704" spans="1:9" x14ac:dyDescent="0.25">
      <c r="A6704">
        <v>20140220</v>
      </c>
      <c r="B6704" t="str">
        <f>"114310"</f>
        <v>114310</v>
      </c>
      <c r="C6704" t="str">
        <f>"12140"</f>
        <v>12140</v>
      </c>
      <c r="D6704" t="s">
        <v>406</v>
      </c>
      <c r="E6704" s="1">
        <v>45937.5</v>
      </c>
      <c r="F6704">
        <v>20140217</v>
      </c>
      <c r="G6704" t="s">
        <v>404</v>
      </c>
      <c r="H6704" t="s">
        <v>408</v>
      </c>
      <c r="I6704" t="s">
        <v>12</v>
      </c>
    </row>
    <row r="6705" spans="1:9" x14ac:dyDescent="0.25">
      <c r="A6705">
        <v>20140220</v>
      </c>
      <c r="B6705" t="str">
        <f>"114311"</f>
        <v>114311</v>
      </c>
      <c r="C6705" t="str">
        <f>"87228"</f>
        <v>87228</v>
      </c>
      <c r="D6705" t="s">
        <v>792</v>
      </c>
      <c r="E6705">
        <v>25</v>
      </c>
      <c r="F6705">
        <v>20140217</v>
      </c>
      <c r="G6705" t="s">
        <v>793</v>
      </c>
      <c r="H6705" t="s">
        <v>357</v>
      </c>
      <c r="I6705" t="s">
        <v>21</v>
      </c>
    </row>
    <row r="6706" spans="1:9" x14ac:dyDescent="0.25">
      <c r="A6706">
        <v>20140220</v>
      </c>
      <c r="B6706" t="str">
        <f>"114311"</f>
        <v>114311</v>
      </c>
      <c r="C6706" t="str">
        <f>"87228"</f>
        <v>87228</v>
      </c>
      <c r="D6706" t="s">
        <v>792</v>
      </c>
      <c r="E6706">
        <v>60</v>
      </c>
      <c r="F6706">
        <v>20140217</v>
      </c>
      <c r="G6706" t="s">
        <v>1359</v>
      </c>
      <c r="H6706" t="s">
        <v>1109</v>
      </c>
      <c r="I6706" t="s">
        <v>21</v>
      </c>
    </row>
    <row r="6707" spans="1:9" x14ac:dyDescent="0.25">
      <c r="A6707">
        <v>20140220</v>
      </c>
      <c r="B6707" t="str">
        <f>"114312"</f>
        <v>114312</v>
      </c>
      <c r="C6707" t="str">
        <f>"84466"</f>
        <v>84466</v>
      </c>
      <c r="D6707" t="s">
        <v>1366</v>
      </c>
      <c r="E6707">
        <v>843.73</v>
      </c>
      <c r="F6707">
        <v>20140218</v>
      </c>
      <c r="G6707" t="s">
        <v>442</v>
      </c>
      <c r="H6707" t="s">
        <v>365</v>
      </c>
      <c r="I6707" t="s">
        <v>66</v>
      </c>
    </row>
    <row r="6708" spans="1:9" x14ac:dyDescent="0.25">
      <c r="A6708">
        <v>20140220</v>
      </c>
      <c r="B6708" t="str">
        <f>"114313"</f>
        <v>114313</v>
      </c>
      <c r="C6708" t="str">
        <f>"86919"</f>
        <v>86919</v>
      </c>
      <c r="D6708" t="s">
        <v>3369</v>
      </c>
      <c r="E6708" s="1">
        <v>1918.5</v>
      </c>
      <c r="F6708">
        <v>20140218</v>
      </c>
      <c r="G6708" t="s">
        <v>150</v>
      </c>
      <c r="H6708" t="s">
        <v>553</v>
      </c>
      <c r="I6708" t="s">
        <v>25</v>
      </c>
    </row>
    <row r="6709" spans="1:9" x14ac:dyDescent="0.25">
      <c r="A6709">
        <v>20140220</v>
      </c>
      <c r="B6709" t="str">
        <f t="shared" ref="B6709:B6752" si="425">"114314"</f>
        <v>114314</v>
      </c>
      <c r="C6709" t="str">
        <f t="shared" ref="C6709:C6752" si="426">"83878"</f>
        <v>83878</v>
      </c>
      <c r="D6709" t="s">
        <v>1016</v>
      </c>
      <c r="E6709">
        <v>258.25</v>
      </c>
      <c r="F6709">
        <v>20140214</v>
      </c>
      <c r="G6709" t="s">
        <v>1067</v>
      </c>
      <c r="H6709" t="s">
        <v>3370</v>
      </c>
      <c r="I6709" t="s">
        <v>21</v>
      </c>
    </row>
    <row r="6710" spans="1:9" x14ac:dyDescent="0.25">
      <c r="A6710">
        <v>20140220</v>
      </c>
      <c r="B6710" t="str">
        <f t="shared" si="425"/>
        <v>114314</v>
      </c>
      <c r="C6710" t="str">
        <f t="shared" si="426"/>
        <v>83878</v>
      </c>
      <c r="D6710" t="s">
        <v>1016</v>
      </c>
      <c r="E6710">
        <v>356.88</v>
      </c>
      <c r="F6710">
        <v>20140214</v>
      </c>
      <c r="G6710" t="s">
        <v>1067</v>
      </c>
      <c r="H6710" t="s">
        <v>3371</v>
      </c>
      <c r="I6710" t="s">
        <v>21</v>
      </c>
    </row>
    <row r="6711" spans="1:9" x14ac:dyDescent="0.25">
      <c r="A6711">
        <v>20140220</v>
      </c>
      <c r="B6711" t="str">
        <f t="shared" si="425"/>
        <v>114314</v>
      </c>
      <c r="C6711" t="str">
        <f t="shared" si="426"/>
        <v>83878</v>
      </c>
      <c r="D6711" t="s">
        <v>1016</v>
      </c>
      <c r="E6711">
        <v>105.64</v>
      </c>
      <c r="F6711">
        <v>20140219</v>
      </c>
      <c r="G6711" t="s">
        <v>1712</v>
      </c>
      <c r="H6711" t="s">
        <v>1018</v>
      </c>
      <c r="I6711" t="s">
        <v>21</v>
      </c>
    </row>
    <row r="6712" spans="1:9" x14ac:dyDescent="0.25">
      <c r="A6712">
        <v>20140220</v>
      </c>
      <c r="B6712" t="str">
        <f t="shared" si="425"/>
        <v>114314</v>
      </c>
      <c r="C6712" t="str">
        <f t="shared" si="426"/>
        <v>83878</v>
      </c>
      <c r="D6712" t="s">
        <v>1016</v>
      </c>
      <c r="E6712">
        <v>280.5</v>
      </c>
      <c r="F6712">
        <v>20140219</v>
      </c>
      <c r="G6712" t="s">
        <v>3222</v>
      </c>
      <c r="H6712" t="s">
        <v>1018</v>
      </c>
      <c r="I6712" t="s">
        <v>21</v>
      </c>
    </row>
    <row r="6713" spans="1:9" x14ac:dyDescent="0.25">
      <c r="A6713">
        <v>20140220</v>
      </c>
      <c r="B6713" t="str">
        <f t="shared" si="425"/>
        <v>114314</v>
      </c>
      <c r="C6713" t="str">
        <f t="shared" si="426"/>
        <v>83878</v>
      </c>
      <c r="D6713" t="s">
        <v>1016</v>
      </c>
      <c r="E6713">
        <v>144.5</v>
      </c>
      <c r="F6713">
        <v>20140214</v>
      </c>
      <c r="G6713" t="s">
        <v>1020</v>
      </c>
      <c r="H6713" t="s">
        <v>3372</v>
      </c>
      <c r="I6713" t="s">
        <v>21</v>
      </c>
    </row>
    <row r="6714" spans="1:9" x14ac:dyDescent="0.25">
      <c r="A6714">
        <v>20140220</v>
      </c>
      <c r="B6714" t="str">
        <f t="shared" si="425"/>
        <v>114314</v>
      </c>
      <c r="C6714" t="str">
        <f t="shared" si="426"/>
        <v>83878</v>
      </c>
      <c r="D6714" t="s">
        <v>1016</v>
      </c>
      <c r="E6714">
        <v>148.78</v>
      </c>
      <c r="F6714">
        <v>20140219</v>
      </c>
      <c r="G6714" t="s">
        <v>3373</v>
      </c>
      <c r="H6714" t="s">
        <v>1018</v>
      </c>
      <c r="I6714" t="s">
        <v>21</v>
      </c>
    </row>
    <row r="6715" spans="1:9" x14ac:dyDescent="0.25">
      <c r="A6715">
        <v>20140220</v>
      </c>
      <c r="B6715" t="str">
        <f t="shared" si="425"/>
        <v>114314</v>
      </c>
      <c r="C6715" t="str">
        <f t="shared" si="426"/>
        <v>83878</v>
      </c>
      <c r="D6715" t="s">
        <v>1016</v>
      </c>
      <c r="E6715">
        <v>116.54</v>
      </c>
      <c r="F6715">
        <v>20140219</v>
      </c>
      <c r="G6715" t="s">
        <v>1126</v>
      </c>
      <c r="H6715" t="s">
        <v>1018</v>
      </c>
      <c r="I6715" t="s">
        <v>21</v>
      </c>
    </row>
    <row r="6716" spans="1:9" x14ac:dyDescent="0.25">
      <c r="A6716">
        <v>20140220</v>
      </c>
      <c r="B6716" t="str">
        <f t="shared" si="425"/>
        <v>114314</v>
      </c>
      <c r="C6716" t="str">
        <f t="shared" si="426"/>
        <v>83878</v>
      </c>
      <c r="D6716" t="s">
        <v>1016</v>
      </c>
      <c r="E6716" s="1">
        <v>1773.52</v>
      </c>
      <c r="F6716">
        <v>20140219</v>
      </c>
      <c r="G6716" t="s">
        <v>2932</v>
      </c>
      <c r="H6716" t="s">
        <v>1018</v>
      </c>
      <c r="I6716" t="s">
        <v>21</v>
      </c>
    </row>
    <row r="6717" spans="1:9" x14ac:dyDescent="0.25">
      <c r="A6717">
        <v>20140220</v>
      </c>
      <c r="B6717" t="str">
        <f t="shared" si="425"/>
        <v>114314</v>
      </c>
      <c r="C6717" t="str">
        <f t="shared" si="426"/>
        <v>83878</v>
      </c>
      <c r="D6717" t="s">
        <v>1016</v>
      </c>
      <c r="E6717">
        <v>50</v>
      </c>
      <c r="F6717">
        <v>20140219</v>
      </c>
      <c r="G6717" t="s">
        <v>1773</v>
      </c>
      <c r="H6717" t="s">
        <v>1018</v>
      </c>
      <c r="I6717" t="s">
        <v>21</v>
      </c>
    </row>
    <row r="6718" spans="1:9" x14ac:dyDescent="0.25">
      <c r="A6718">
        <v>20140220</v>
      </c>
      <c r="B6718" t="str">
        <f t="shared" si="425"/>
        <v>114314</v>
      </c>
      <c r="C6718" t="str">
        <f t="shared" si="426"/>
        <v>83878</v>
      </c>
      <c r="D6718" t="s">
        <v>1016</v>
      </c>
      <c r="E6718">
        <v>50</v>
      </c>
      <c r="F6718">
        <v>20140219</v>
      </c>
      <c r="G6718" t="s">
        <v>1774</v>
      </c>
      <c r="H6718" t="s">
        <v>1018</v>
      </c>
      <c r="I6718" t="s">
        <v>21</v>
      </c>
    </row>
    <row r="6719" spans="1:9" x14ac:dyDescent="0.25">
      <c r="A6719">
        <v>20140220</v>
      </c>
      <c r="B6719" t="str">
        <f t="shared" si="425"/>
        <v>114314</v>
      </c>
      <c r="C6719" t="str">
        <f t="shared" si="426"/>
        <v>83878</v>
      </c>
      <c r="D6719" t="s">
        <v>1016</v>
      </c>
      <c r="E6719">
        <v>55.63</v>
      </c>
      <c r="F6719">
        <v>20140219</v>
      </c>
      <c r="G6719" t="s">
        <v>834</v>
      </c>
      <c r="H6719" t="s">
        <v>1018</v>
      </c>
      <c r="I6719" t="s">
        <v>21</v>
      </c>
    </row>
    <row r="6720" spans="1:9" x14ac:dyDescent="0.25">
      <c r="A6720">
        <v>20140220</v>
      </c>
      <c r="B6720" t="str">
        <f t="shared" si="425"/>
        <v>114314</v>
      </c>
      <c r="C6720" t="str">
        <f t="shared" si="426"/>
        <v>83878</v>
      </c>
      <c r="D6720" t="s">
        <v>1016</v>
      </c>
      <c r="E6720">
        <v>12</v>
      </c>
      <c r="F6720">
        <v>20140219</v>
      </c>
      <c r="G6720" t="s">
        <v>808</v>
      </c>
      <c r="H6720" t="s">
        <v>1018</v>
      </c>
      <c r="I6720" t="s">
        <v>21</v>
      </c>
    </row>
    <row r="6721" spans="1:9" x14ac:dyDescent="0.25">
      <c r="A6721">
        <v>20140220</v>
      </c>
      <c r="B6721" t="str">
        <f t="shared" si="425"/>
        <v>114314</v>
      </c>
      <c r="C6721" t="str">
        <f t="shared" si="426"/>
        <v>83878</v>
      </c>
      <c r="D6721" t="s">
        <v>1016</v>
      </c>
      <c r="E6721">
        <v>386.94</v>
      </c>
      <c r="F6721">
        <v>20140219</v>
      </c>
      <c r="G6721" t="s">
        <v>503</v>
      </c>
      <c r="H6721" t="s">
        <v>1018</v>
      </c>
      <c r="I6721" t="s">
        <v>21</v>
      </c>
    </row>
    <row r="6722" spans="1:9" x14ac:dyDescent="0.25">
      <c r="A6722">
        <v>20140220</v>
      </c>
      <c r="B6722" t="str">
        <f t="shared" si="425"/>
        <v>114314</v>
      </c>
      <c r="C6722" t="str">
        <f t="shared" si="426"/>
        <v>83878</v>
      </c>
      <c r="D6722" t="s">
        <v>1016</v>
      </c>
      <c r="E6722">
        <v>53.54</v>
      </c>
      <c r="F6722">
        <v>20140219</v>
      </c>
      <c r="G6722" t="s">
        <v>1024</v>
      </c>
      <c r="H6722" t="s">
        <v>1018</v>
      </c>
      <c r="I6722" t="s">
        <v>21</v>
      </c>
    </row>
    <row r="6723" spans="1:9" x14ac:dyDescent="0.25">
      <c r="A6723">
        <v>20140220</v>
      </c>
      <c r="B6723" t="str">
        <f t="shared" si="425"/>
        <v>114314</v>
      </c>
      <c r="C6723" t="str">
        <f t="shared" si="426"/>
        <v>83878</v>
      </c>
      <c r="D6723" t="s">
        <v>1016</v>
      </c>
      <c r="E6723">
        <v>37.770000000000003</v>
      </c>
      <c r="F6723">
        <v>20140219</v>
      </c>
      <c r="G6723" t="s">
        <v>1227</v>
      </c>
      <c r="H6723" t="s">
        <v>1018</v>
      </c>
      <c r="I6723" t="s">
        <v>21</v>
      </c>
    </row>
    <row r="6724" spans="1:9" x14ac:dyDescent="0.25">
      <c r="A6724">
        <v>20140220</v>
      </c>
      <c r="B6724" t="str">
        <f t="shared" si="425"/>
        <v>114314</v>
      </c>
      <c r="C6724" t="str">
        <f t="shared" si="426"/>
        <v>83878</v>
      </c>
      <c r="D6724" t="s">
        <v>1016</v>
      </c>
      <c r="E6724">
        <v>431</v>
      </c>
      <c r="F6724">
        <v>20140219</v>
      </c>
      <c r="G6724" t="s">
        <v>1329</v>
      </c>
      <c r="H6724" t="s">
        <v>1018</v>
      </c>
      <c r="I6724" t="s">
        <v>21</v>
      </c>
    </row>
    <row r="6725" spans="1:9" x14ac:dyDescent="0.25">
      <c r="A6725">
        <v>20140220</v>
      </c>
      <c r="B6725" t="str">
        <f t="shared" si="425"/>
        <v>114314</v>
      </c>
      <c r="C6725" t="str">
        <f t="shared" si="426"/>
        <v>83878</v>
      </c>
      <c r="D6725" t="s">
        <v>1016</v>
      </c>
      <c r="E6725">
        <v>241.4</v>
      </c>
      <c r="F6725">
        <v>20140219</v>
      </c>
      <c r="G6725" t="s">
        <v>1329</v>
      </c>
      <c r="H6725" t="s">
        <v>1018</v>
      </c>
      <c r="I6725" t="s">
        <v>21</v>
      </c>
    </row>
    <row r="6726" spans="1:9" x14ac:dyDescent="0.25">
      <c r="A6726">
        <v>20140220</v>
      </c>
      <c r="B6726" t="str">
        <f t="shared" si="425"/>
        <v>114314</v>
      </c>
      <c r="C6726" t="str">
        <f t="shared" si="426"/>
        <v>83878</v>
      </c>
      <c r="D6726" t="s">
        <v>1016</v>
      </c>
      <c r="E6726">
        <v>110.82</v>
      </c>
      <c r="F6726">
        <v>20140219</v>
      </c>
      <c r="G6726" t="s">
        <v>496</v>
      </c>
      <c r="H6726" t="s">
        <v>1018</v>
      </c>
      <c r="I6726" t="s">
        <v>21</v>
      </c>
    </row>
    <row r="6727" spans="1:9" x14ac:dyDescent="0.25">
      <c r="A6727">
        <v>20140220</v>
      </c>
      <c r="B6727" t="str">
        <f t="shared" si="425"/>
        <v>114314</v>
      </c>
      <c r="C6727" t="str">
        <f t="shared" si="426"/>
        <v>83878</v>
      </c>
      <c r="D6727" t="s">
        <v>1016</v>
      </c>
      <c r="E6727">
        <v>40.92</v>
      </c>
      <c r="F6727">
        <v>20140219</v>
      </c>
      <c r="G6727" t="s">
        <v>496</v>
      </c>
      <c r="H6727" t="s">
        <v>1018</v>
      </c>
      <c r="I6727" t="s">
        <v>21</v>
      </c>
    </row>
    <row r="6728" spans="1:9" x14ac:dyDescent="0.25">
      <c r="A6728">
        <v>20140220</v>
      </c>
      <c r="B6728" t="str">
        <f t="shared" si="425"/>
        <v>114314</v>
      </c>
      <c r="C6728" t="str">
        <f t="shared" si="426"/>
        <v>83878</v>
      </c>
      <c r="D6728" t="s">
        <v>1016</v>
      </c>
      <c r="E6728">
        <v>26.99</v>
      </c>
      <c r="F6728">
        <v>20140219</v>
      </c>
      <c r="G6728" t="s">
        <v>1672</v>
      </c>
      <c r="H6728" t="s">
        <v>1018</v>
      </c>
      <c r="I6728" t="s">
        <v>21</v>
      </c>
    </row>
    <row r="6729" spans="1:9" x14ac:dyDescent="0.25">
      <c r="A6729">
        <v>20140220</v>
      </c>
      <c r="B6729" t="str">
        <f t="shared" si="425"/>
        <v>114314</v>
      </c>
      <c r="C6729" t="str">
        <f t="shared" si="426"/>
        <v>83878</v>
      </c>
      <c r="D6729" t="s">
        <v>1016</v>
      </c>
      <c r="E6729">
        <v>289</v>
      </c>
      <c r="F6729">
        <v>20140219</v>
      </c>
      <c r="G6729" t="s">
        <v>2639</v>
      </c>
      <c r="H6729" t="s">
        <v>1018</v>
      </c>
      <c r="I6729" t="s">
        <v>21</v>
      </c>
    </row>
    <row r="6730" spans="1:9" x14ac:dyDescent="0.25">
      <c r="A6730">
        <v>20140220</v>
      </c>
      <c r="B6730" t="str">
        <f t="shared" si="425"/>
        <v>114314</v>
      </c>
      <c r="C6730" t="str">
        <f t="shared" si="426"/>
        <v>83878</v>
      </c>
      <c r="D6730" t="s">
        <v>1016</v>
      </c>
      <c r="E6730">
        <v>251.6</v>
      </c>
      <c r="F6730">
        <v>20140219</v>
      </c>
      <c r="G6730" t="s">
        <v>2599</v>
      </c>
      <c r="H6730" t="s">
        <v>1018</v>
      </c>
      <c r="I6730" t="s">
        <v>21</v>
      </c>
    </row>
    <row r="6731" spans="1:9" x14ac:dyDescent="0.25">
      <c r="A6731">
        <v>20140220</v>
      </c>
      <c r="B6731" t="str">
        <f t="shared" si="425"/>
        <v>114314</v>
      </c>
      <c r="C6731" t="str">
        <f t="shared" si="426"/>
        <v>83878</v>
      </c>
      <c r="D6731" t="s">
        <v>1016</v>
      </c>
      <c r="E6731">
        <v>92.11</v>
      </c>
      <c r="F6731">
        <v>20140219</v>
      </c>
      <c r="G6731" t="s">
        <v>585</v>
      </c>
      <c r="H6731" t="s">
        <v>1018</v>
      </c>
      <c r="I6731" t="s">
        <v>21</v>
      </c>
    </row>
    <row r="6732" spans="1:9" x14ac:dyDescent="0.25">
      <c r="A6732">
        <v>20140220</v>
      </c>
      <c r="B6732" t="str">
        <f t="shared" si="425"/>
        <v>114314</v>
      </c>
      <c r="C6732" t="str">
        <f t="shared" si="426"/>
        <v>83878</v>
      </c>
      <c r="D6732" t="s">
        <v>1016</v>
      </c>
      <c r="E6732">
        <v>70.36</v>
      </c>
      <c r="F6732">
        <v>20140219</v>
      </c>
      <c r="G6732" t="s">
        <v>837</v>
      </c>
      <c r="H6732" t="s">
        <v>1018</v>
      </c>
      <c r="I6732" t="s">
        <v>21</v>
      </c>
    </row>
    <row r="6733" spans="1:9" x14ac:dyDescent="0.25">
      <c r="A6733">
        <v>20140220</v>
      </c>
      <c r="B6733" t="str">
        <f t="shared" si="425"/>
        <v>114314</v>
      </c>
      <c r="C6733" t="str">
        <f t="shared" si="426"/>
        <v>83878</v>
      </c>
      <c r="D6733" t="s">
        <v>1016</v>
      </c>
      <c r="E6733" s="1">
        <v>2307.17</v>
      </c>
      <c r="F6733">
        <v>20140219</v>
      </c>
      <c r="G6733" t="s">
        <v>1026</v>
      </c>
      <c r="H6733" t="s">
        <v>1018</v>
      </c>
      <c r="I6733" t="s">
        <v>21</v>
      </c>
    </row>
    <row r="6734" spans="1:9" x14ac:dyDescent="0.25">
      <c r="A6734">
        <v>20140220</v>
      </c>
      <c r="B6734" t="str">
        <f t="shared" si="425"/>
        <v>114314</v>
      </c>
      <c r="C6734" t="str">
        <f t="shared" si="426"/>
        <v>83878</v>
      </c>
      <c r="D6734" t="s">
        <v>1016</v>
      </c>
      <c r="E6734" s="1">
        <v>2869.18</v>
      </c>
      <c r="F6734">
        <v>20140219</v>
      </c>
      <c r="G6734" t="s">
        <v>926</v>
      </c>
      <c r="H6734" t="s">
        <v>1018</v>
      </c>
      <c r="I6734" t="s">
        <v>21</v>
      </c>
    </row>
    <row r="6735" spans="1:9" x14ac:dyDescent="0.25">
      <c r="A6735">
        <v>20140220</v>
      </c>
      <c r="B6735" t="str">
        <f t="shared" si="425"/>
        <v>114314</v>
      </c>
      <c r="C6735" t="str">
        <f t="shared" si="426"/>
        <v>83878</v>
      </c>
      <c r="D6735" t="s">
        <v>1016</v>
      </c>
      <c r="E6735">
        <v>15.09</v>
      </c>
      <c r="F6735">
        <v>20140219</v>
      </c>
      <c r="G6735" t="s">
        <v>384</v>
      </c>
      <c r="H6735" t="s">
        <v>1018</v>
      </c>
      <c r="I6735" t="s">
        <v>21</v>
      </c>
    </row>
    <row r="6736" spans="1:9" x14ac:dyDescent="0.25">
      <c r="A6736">
        <v>20140220</v>
      </c>
      <c r="B6736" t="str">
        <f t="shared" si="425"/>
        <v>114314</v>
      </c>
      <c r="C6736" t="str">
        <f t="shared" si="426"/>
        <v>83878</v>
      </c>
      <c r="D6736" t="s">
        <v>1016</v>
      </c>
      <c r="E6736">
        <v>417.45</v>
      </c>
      <c r="F6736">
        <v>20140219</v>
      </c>
      <c r="G6736" t="s">
        <v>975</v>
      </c>
      <c r="H6736" t="s">
        <v>1018</v>
      </c>
      <c r="I6736" t="s">
        <v>21</v>
      </c>
    </row>
    <row r="6737" spans="1:9" x14ac:dyDescent="0.25">
      <c r="A6737">
        <v>20140220</v>
      </c>
      <c r="B6737" t="str">
        <f t="shared" si="425"/>
        <v>114314</v>
      </c>
      <c r="C6737" t="str">
        <f t="shared" si="426"/>
        <v>83878</v>
      </c>
      <c r="D6737" t="s">
        <v>1016</v>
      </c>
      <c r="E6737">
        <v>777.79</v>
      </c>
      <c r="F6737">
        <v>20140219</v>
      </c>
      <c r="G6737" t="s">
        <v>367</v>
      </c>
      <c r="H6737" t="s">
        <v>1018</v>
      </c>
      <c r="I6737" t="s">
        <v>21</v>
      </c>
    </row>
    <row r="6738" spans="1:9" x14ac:dyDescent="0.25">
      <c r="A6738">
        <v>20140220</v>
      </c>
      <c r="B6738" t="str">
        <f t="shared" si="425"/>
        <v>114314</v>
      </c>
      <c r="C6738" t="str">
        <f t="shared" si="426"/>
        <v>83878</v>
      </c>
      <c r="D6738" t="s">
        <v>1016</v>
      </c>
      <c r="E6738">
        <v>124.95</v>
      </c>
      <c r="F6738">
        <v>20140219</v>
      </c>
      <c r="G6738" t="s">
        <v>413</v>
      </c>
      <c r="H6738" t="s">
        <v>1018</v>
      </c>
      <c r="I6738" t="s">
        <v>21</v>
      </c>
    </row>
    <row r="6739" spans="1:9" x14ac:dyDescent="0.25">
      <c r="A6739">
        <v>20140220</v>
      </c>
      <c r="B6739" t="str">
        <f t="shared" si="425"/>
        <v>114314</v>
      </c>
      <c r="C6739" t="str">
        <f t="shared" si="426"/>
        <v>83878</v>
      </c>
      <c r="D6739" t="s">
        <v>1016</v>
      </c>
      <c r="E6739" s="1">
        <v>2500.3200000000002</v>
      </c>
      <c r="F6739">
        <v>20140219</v>
      </c>
      <c r="G6739" t="s">
        <v>840</v>
      </c>
      <c r="H6739" t="s">
        <v>1018</v>
      </c>
      <c r="I6739" t="s">
        <v>21</v>
      </c>
    </row>
    <row r="6740" spans="1:9" x14ac:dyDescent="0.25">
      <c r="A6740">
        <v>20140220</v>
      </c>
      <c r="B6740" t="str">
        <f t="shared" si="425"/>
        <v>114314</v>
      </c>
      <c r="C6740" t="str">
        <f t="shared" si="426"/>
        <v>83878</v>
      </c>
      <c r="D6740" t="s">
        <v>1016</v>
      </c>
      <c r="E6740" s="1">
        <v>1108.97</v>
      </c>
      <c r="F6740">
        <v>20140219</v>
      </c>
      <c r="G6740" t="s">
        <v>1721</v>
      </c>
      <c r="H6740" t="s">
        <v>1018</v>
      </c>
      <c r="I6740" t="s">
        <v>21</v>
      </c>
    </row>
    <row r="6741" spans="1:9" x14ac:dyDescent="0.25">
      <c r="A6741">
        <v>20140220</v>
      </c>
      <c r="B6741" t="str">
        <f t="shared" si="425"/>
        <v>114314</v>
      </c>
      <c r="C6741" t="str">
        <f t="shared" si="426"/>
        <v>83878</v>
      </c>
      <c r="D6741" t="s">
        <v>1016</v>
      </c>
      <c r="E6741">
        <v>30</v>
      </c>
      <c r="F6741">
        <v>20140219</v>
      </c>
      <c r="G6741" t="s">
        <v>1833</v>
      </c>
      <c r="H6741" t="s">
        <v>1018</v>
      </c>
      <c r="I6741" t="s">
        <v>66</v>
      </c>
    </row>
    <row r="6742" spans="1:9" x14ac:dyDescent="0.25">
      <c r="A6742">
        <v>20140220</v>
      </c>
      <c r="B6742" t="str">
        <f t="shared" si="425"/>
        <v>114314</v>
      </c>
      <c r="C6742" t="str">
        <f t="shared" si="426"/>
        <v>83878</v>
      </c>
      <c r="D6742" t="s">
        <v>1016</v>
      </c>
      <c r="E6742">
        <v>255</v>
      </c>
      <c r="F6742">
        <v>20140219</v>
      </c>
      <c r="G6742" t="s">
        <v>810</v>
      </c>
      <c r="H6742" t="s">
        <v>1018</v>
      </c>
      <c r="I6742" t="s">
        <v>66</v>
      </c>
    </row>
    <row r="6743" spans="1:9" x14ac:dyDescent="0.25">
      <c r="A6743">
        <v>20140220</v>
      </c>
      <c r="B6743" t="str">
        <f t="shared" si="425"/>
        <v>114314</v>
      </c>
      <c r="C6743" t="str">
        <f t="shared" si="426"/>
        <v>83878</v>
      </c>
      <c r="D6743" t="s">
        <v>1016</v>
      </c>
      <c r="E6743">
        <v>350</v>
      </c>
      <c r="F6743">
        <v>20140219</v>
      </c>
      <c r="G6743" t="s">
        <v>810</v>
      </c>
      <c r="H6743" t="s">
        <v>1018</v>
      </c>
      <c r="I6743" t="s">
        <v>66</v>
      </c>
    </row>
    <row r="6744" spans="1:9" x14ac:dyDescent="0.25">
      <c r="A6744">
        <v>20140220</v>
      </c>
      <c r="B6744" t="str">
        <f t="shared" si="425"/>
        <v>114314</v>
      </c>
      <c r="C6744" t="str">
        <f t="shared" si="426"/>
        <v>83878</v>
      </c>
      <c r="D6744" t="s">
        <v>1016</v>
      </c>
      <c r="E6744">
        <v>780.2</v>
      </c>
      <c r="F6744">
        <v>20140219</v>
      </c>
      <c r="G6744" t="s">
        <v>331</v>
      </c>
      <c r="H6744" t="s">
        <v>1018</v>
      </c>
      <c r="I6744" t="s">
        <v>12</v>
      </c>
    </row>
    <row r="6745" spans="1:9" x14ac:dyDescent="0.25">
      <c r="A6745">
        <v>20140220</v>
      </c>
      <c r="B6745" t="str">
        <f t="shared" si="425"/>
        <v>114314</v>
      </c>
      <c r="C6745" t="str">
        <f t="shared" si="426"/>
        <v>83878</v>
      </c>
      <c r="D6745" t="s">
        <v>1016</v>
      </c>
      <c r="E6745">
        <v>78.64</v>
      </c>
      <c r="F6745">
        <v>20140219</v>
      </c>
      <c r="G6745" t="s">
        <v>1145</v>
      </c>
      <c r="H6745" t="s">
        <v>1018</v>
      </c>
      <c r="I6745" t="s">
        <v>73</v>
      </c>
    </row>
    <row r="6746" spans="1:9" x14ac:dyDescent="0.25">
      <c r="A6746">
        <v>20140220</v>
      </c>
      <c r="B6746" t="str">
        <f t="shared" si="425"/>
        <v>114314</v>
      </c>
      <c r="C6746" t="str">
        <f t="shared" si="426"/>
        <v>83878</v>
      </c>
      <c r="D6746" t="s">
        <v>1016</v>
      </c>
      <c r="E6746">
        <v>981.33</v>
      </c>
      <c r="F6746">
        <v>20140219</v>
      </c>
      <c r="G6746" t="s">
        <v>1145</v>
      </c>
      <c r="H6746" t="s">
        <v>1018</v>
      </c>
      <c r="I6746" t="s">
        <v>73</v>
      </c>
    </row>
    <row r="6747" spans="1:9" x14ac:dyDescent="0.25">
      <c r="A6747">
        <v>20140220</v>
      </c>
      <c r="B6747" t="str">
        <f t="shared" si="425"/>
        <v>114314</v>
      </c>
      <c r="C6747" t="str">
        <f t="shared" si="426"/>
        <v>83878</v>
      </c>
      <c r="D6747" t="s">
        <v>1016</v>
      </c>
      <c r="E6747">
        <v>180.91</v>
      </c>
      <c r="F6747">
        <v>20140219</v>
      </c>
      <c r="G6747" t="s">
        <v>1277</v>
      </c>
      <c r="H6747" t="s">
        <v>1018</v>
      </c>
      <c r="I6747" t="s">
        <v>79</v>
      </c>
    </row>
    <row r="6748" spans="1:9" x14ac:dyDescent="0.25">
      <c r="A6748">
        <v>20140220</v>
      </c>
      <c r="B6748" t="str">
        <f t="shared" si="425"/>
        <v>114314</v>
      </c>
      <c r="C6748" t="str">
        <f t="shared" si="426"/>
        <v>83878</v>
      </c>
      <c r="D6748" t="s">
        <v>1016</v>
      </c>
      <c r="E6748">
        <v>187.82</v>
      </c>
      <c r="F6748">
        <v>20140219</v>
      </c>
      <c r="G6748" t="s">
        <v>289</v>
      </c>
      <c r="H6748" t="s">
        <v>1018</v>
      </c>
      <c r="I6748" t="s">
        <v>38</v>
      </c>
    </row>
    <row r="6749" spans="1:9" x14ac:dyDescent="0.25">
      <c r="A6749">
        <v>20140220</v>
      </c>
      <c r="B6749" t="str">
        <f t="shared" si="425"/>
        <v>114314</v>
      </c>
      <c r="C6749" t="str">
        <f t="shared" si="426"/>
        <v>83878</v>
      </c>
      <c r="D6749" t="s">
        <v>1016</v>
      </c>
      <c r="E6749">
        <v>124.65</v>
      </c>
      <c r="F6749">
        <v>20140219</v>
      </c>
      <c r="G6749" t="s">
        <v>36</v>
      </c>
      <c r="H6749" t="s">
        <v>1018</v>
      </c>
      <c r="I6749" t="s">
        <v>38</v>
      </c>
    </row>
    <row r="6750" spans="1:9" x14ac:dyDescent="0.25">
      <c r="A6750">
        <v>20140220</v>
      </c>
      <c r="B6750" t="str">
        <f t="shared" si="425"/>
        <v>114314</v>
      </c>
      <c r="C6750" t="str">
        <f t="shared" si="426"/>
        <v>83878</v>
      </c>
      <c r="D6750" t="s">
        <v>1016</v>
      </c>
      <c r="E6750" s="1">
        <v>3000</v>
      </c>
      <c r="F6750">
        <v>20140219</v>
      </c>
      <c r="G6750" t="s">
        <v>39</v>
      </c>
      <c r="H6750" t="s">
        <v>1018</v>
      </c>
      <c r="I6750" t="s">
        <v>38</v>
      </c>
    </row>
    <row r="6751" spans="1:9" x14ac:dyDescent="0.25">
      <c r="A6751">
        <v>20140220</v>
      </c>
      <c r="B6751" t="str">
        <f t="shared" si="425"/>
        <v>114314</v>
      </c>
      <c r="C6751" t="str">
        <f t="shared" si="426"/>
        <v>83878</v>
      </c>
      <c r="D6751" t="s">
        <v>1016</v>
      </c>
      <c r="E6751">
        <v>174</v>
      </c>
      <c r="F6751">
        <v>20140219</v>
      </c>
      <c r="G6751" t="s">
        <v>200</v>
      </c>
      <c r="H6751" t="s">
        <v>1018</v>
      </c>
      <c r="I6751" t="s">
        <v>38</v>
      </c>
    </row>
    <row r="6752" spans="1:9" x14ac:dyDescent="0.25">
      <c r="A6752">
        <v>20140220</v>
      </c>
      <c r="B6752" t="str">
        <f t="shared" si="425"/>
        <v>114314</v>
      </c>
      <c r="C6752" t="str">
        <f t="shared" si="426"/>
        <v>83878</v>
      </c>
      <c r="D6752" t="s">
        <v>1016</v>
      </c>
      <c r="E6752">
        <v>236.28</v>
      </c>
      <c r="F6752">
        <v>20140219</v>
      </c>
      <c r="G6752" t="s">
        <v>209</v>
      </c>
      <c r="H6752" t="s">
        <v>1018</v>
      </c>
      <c r="I6752" t="s">
        <v>25</v>
      </c>
    </row>
    <row r="6753" spans="1:9" x14ac:dyDescent="0.25">
      <c r="A6753">
        <v>20140220</v>
      </c>
      <c r="B6753" t="str">
        <f>"114315"</f>
        <v>114315</v>
      </c>
      <c r="C6753" t="str">
        <f>"84575"</f>
        <v>84575</v>
      </c>
      <c r="D6753" t="s">
        <v>1568</v>
      </c>
      <c r="E6753">
        <v>302.39999999999998</v>
      </c>
      <c r="F6753">
        <v>20140214</v>
      </c>
      <c r="G6753" t="s">
        <v>562</v>
      </c>
      <c r="H6753" t="s">
        <v>563</v>
      </c>
      <c r="I6753" t="s">
        <v>21</v>
      </c>
    </row>
    <row r="6754" spans="1:9" x14ac:dyDescent="0.25">
      <c r="A6754">
        <v>20140220</v>
      </c>
      <c r="B6754" t="str">
        <f>"114316"</f>
        <v>114316</v>
      </c>
      <c r="C6754" t="str">
        <f>"18025"</f>
        <v>18025</v>
      </c>
      <c r="D6754" t="s">
        <v>514</v>
      </c>
      <c r="E6754">
        <v>49.9</v>
      </c>
      <c r="F6754">
        <v>20140217</v>
      </c>
      <c r="G6754" t="s">
        <v>189</v>
      </c>
      <c r="H6754" t="s">
        <v>2336</v>
      </c>
      <c r="I6754" t="s">
        <v>25</v>
      </c>
    </row>
    <row r="6755" spans="1:9" x14ac:dyDescent="0.25">
      <c r="A6755">
        <v>20140220</v>
      </c>
      <c r="B6755" t="str">
        <f>"114317"</f>
        <v>114317</v>
      </c>
      <c r="C6755" t="str">
        <f>"83876"</f>
        <v>83876</v>
      </c>
      <c r="D6755" t="s">
        <v>1211</v>
      </c>
      <c r="E6755">
        <v>64.17</v>
      </c>
      <c r="F6755">
        <v>20140218</v>
      </c>
      <c r="G6755" t="s">
        <v>473</v>
      </c>
      <c r="H6755" t="s">
        <v>414</v>
      </c>
      <c r="I6755" t="s">
        <v>21</v>
      </c>
    </row>
    <row r="6756" spans="1:9" x14ac:dyDescent="0.25">
      <c r="A6756">
        <v>20140220</v>
      </c>
      <c r="B6756" t="str">
        <f>"114318"</f>
        <v>114318</v>
      </c>
      <c r="C6756" t="str">
        <f>"86743"</f>
        <v>86743</v>
      </c>
      <c r="D6756" t="s">
        <v>2833</v>
      </c>
      <c r="E6756">
        <v>211.75</v>
      </c>
      <c r="F6756">
        <v>20140218</v>
      </c>
      <c r="G6756" t="s">
        <v>1724</v>
      </c>
      <c r="H6756" t="s">
        <v>365</v>
      </c>
      <c r="I6756" t="s">
        <v>66</v>
      </c>
    </row>
    <row r="6757" spans="1:9" x14ac:dyDescent="0.25">
      <c r="A6757">
        <v>20140220</v>
      </c>
      <c r="B6757" t="str">
        <f>"114319"</f>
        <v>114319</v>
      </c>
      <c r="C6757" t="str">
        <f>"19875"</f>
        <v>19875</v>
      </c>
      <c r="D6757" t="s">
        <v>3374</v>
      </c>
      <c r="E6757">
        <v>898.45</v>
      </c>
      <c r="F6757">
        <v>20140219</v>
      </c>
      <c r="G6757" t="s">
        <v>329</v>
      </c>
      <c r="H6757" t="s">
        <v>921</v>
      </c>
      <c r="I6757" t="s">
        <v>25</v>
      </c>
    </row>
    <row r="6758" spans="1:9" x14ac:dyDescent="0.25">
      <c r="A6758">
        <v>20140220</v>
      </c>
      <c r="B6758" t="str">
        <f>"114320"</f>
        <v>114320</v>
      </c>
      <c r="C6758" t="str">
        <f>"87732"</f>
        <v>87732</v>
      </c>
      <c r="D6758" t="s">
        <v>3284</v>
      </c>
      <c r="E6758">
        <v>55.44</v>
      </c>
      <c r="F6758">
        <v>20140219</v>
      </c>
      <c r="G6758" t="s">
        <v>810</v>
      </c>
      <c r="H6758" t="s">
        <v>365</v>
      </c>
      <c r="I6758" t="s">
        <v>66</v>
      </c>
    </row>
    <row r="6759" spans="1:9" x14ac:dyDescent="0.25">
      <c r="A6759">
        <v>20140220</v>
      </c>
      <c r="B6759" t="str">
        <f>"114321"</f>
        <v>114321</v>
      </c>
      <c r="C6759" t="str">
        <f>"84257"</f>
        <v>84257</v>
      </c>
      <c r="D6759" t="s">
        <v>3229</v>
      </c>
      <c r="E6759">
        <v>144.86000000000001</v>
      </c>
      <c r="F6759">
        <v>20140214</v>
      </c>
      <c r="G6759" t="s">
        <v>240</v>
      </c>
      <c r="H6759" t="s">
        <v>354</v>
      </c>
      <c r="I6759" t="s">
        <v>38</v>
      </c>
    </row>
    <row r="6760" spans="1:9" x14ac:dyDescent="0.25">
      <c r="A6760">
        <v>20140220</v>
      </c>
      <c r="B6760" t="str">
        <f>"114322"</f>
        <v>114322</v>
      </c>
      <c r="C6760" t="str">
        <f>"23827"</f>
        <v>23827</v>
      </c>
      <c r="D6760" t="s">
        <v>528</v>
      </c>
      <c r="E6760">
        <v>466.68</v>
      </c>
      <c r="F6760">
        <v>20140218</v>
      </c>
      <c r="G6760" t="s">
        <v>1052</v>
      </c>
      <c r="H6760" t="s">
        <v>513</v>
      </c>
      <c r="I6760" t="s">
        <v>25</v>
      </c>
    </row>
    <row r="6761" spans="1:9" x14ac:dyDescent="0.25">
      <c r="A6761">
        <v>20140220</v>
      </c>
      <c r="B6761" t="str">
        <f>"114322"</f>
        <v>114322</v>
      </c>
      <c r="C6761" t="str">
        <f>"23827"</f>
        <v>23827</v>
      </c>
      <c r="D6761" t="s">
        <v>528</v>
      </c>
      <c r="E6761">
        <v>966.6</v>
      </c>
      <c r="F6761">
        <v>20140218</v>
      </c>
      <c r="G6761" t="s">
        <v>1193</v>
      </c>
      <c r="H6761" t="s">
        <v>3375</v>
      </c>
      <c r="I6761" t="s">
        <v>25</v>
      </c>
    </row>
    <row r="6762" spans="1:9" x14ac:dyDescent="0.25">
      <c r="A6762">
        <v>20140220</v>
      </c>
      <c r="B6762" t="str">
        <f>"114322"</f>
        <v>114322</v>
      </c>
      <c r="C6762" t="str">
        <f>"23827"</f>
        <v>23827</v>
      </c>
      <c r="D6762" t="s">
        <v>528</v>
      </c>
      <c r="E6762">
        <v>48</v>
      </c>
      <c r="F6762">
        <v>20140218</v>
      </c>
      <c r="G6762" t="s">
        <v>1193</v>
      </c>
      <c r="H6762" t="s">
        <v>3375</v>
      </c>
      <c r="I6762" t="s">
        <v>25</v>
      </c>
    </row>
    <row r="6763" spans="1:9" x14ac:dyDescent="0.25">
      <c r="A6763">
        <v>20140220</v>
      </c>
      <c r="B6763" t="str">
        <f>"114323"</f>
        <v>114323</v>
      </c>
      <c r="C6763" t="str">
        <f>"24575"</f>
        <v>24575</v>
      </c>
      <c r="D6763" t="s">
        <v>2658</v>
      </c>
      <c r="E6763">
        <v>153.25</v>
      </c>
      <c r="F6763">
        <v>20140213</v>
      </c>
      <c r="G6763" t="s">
        <v>1071</v>
      </c>
      <c r="H6763" t="s">
        <v>3376</v>
      </c>
      <c r="I6763" t="s">
        <v>21</v>
      </c>
    </row>
    <row r="6764" spans="1:9" x14ac:dyDescent="0.25">
      <c r="A6764">
        <v>20140220</v>
      </c>
      <c r="B6764" t="str">
        <f>"114324"</f>
        <v>114324</v>
      </c>
      <c r="C6764" t="str">
        <f>"24700"</f>
        <v>24700</v>
      </c>
      <c r="D6764" t="s">
        <v>2157</v>
      </c>
      <c r="E6764">
        <v>33.69</v>
      </c>
      <c r="F6764">
        <v>20140214</v>
      </c>
      <c r="G6764" t="s">
        <v>834</v>
      </c>
      <c r="H6764" t="s">
        <v>3377</v>
      </c>
      <c r="I6764" t="s">
        <v>21</v>
      </c>
    </row>
    <row r="6765" spans="1:9" x14ac:dyDescent="0.25">
      <c r="A6765">
        <v>20140220</v>
      </c>
      <c r="B6765" t="str">
        <f>"114325"</f>
        <v>114325</v>
      </c>
      <c r="C6765" t="str">
        <f>"87741"</f>
        <v>87741</v>
      </c>
      <c r="D6765" t="s">
        <v>3378</v>
      </c>
      <c r="E6765">
        <v>228.86</v>
      </c>
      <c r="F6765">
        <v>20140219</v>
      </c>
      <c r="G6765" t="s">
        <v>2365</v>
      </c>
      <c r="H6765" t="s">
        <v>513</v>
      </c>
      <c r="I6765" t="s">
        <v>25</v>
      </c>
    </row>
    <row r="6766" spans="1:9" x14ac:dyDescent="0.25">
      <c r="A6766">
        <v>20140220</v>
      </c>
      <c r="B6766" t="str">
        <f>"114326"</f>
        <v>114326</v>
      </c>
      <c r="C6766" t="str">
        <f>"87747"</f>
        <v>87747</v>
      </c>
      <c r="D6766" t="s">
        <v>3379</v>
      </c>
      <c r="E6766">
        <v>247.5</v>
      </c>
      <c r="F6766">
        <v>20140217</v>
      </c>
      <c r="G6766" t="s">
        <v>758</v>
      </c>
      <c r="H6766" t="s">
        <v>1955</v>
      </c>
      <c r="I6766" t="s">
        <v>21</v>
      </c>
    </row>
    <row r="6767" spans="1:9" x14ac:dyDescent="0.25">
      <c r="A6767">
        <v>20140220</v>
      </c>
      <c r="B6767" t="str">
        <f>"114326"</f>
        <v>114326</v>
      </c>
      <c r="C6767" t="str">
        <f>"87747"</f>
        <v>87747</v>
      </c>
      <c r="D6767" t="s">
        <v>3379</v>
      </c>
      <c r="E6767">
        <v>683.1</v>
      </c>
      <c r="F6767">
        <v>20140217</v>
      </c>
      <c r="G6767" t="s">
        <v>758</v>
      </c>
      <c r="H6767" t="s">
        <v>1955</v>
      </c>
      <c r="I6767" t="s">
        <v>21</v>
      </c>
    </row>
    <row r="6768" spans="1:9" x14ac:dyDescent="0.25">
      <c r="A6768">
        <v>20140220</v>
      </c>
      <c r="B6768" t="str">
        <f>"114326"</f>
        <v>114326</v>
      </c>
      <c r="C6768" t="str">
        <f>"87747"</f>
        <v>87747</v>
      </c>
      <c r="D6768" t="s">
        <v>3379</v>
      </c>
      <c r="E6768">
        <v>247.5</v>
      </c>
      <c r="F6768">
        <v>20140217</v>
      </c>
      <c r="G6768" t="s">
        <v>758</v>
      </c>
      <c r="H6768" t="s">
        <v>1955</v>
      </c>
      <c r="I6768" t="s">
        <v>21</v>
      </c>
    </row>
    <row r="6769" spans="1:9" x14ac:dyDescent="0.25">
      <c r="A6769">
        <v>20140220</v>
      </c>
      <c r="B6769" t="str">
        <f>"114326"</f>
        <v>114326</v>
      </c>
      <c r="C6769" t="str">
        <f>"87747"</f>
        <v>87747</v>
      </c>
      <c r="D6769" t="s">
        <v>3379</v>
      </c>
      <c r="E6769">
        <v>683.89</v>
      </c>
      <c r="F6769">
        <v>20140217</v>
      </c>
      <c r="G6769" t="s">
        <v>758</v>
      </c>
      <c r="H6769" t="s">
        <v>1955</v>
      </c>
      <c r="I6769" t="s">
        <v>21</v>
      </c>
    </row>
    <row r="6770" spans="1:9" x14ac:dyDescent="0.25">
      <c r="A6770">
        <v>20140220</v>
      </c>
      <c r="B6770" t="str">
        <f>"114327"</f>
        <v>114327</v>
      </c>
      <c r="C6770" t="str">
        <f>"82740"</f>
        <v>82740</v>
      </c>
      <c r="D6770" t="s">
        <v>2502</v>
      </c>
      <c r="E6770">
        <v>186.95</v>
      </c>
      <c r="F6770">
        <v>20140218</v>
      </c>
      <c r="G6770" t="s">
        <v>2469</v>
      </c>
      <c r="H6770" t="s">
        <v>365</v>
      </c>
      <c r="I6770" t="s">
        <v>21</v>
      </c>
    </row>
    <row r="6771" spans="1:9" x14ac:dyDescent="0.25">
      <c r="A6771">
        <v>20140220</v>
      </c>
      <c r="B6771" t="str">
        <f>"114328"</f>
        <v>114328</v>
      </c>
      <c r="C6771" t="str">
        <f>"27200"</f>
        <v>27200</v>
      </c>
      <c r="D6771" t="s">
        <v>1411</v>
      </c>
      <c r="E6771">
        <v>126.75</v>
      </c>
      <c r="F6771">
        <v>20140219</v>
      </c>
      <c r="G6771" t="s">
        <v>971</v>
      </c>
      <c r="H6771" t="s">
        <v>3380</v>
      </c>
      <c r="I6771" t="s">
        <v>21</v>
      </c>
    </row>
    <row r="6772" spans="1:9" x14ac:dyDescent="0.25">
      <c r="A6772">
        <v>20140220</v>
      </c>
      <c r="B6772" t="str">
        <f>"114328"</f>
        <v>114328</v>
      </c>
      <c r="C6772" t="str">
        <f>"27200"</f>
        <v>27200</v>
      </c>
      <c r="D6772" t="s">
        <v>1411</v>
      </c>
      <c r="E6772">
        <v>2.75</v>
      </c>
      <c r="F6772">
        <v>20140219</v>
      </c>
      <c r="G6772" t="s">
        <v>1911</v>
      </c>
      <c r="H6772" t="s">
        <v>3380</v>
      </c>
      <c r="I6772" t="s">
        <v>21</v>
      </c>
    </row>
    <row r="6773" spans="1:9" x14ac:dyDescent="0.25">
      <c r="A6773">
        <v>20140220</v>
      </c>
      <c r="B6773" t="str">
        <f>"114329"</f>
        <v>114329</v>
      </c>
      <c r="C6773" t="str">
        <f>"83698"</f>
        <v>83698</v>
      </c>
      <c r="D6773" t="s">
        <v>3381</v>
      </c>
      <c r="E6773">
        <v>27.72</v>
      </c>
      <c r="F6773">
        <v>20140218</v>
      </c>
      <c r="G6773" t="s">
        <v>1738</v>
      </c>
      <c r="H6773" t="s">
        <v>563</v>
      </c>
      <c r="I6773" t="s">
        <v>21</v>
      </c>
    </row>
    <row r="6774" spans="1:9" x14ac:dyDescent="0.25">
      <c r="A6774">
        <v>20140220</v>
      </c>
      <c r="B6774" t="str">
        <f>"114330"</f>
        <v>114330</v>
      </c>
      <c r="C6774" t="str">
        <f>"28015"</f>
        <v>28015</v>
      </c>
      <c r="D6774" t="s">
        <v>1234</v>
      </c>
      <c r="E6774">
        <v>206.01</v>
      </c>
      <c r="F6774">
        <v>20140219</v>
      </c>
      <c r="G6774" t="s">
        <v>789</v>
      </c>
      <c r="H6774" t="s">
        <v>921</v>
      </c>
      <c r="I6774" t="s">
        <v>61</v>
      </c>
    </row>
    <row r="6775" spans="1:9" x14ac:dyDescent="0.25">
      <c r="A6775">
        <v>20140220</v>
      </c>
      <c r="B6775" t="str">
        <f>"114330"</f>
        <v>114330</v>
      </c>
      <c r="C6775" t="str">
        <f>"28015"</f>
        <v>28015</v>
      </c>
      <c r="D6775" t="s">
        <v>1234</v>
      </c>
      <c r="E6775">
        <v>206.01</v>
      </c>
      <c r="F6775">
        <v>20140219</v>
      </c>
      <c r="G6775" t="s">
        <v>364</v>
      </c>
      <c r="H6775" t="s">
        <v>921</v>
      </c>
      <c r="I6775" t="s">
        <v>21</v>
      </c>
    </row>
    <row r="6776" spans="1:9" x14ac:dyDescent="0.25">
      <c r="A6776">
        <v>20140220</v>
      </c>
      <c r="B6776" t="str">
        <f>"114331"</f>
        <v>114331</v>
      </c>
      <c r="C6776" t="str">
        <f>"87758"</f>
        <v>87758</v>
      </c>
      <c r="D6776" t="s">
        <v>3382</v>
      </c>
      <c r="E6776" s="1">
        <v>5101</v>
      </c>
      <c r="F6776">
        <v>20140219</v>
      </c>
      <c r="G6776" t="s">
        <v>191</v>
      </c>
      <c r="H6776" t="s">
        <v>3383</v>
      </c>
      <c r="I6776" t="s">
        <v>25</v>
      </c>
    </row>
    <row r="6777" spans="1:9" x14ac:dyDescent="0.25">
      <c r="A6777">
        <v>20140220</v>
      </c>
      <c r="B6777" t="str">
        <f>"114332"</f>
        <v>114332</v>
      </c>
      <c r="C6777" t="str">
        <f>"81292"</f>
        <v>81292</v>
      </c>
      <c r="D6777" t="s">
        <v>1417</v>
      </c>
      <c r="E6777">
        <v>27.66</v>
      </c>
      <c r="F6777">
        <v>20140214</v>
      </c>
      <c r="G6777" t="s">
        <v>140</v>
      </c>
      <c r="H6777" t="s">
        <v>414</v>
      </c>
      <c r="I6777" t="s">
        <v>25</v>
      </c>
    </row>
    <row r="6778" spans="1:9" x14ac:dyDescent="0.25">
      <c r="A6778">
        <v>20140220</v>
      </c>
      <c r="B6778" t="str">
        <f t="shared" ref="B6778:B6785" si="427">"114333"</f>
        <v>114333</v>
      </c>
      <c r="C6778" t="str">
        <f t="shared" ref="C6778:C6785" si="428">"30000"</f>
        <v>30000</v>
      </c>
      <c r="D6778" t="s">
        <v>556</v>
      </c>
      <c r="E6778" s="1">
        <v>1890</v>
      </c>
      <c r="F6778">
        <v>20140214</v>
      </c>
      <c r="G6778" t="s">
        <v>579</v>
      </c>
      <c r="H6778" t="s">
        <v>3384</v>
      </c>
      <c r="I6778" t="s">
        <v>21</v>
      </c>
    </row>
    <row r="6779" spans="1:9" x14ac:dyDescent="0.25">
      <c r="A6779">
        <v>20140220</v>
      </c>
      <c r="B6779" t="str">
        <f t="shared" si="427"/>
        <v>114333</v>
      </c>
      <c r="C6779" t="str">
        <f t="shared" si="428"/>
        <v>30000</v>
      </c>
      <c r="D6779" t="s">
        <v>556</v>
      </c>
      <c r="E6779">
        <v>95.87</v>
      </c>
      <c r="F6779">
        <v>20140214</v>
      </c>
      <c r="G6779" t="s">
        <v>583</v>
      </c>
      <c r="H6779" t="s">
        <v>3385</v>
      </c>
      <c r="I6779" t="s">
        <v>21</v>
      </c>
    </row>
    <row r="6780" spans="1:9" x14ac:dyDescent="0.25">
      <c r="A6780">
        <v>20140220</v>
      </c>
      <c r="B6780" t="str">
        <f t="shared" si="427"/>
        <v>114333</v>
      </c>
      <c r="C6780" t="str">
        <f t="shared" si="428"/>
        <v>30000</v>
      </c>
      <c r="D6780" t="s">
        <v>556</v>
      </c>
      <c r="E6780">
        <v>207.65</v>
      </c>
      <c r="F6780">
        <v>20140219</v>
      </c>
      <c r="G6780" t="s">
        <v>1071</v>
      </c>
      <c r="H6780" t="s">
        <v>3386</v>
      </c>
      <c r="I6780" t="s">
        <v>21</v>
      </c>
    </row>
    <row r="6781" spans="1:9" x14ac:dyDescent="0.25">
      <c r="A6781">
        <v>20140220</v>
      </c>
      <c r="B6781" t="str">
        <f t="shared" si="427"/>
        <v>114333</v>
      </c>
      <c r="C6781" t="str">
        <f t="shared" si="428"/>
        <v>30000</v>
      </c>
      <c r="D6781" t="s">
        <v>556</v>
      </c>
      <c r="E6781">
        <v>154.31</v>
      </c>
      <c r="F6781">
        <v>20140214</v>
      </c>
      <c r="G6781" t="s">
        <v>1649</v>
      </c>
      <c r="H6781" t="s">
        <v>3387</v>
      </c>
      <c r="I6781" t="s">
        <v>21</v>
      </c>
    </row>
    <row r="6782" spans="1:9" x14ac:dyDescent="0.25">
      <c r="A6782">
        <v>20140220</v>
      </c>
      <c r="B6782" t="str">
        <f t="shared" si="427"/>
        <v>114333</v>
      </c>
      <c r="C6782" t="str">
        <f t="shared" si="428"/>
        <v>30000</v>
      </c>
      <c r="D6782" t="s">
        <v>556</v>
      </c>
      <c r="E6782">
        <v>58.76</v>
      </c>
      <c r="F6782">
        <v>20140219</v>
      </c>
      <c r="G6782" t="s">
        <v>1010</v>
      </c>
      <c r="H6782" t="s">
        <v>839</v>
      </c>
      <c r="I6782" t="s">
        <v>21</v>
      </c>
    </row>
    <row r="6783" spans="1:9" x14ac:dyDescent="0.25">
      <c r="A6783">
        <v>20140220</v>
      </c>
      <c r="B6783" t="str">
        <f t="shared" si="427"/>
        <v>114333</v>
      </c>
      <c r="C6783" t="str">
        <f t="shared" si="428"/>
        <v>30000</v>
      </c>
      <c r="D6783" t="s">
        <v>556</v>
      </c>
      <c r="E6783">
        <v>127.99</v>
      </c>
      <c r="F6783">
        <v>20140213</v>
      </c>
      <c r="G6783" t="s">
        <v>585</v>
      </c>
      <c r="H6783" t="s">
        <v>3388</v>
      </c>
      <c r="I6783" t="s">
        <v>21</v>
      </c>
    </row>
    <row r="6784" spans="1:9" x14ac:dyDescent="0.25">
      <c r="A6784">
        <v>20140220</v>
      </c>
      <c r="B6784" t="str">
        <f t="shared" si="427"/>
        <v>114333</v>
      </c>
      <c r="C6784" t="str">
        <f t="shared" si="428"/>
        <v>30000</v>
      </c>
      <c r="D6784" t="s">
        <v>556</v>
      </c>
      <c r="E6784">
        <v>182.43</v>
      </c>
      <c r="F6784">
        <v>20140219</v>
      </c>
      <c r="G6784" t="s">
        <v>840</v>
      </c>
      <c r="H6784" t="s">
        <v>3389</v>
      </c>
      <c r="I6784" t="s">
        <v>21</v>
      </c>
    </row>
    <row r="6785" spans="1:9" x14ac:dyDescent="0.25">
      <c r="A6785">
        <v>20140220</v>
      </c>
      <c r="B6785" t="str">
        <f t="shared" si="427"/>
        <v>114333</v>
      </c>
      <c r="C6785" t="str">
        <f t="shared" si="428"/>
        <v>30000</v>
      </c>
      <c r="D6785" t="s">
        <v>556</v>
      </c>
      <c r="E6785">
        <v>177.67</v>
      </c>
      <c r="F6785">
        <v>20140219</v>
      </c>
      <c r="G6785" t="s">
        <v>1679</v>
      </c>
      <c r="H6785" t="s">
        <v>3390</v>
      </c>
      <c r="I6785" t="s">
        <v>25</v>
      </c>
    </row>
    <row r="6786" spans="1:9" x14ac:dyDescent="0.25">
      <c r="A6786">
        <v>20140220</v>
      </c>
      <c r="B6786" t="str">
        <f>"114334"</f>
        <v>114334</v>
      </c>
      <c r="C6786" t="str">
        <f>"81836"</f>
        <v>81836</v>
      </c>
      <c r="D6786" t="s">
        <v>3391</v>
      </c>
      <c r="E6786">
        <v>138.03</v>
      </c>
      <c r="F6786">
        <v>20140214</v>
      </c>
      <c r="G6786" t="s">
        <v>1721</v>
      </c>
      <c r="H6786" t="s">
        <v>365</v>
      </c>
      <c r="I6786" t="s">
        <v>21</v>
      </c>
    </row>
    <row r="6787" spans="1:9" x14ac:dyDescent="0.25">
      <c r="A6787">
        <v>20140220</v>
      </c>
      <c r="B6787" t="str">
        <f>"114335"</f>
        <v>114335</v>
      </c>
      <c r="C6787" t="str">
        <f>"30500"</f>
        <v>30500</v>
      </c>
      <c r="D6787" t="s">
        <v>2682</v>
      </c>
      <c r="E6787">
        <v>125</v>
      </c>
      <c r="F6787">
        <v>20140219</v>
      </c>
      <c r="G6787" t="s">
        <v>2639</v>
      </c>
      <c r="H6787" t="s">
        <v>3392</v>
      </c>
      <c r="I6787" t="s">
        <v>21</v>
      </c>
    </row>
    <row r="6788" spans="1:9" x14ac:dyDescent="0.25">
      <c r="A6788">
        <v>20140220</v>
      </c>
      <c r="B6788" t="str">
        <f>"114336"</f>
        <v>114336</v>
      </c>
      <c r="C6788" t="str">
        <f>"87750"</f>
        <v>87750</v>
      </c>
      <c r="D6788" t="s">
        <v>3393</v>
      </c>
      <c r="E6788">
        <v>305.25</v>
      </c>
      <c r="F6788">
        <v>20140219</v>
      </c>
      <c r="G6788" t="s">
        <v>126</v>
      </c>
      <c r="H6788" t="s">
        <v>3394</v>
      </c>
      <c r="I6788" t="s">
        <v>25</v>
      </c>
    </row>
    <row r="6789" spans="1:9" x14ac:dyDescent="0.25">
      <c r="A6789">
        <v>20140220</v>
      </c>
      <c r="B6789" t="str">
        <f>"114337"</f>
        <v>114337</v>
      </c>
      <c r="C6789" t="str">
        <f>"31570"</f>
        <v>31570</v>
      </c>
      <c r="D6789" t="s">
        <v>1244</v>
      </c>
      <c r="E6789">
        <v>98.75</v>
      </c>
      <c r="F6789">
        <v>20140214</v>
      </c>
      <c r="G6789" t="s">
        <v>140</v>
      </c>
      <c r="H6789" t="s">
        <v>414</v>
      </c>
      <c r="I6789" t="s">
        <v>25</v>
      </c>
    </row>
    <row r="6790" spans="1:9" x14ac:dyDescent="0.25">
      <c r="A6790">
        <v>20140220</v>
      </c>
      <c r="B6790" t="str">
        <f>"114338"</f>
        <v>114338</v>
      </c>
      <c r="C6790" t="str">
        <f>"87746"</f>
        <v>87746</v>
      </c>
      <c r="D6790" t="s">
        <v>3395</v>
      </c>
      <c r="E6790">
        <v>64.17</v>
      </c>
      <c r="F6790">
        <v>20140214</v>
      </c>
      <c r="G6790" t="s">
        <v>562</v>
      </c>
      <c r="H6790" t="s">
        <v>365</v>
      </c>
      <c r="I6790" t="s">
        <v>21</v>
      </c>
    </row>
    <row r="6791" spans="1:9" x14ac:dyDescent="0.25">
      <c r="A6791">
        <v>20140220</v>
      </c>
      <c r="B6791" t="str">
        <f>"114339"</f>
        <v>114339</v>
      </c>
      <c r="C6791" t="str">
        <f>"87754"</f>
        <v>87754</v>
      </c>
      <c r="D6791" t="s">
        <v>3396</v>
      </c>
      <c r="E6791">
        <v>143.13999999999999</v>
      </c>
      <c r="F6791">
        <v>20140219</v>
      </c>
      <c r="G6791" t="s">
        <v>1846</v>
      </c>
      <c r="H6791" t="s">
        <v>765</v>
      </c>
      <c r="I6791" t="s">
        <v>63</v>
      </c>
    </row>
    <row r="6792" spans="1:9" x14ac:dyDescent="0.25">
      <c r="A6792">
        <v>20140220</v>
      </c>
      <c r="B6792" t="str">
        <f>"114340"</f>
        <v>114340</v>
      </c>
      <c r="C6792" t="str">
        <f>"33200"</f>
        <v>33200</v>
      </c>
      <c r="D6792" t="s">
        <v>863</v>
      </c>
      <c r="E6792">
        <v>65.010000000000005</v>
      </c>
      <c r="F6792">
        <v>20140219</v>
      </c>
      <c r="G6792" t="s">
        <v>864</v>
      </c>
      <c r="H6792" t="s">
        <v>354</v>
      </c>
      <c r="I6792" t="s">
        <v>21</v>
      </c>
    </row>
    <row r="6793" spans="1:9" x14ac:dyDescent="0.25">
      <c r="A6793">
        <v>20140220</v>
      </c>
      <c r="B6793" t="str">
        <f>"114341"</f>
        <v>114341</v>
      </c>
      <c r="C6793" t="str">
        <f>"87751"</f>
        <v>87751</v>
      </c>
      <c r="D6793" t="s">
        <v>3397</v>
      </c>
      <c r="E6793">
        <v>128.52000000000001</v>
      </c>
      <c r="F6793">
        <v>20140218</v>
      </c>
      <c r="G6793" t="s">
        <v>3099</v>
      </c>
      <c r="H6793" t="s">
        <v>765</v>
      </c>
      <c r="I6793" t="s">
        <v>61</v>
      </c>
    </row>
    <row r="6794" spans="1:9" x14ac:dyDescent="0.25">
      <c r="A6794">
        <v>20140220</v>
      </c>
      <c r="B6794" t="str">
        <f>"114342"</f>
        <v>114342</v>
      </c>
      <c r="C6794" t="str">
        <f>"33590"</f>
        <v>33590</v>
      </c>
      <c r="D6794" t="s">
        <v>1754</v>
      </c>
      <c r="E6794">
        <v>192.1</v>
      </c>
      <c r="F6794">
        <v>20140219</v>
      </c>
      <c r="G6794" t="s">
        <v>3398</v>
      </c>
      <c r="H6794" t="s">
        <v>921</v>
      </c>
      <c r="I6794" t="s">
        <v>21</v>
      </c>
    </row>
    <row r="6795" spans="1:9" x14ac:dyDescent="0.25">
      <c r="A6795">
        <v>20140220</v>
      </c>
      <c r="B6795" t="str">
        <f>"114343"</f>
        <v>114343</v>
      </c>
      <c r="C6795" t="str">
        <f>"35817"</f>
        <v>35817</v>
      </c>
      <c r="D6795" t="s">
        <v>600</v>
      </c>
      <c r="E6795">
        <v>19.62</v>
      </c>
      <c r="F6795">
        <v>20140214</v>
      </c>
      <c r="G6795" t="s">
        <v>601</v>
      </c>
      <c r="H6795" t="s">
        <v>563</v>
      </c>
      <c r="I6795" t="s">
        <v>21</v>
      </c>
    </row>
    <row r="6796" spans="1:9" x14ac:dyDescent="0.25">
      <c r="A6796">
        <v>20140220</v>
      </c>
      <c r="B6796" t="str">
        <f>"114344"</f>
        <v>114344</v>
      </c>
      <c r="C6796" t="str">
        <f>"87363"</f>
        <v>87363</v>
      </c>
      <c r="D6796" t="s">
        <v>3355</v>
      </c>
      <c r="E6796">
        <v>158.80000000000001</v>
      </c>
      <c r="F6796">
        <v>20140217</v>
      </c>
      <c r="G6796" t="s">
        <v>189</v>
      </c>
      <c r="H6796" t="s">
        <v>3399</v>
      </c>
      <c r="I6796" t="s">
        <v>25</v>
      </c>
    </row>
    <row r="6797" spans="1:9" x14ac:dyDescent="0.25">
      <c r="A6797">
        <v>20140220</v>
      </c>
      <c r="B6797" t="str">
        <f>"114345"</f>
        <v>114345</v>
      </c>
      <c r="C6797" t="str">
        <f>"00268"</f>
        <v>00268</v>
      </c>
      <c r="D6797" t="s">
        <v>1878</v>
      </c>
      <c r="E6797" s="1">
        <v>1370.8</v>
      </c>
      <c r="F6797">
        <v>20140218</v>
      </c>
      <c r="G6797" t="s">
        <v>3400</v>
      </c>
      <c r="H6797" t="s">
        <v>921</v>
      </c>
      <c r="I6797" t="s">
        <v>21</v>
      </c>
    </row>
    <row r="6798" spans="1:9" x14ac:dyDescent="0.25">
      <c r="A6798">
        <v>20140220</v>
      </c>
      <c r="B6798" t="str">
        <f>"114345"</f>
        <v>114345</v>
      </c>
      <c r="C6798" t="str">
        <f>"00268"</f>
        <v>00268</v>
      </c>
      <c r="D6798" t="s">
        <v>1878</v>
      </c>
      <c r="E6798" s="1">
        <v>-1370.8</v>
      </c>
      <c r="F6798">
        <v>20140227</v>
      </c>
      <c r="G6798" t="s">
        <v>3400</v>
      </c>
      <c r="H6798" t="s">
        <v>3341</v>
      </c>
      <c r="I6798" t="s">
        <v>21</v>
      </c>
    </row>
    <row r="6799" spans="1:9" x14ac:dyDescent="0.25">
      <c r="A6799">
        <v>20140220</v>
      </c>
      <c r="B6799" t="str">
        <f>"114346"</f>
        <v>114346</v>
      </c>
      <c r="C6799" t="str">
        <f>"37565"</f>
        <v>37565</v>
      </c>
      <c r="D6799" t="s">
        <v>609</v>
      </c>
      <c r="E6799">
        <v>266</v>
      </c>
      <c r="F6799">
        <v>20140214</v>
      </c>
      <c r="G6799" t="s">
        <v>1635</v>
      </c>
      <c r="H6799" t="s">
        <v>3401</v>
      </c>
      <c r="I6799" t="s">
        <v>21</v>
      </c>
    </row>
    <row r="6800" spans="1:9" x14ac:dyDescent="0.25">
      <c r="A6800">
        <v>20140220</v>
      </c>
      <c r="B6800" t="str">
        <f>"114347"</f>
        <v>114347</v>
      </c>
      <c r="C6800" t="str">
        <f>"83362"</f>
        <v>83362</v>
      </c>
      <c r="D6800" t="s">
        <v>1443</v>
      </c>
      <c r="E6800">
        <v>267.43</v>
      </c>
      <c r="F6800">
        <v>20140213</v>
      </c>
      <c r="G6800" t="s">
        <v>577</v>
      </c>
      <c r="H6800" t="s">
        <v>3402</v>
      </c>
      <c r="I6800" t="s">
        <v>21</v>
      </c>
    </row>
    <row r="6801" spans="1:9" x14ac:dyDescent="0.25">
      <c r="A6801">
        <v>20140220</v>
      </c>
      <c r="B6801" t="str">
        <f>"114348"</f>
        <v>114348</v>
      </c>
      <c r="C6801" t="str">
        <f>"86459"</f>
        <v>86459</v>
      </c>
      <c r="D6801" t="s">
        <v>881</v>
      </c>
      <c r="E6801" s="1">
        <v>2950</v>
      </c>
      <c r="F6801">
        <v>20140214</v>
      </c>
      <c r="G6801" t="s">
        <v>1200</v>
      </c>
      <c r="H6801" t="s">
        <v>3403</v>
      </c>
      <c r="I6801" t="s">
        <v>61</v>
      </c>
    </row>
    <row r="6802" spans="1:9" x14ac:dyDescent="0.25">
      <c r="A6802">
        <v>20140220</v>
      </c>
      <c r="B6802" t="str">
        <f>"114348"</f>
        <v>114348</v>
      </c>
      <c r="C6802" t="str">
        <f>"86459"</f>
        <v>86459</v>
      </c>
      <c r="D6802" t="s">
        <v>881</v>
      </c>
      <c r="E6802" s="1">
        <v>2668</v>
      </c>
      <c r="F6802">
        <v>20140214</v>
      </c>
      <c r="G6802" t="s">
        <v>1200</v>
      </c>
      <c r="H6802" t="s">
        <v>3404</v>
      </c>
      <c r="I6802" t="s">
        <v>61</v>
      </c>
    </row>
    <row r="6803" spans="1:9" x14ac:dyDescent="0.25">
      <c r="A6803">
        <v>20140220</v>
      </c>
      <c r="B6803" t="str">
        <f>"114348"</f>
        <v>114348</v>
      </c>
      <c r="C6803" t="str">
        <f>"86459"</f>
        <v>86459</v>
      </c>
      <c r="D6803" t="s">
        <v>881</v>
      </c>
      <c r="E6803" s="1">
        <v>3884</v>
      </c>
      <c r="F6803">
        <v>20140214</v>
      </c>
      <c r="G6803" t="s">
        <v>3075</v>
      </c>
      <c r="H6803" t="s">
        <v>3405</v>
      </c>
      <c r="I6803" t="s">
        <v>61</v>
      </c>
    </row>
    <row r="6804" spans="1:9" x14ac:dyDescent="0.25">
      <c r="A6804">
        <v>20140220</v>
      </c>
      <c r="B6804" t="str">
        <f>"114348"</f>
        <v>114348</v>
      </c>
      <c r="C6804" t="str">
        <f>"86459"</f>
        <v>86459</v>
      </c>
      <c r="D6804" t="s">
        <v>881</v>
      </c>
      <c r="E6804" s="1">
        <v>2388</v>
      </c>
      <c r="F6804">
        <v>20140214</v>
      </c>
      <c r="G6804" t="s">
        <v>3406</v>
      </c>
      <c r="H6804" t="s">
        <v>3407</v>
      </c>
      <c r="I6804" t="s">
        <v>61</v>
      </c>
    </row>
    <row r="6805" spans="1:9" x14ac:dyDescent="0.25">
      <c r="A6805">
        <v>20140220</v>
      </c>
      <c r="B6805" t="str">
        <f>"114348"</f>
        <v>114348</v>
      </c>
      <c r="C6805" t="str">
        <f>"86459"</f>
        <v>86459</v>
      </c>
      <c r="D6805" t="s">
        <v>881</v>
      </c>
      <c r="E6805">
        <v>56</v>
      </c>
      <c r="F6805">
        <v>20140214</v>
      </c>
      <c r="G6805" t="s">
        <v>2910</v>
      </c>
      <c r="H6805" t="s">
        <v>3408</v>
      </c>
      <c r="I6805" t="s">
        <v>61</v>
      </c>
    </row>
    <row r="6806" spans="1:9" x14ac:dyDescent="0.25">
      <c r="A6806">
        <v>20140220</v>
      </c>
      <c r="B6806" t="str">
        <f>"114349"</f>
        <v>114349</v>
      </c>
      <c r="C6806" t="str">
        <f>"85876"</f>
        <v>85876</v>
      </c>
      <c r="D6806" t="s">
        <v>3044</v>
      </c>
      <c r="E6806">
        <v>11.94</v>
      </c>
      <c r="F6806">
        <v>20140219</v>
      </c>
      <c r="G6806" t="s">
        <v>1981</v>
      </c>
      <c r="H6806" t="s">
        <v>354</v>
      </c>
      <c r="I6806" t="s">
        <v>38</v>
      </c>
    </row>
    <row r="6807" spans="1:9" x14ac:dyDescent="0.25">
      <c r="A6807">
        <v>20140220</v>
      </c>
      <c r="B6807" t="str">
        <f>"114350"</f>
        <v>114350</v>
      </c>
      <c r="C6807" t="str">
        <f>"87757"</f>
        <v>87757</v>
      </c>
      <c r="D6807" t="s">
        <v>3409</v>
      </c>
      <c r="E6807">
        <v>370</v>
      </c>
      <c r="F6807">
        <v>20140219</v>
      </c>
      <c r="G6807" t="s">
        <v>347</v>
      </c>
      <c r="H6807" t="s">
        <v>361</v>
      </c>
      <c r="I6807" t="s">
        <v>61</v>
      </c>
    </row>
    <row r="6808" spans="1:9" x14ac:dyDescent="0.25">
      <c r="A6808">
        <v>20140220</v>
      </c>
      <c r="B6808" t="str">
        <f>"114351"</f>
        <v>114351</v>
      </c>
      <c r="C6808" t="str">
        <f>"86871"</f>
        <v>86871</v>
      </c>
      <c r="D6808" t="s">
        <v>3410</v>
      </c>
      <c r="E6808" s="1">
        <v>2450</v>
      </c>
      <c r="F6808">
        <v>20140214</v>
      </c>
      <c r="G6808" t="s">
        <v>2966</v>
      </c>
      <c r="H6808" t="s">
        <v>3411</v>
      </c>
      <c r="I6808" t="s">
        <v>73</v>
      </c>
    </row>
    <row r="6809" spans="1:9" x14ac:dyDescent="0.25">
      <c r="A6809">
        <v>20140220</v>
      </c>
      <c r="B6809" t="str">
        <f>"114352"</f>
        <v>114352</v>
      </c>
      <c r="C6809" t="str">
        <f>"86767"</f>
        <v>86767</v>
      </c>
      <c r="D6809" t="s">
        <v>1458</v>
      </c>
      <c r="E6809">
        <v>35.19</v>
      </c>
      <c r="F6809">
        <v>20140218</v>
      </c>
      <c r="G6809" t="s">
        <v>601</v>
      </c>
      <c r="H6809" t="s">
        <v>563</v>
      </c>
      <c r="I6809" t="s">
        <v>21</v>
      </c>
    </row>
    <row r="6810" spans="1:9" x14ac:dyDescent="0.25">
      <c r="A6810">
        <v>20140220</v>
      </c>
      <c r="B6810" t="str">
        <f>"114353"</f>
        <v>114353</v>
      </c>
      <c r="C6810" t="str">
        <f>"84876"</f>
        <v>84876</v>
      </c>
      <c r="D6810" t="s">
        <v>1259</v>
      </c>
      <c r="E6810" s="1">
        <v>1081.49</v>
      </c>
      <c r="F6810">
        <v>20140217</v>
      </c>
      <c r="G6810" t="s">
        <v>1067</v>
      </c>
      <c r="H6810" t="s">
        <v>3412</v>
      </c>
      <c r="I6810" t="s">
        <v>21</v>
      </c>
    </row>
    <row r="6811" spans="1:9" x14ac:dyDescent="0.25">
      <c r="A6811">
        <v>20140220</v>
      </c>
      <c r="B6811" t="str">
        <f>"114353"</f>
        <v>114353</v>
      </c>
      <c r="C6811" t="str">
        <f>"84876"</f>
        <v>84876</v>
      </c>
      <c r="D6811" t="s">
        <v>1259</v>
      </c>
      <c r="E6811" s="1">
        <v>2276.14</v>
      </c>
      <c r="F6811">
        <v>20140217</v>
      </c>
      <c r="G6811" t="s">
        <v>1064</v>
      </c>
      <c r="H6811" t="s">
        <v>3413</v>
      </c>
      <c r="I6811" t="s">
        <v>21</v>
      </c>
    </row>
    <row r="6812" spans="1:9" x14ac:dyDescent="0.25">
      <c r="A6812">
        <v>20140220</v>
      </c>
      <c r="B6812" t="str">
        <f>"114353"</f>
        <v>114353</v>
      </c>
      <c r="C6812" t="str">
        <f>"84876"</f>
        <v>84876</v>
      </c>
      <c r="D6812" t="s">
        <v>1259</v>
      </c>
      <c r="E6812">
        <v>58.3</v>
      </c>
      <c r="F6812">
        <v>20140217</v>
      </c>
      <c r="G6812" t="s">
        <v>1064</v>
      </c>
      <c r="H6812" t="s">
        <v>2384</v>
      </c>
      <c r="I6812" t="s">
        <v>21</v>
      </c>
    </row>
    <row r="6813" spans="1:9" x14ac:dyDescent="0.25">
      <c r="A6813">
        <v>20140220</v>
      </c>
      <c r="B6813" t="str">
        <f>"114354"</f>
        <v>114354</v>
      </c>
      <c r="C6813" t="str">
        <f>"37590"</f>
        <v>37590</v>
      </c>
      <c r="D6813" t="s">
        <v>3414</v>
      </c>
      <c r="E6813">
        <v>32.299999999999997</v>
      </c>
      <c r="F6813">
        <v>20140218</v>
      </c>
      <c r="G6813" t="s">
        <v>39</v>
      </c>
      <c r="H6813" t="s">
        <v>354</v>
      </c>
      <c r="I6813" t="s">
        <v>38</v>
      </c>
    </row>
    <row r="6814" spans="1:9" x14ac:dyDescent="0.25">
      <c r="A6814">
        <v>20140220</v>
      </c>
      <c r="B6814" t="str">
        <f>"114355"</f>
        <v>114355</v>
      </c>
      <c r="C6814" t="str">
        <f>"43798"</f>
        <v>43798</v>
      </c>
      <c r="D6814" t="s">
        <v>620</v>
      </c>
      <c r="E6814">
        <v>594</v>
      </c>
      <c r="F6814">
        <v>20140218</v>
      </c>
      <c r="G6814" t="s">
        <v>950</v>
      </c>
      <c r="H6814" t="s">
        <v>2956</v>
      </c>
      <c r="I6814" t="s">
        <v>21</v>
      </c>
    </row>
    <row r="6815" spans="1:9" x14ac:dyDescent="0.25">
      <c r="A6815">
        <v>20140220</v>
      </c>
      <c r="B6815" t="str">
        <f>"114355"</f>
        <v>114355</v>
      </c>
      <c r="C6815" t="str">
        <f>"43798"</f>
        <v>43798</v>
      </c>
      <c r="D6815" t="s">
        <v>620</v>
      </c>
      <c r="E6815">
        <v>750.87</v>
      </c>
      <c r="F6815">
        <v>20140218</v>
      </c>
      <c r="G6815" t="s">
        <v>1271</v>
      </c>
      <c r="H6815" t="s">
        <v>1463</v>
      </c>
      <c r="I6815" t="s">
        <v>21</v>
      </c>
    </row>
    <row r="6816" spans="1:9" x14ac:dyDescent="0.25">
      <c r="A6816">
        <v>20140220</v>
      </c>
      <c r="B6816" t="str">
        <f>"114356"</f>
        <v>114356</v>
      </c>
      <c r="C6816" t="str">
        <f>"86100"</f>
        <v>86100</v>
      </c>
      <c r="D6816" t="s">
        <v>3415</v>
      </c>
      <c r="E6816">
        <v>64.989999999999995</v>
      </c>
      <c r="F6816">
        <v>20140214</v>
      </c>
      <c r="G6816" t="s">
        <v>1721</v>
      </c>
      <c r="H6816" t="s">
        <v>365</v>
      </c>
      <c r="I6816" t="s">
        <v>21</v>
      </c>
    </row>
    <row r="6817" spans="1:9" x14ac:dyDescent="0.25">
      <c r="A6817">
        <v>20140220</v>
      </c>
      <c r="B6817" t="str">
        <f>"114357"</f>
        <v>114357</v>
      </c>
      <c r="C6817" t="str">
        <f>"84445"</f>
        <v>84445</v>
      </c>
      <c r="D6817" t="s">
        <v>1472</v>
      </c>
      <c r="E6817">
        <v>40.64</v>
      </c>
      <c r="F6817">
        <v>20140214</v>
      </c>
      <c r="G6817" t="s">
        <v>562</v>
      </c>
      <c r="H6817" t="s">
        <v>563</v>
      </c>
      <c r="I6817" t="s">
        <v>21</v>
      </c>
    </row>
    <row r="6818" spans="1:9" x14ac:dyDescent="0.25">
      <c r="A6818">
        <v>20140220</v>
      </c>
      <c r="B6818" t="str">
        <f>"114358"</f>
        <v>114358</v>
      </c>
      <c r="C6818" t="str">
        <f>"45569"</f>
        <v>45569</v>
      </c>
      <c r="D6818" t="s">
        <v>3416</v>
      </c>
      <c r="E6818">
        <v>22.99</v>
      </c>
      <c r="F6818">
        <v>20140217</v>
      </c>
      <c r="G6818" t="s">
        <v>582</v>
      </c>
      <c r="H6818" t="s">
        <v>354</v>
      </c>
      <c r="I6818" t="s">
        <v>21</v>
      </c>
    </row>
    <row r="6819" spans="1:9" x14ac:dyDescent="0.25">
      <c r="A6819">
        <v>20140220</v>
      </c>
      <c r="B6819" t="str">
        <f>"114359"</f>
        <v>114359</v>
      </c>
      <c r="C6819" t="str">
        <f>"87752"</f>
        <v>87752</v>
      </c>
      <c r="D6819" t="s">
        <v>3417</v>
      </c>
      <c r="E6819">
        <v>112.63</v>
      </c>
      <c r="F6819">
        <v>20140219</v>
      </c>
      <c r="G6819" t="s">
        <v>1846</v>
      </c>
      <c r="H6819" t="s">
        <v>765</v>
      </c>
      <c r="I6819" t="s">
        <v>63</v>
      </c>
    </row>
    <row r="6820" spans="1:9" x14ac:dyDescent="0.25">
      <c r="A6820">
        <v>20140220</v>
      </c>
      <c r="B6820" t="str">
        <f>"114360"</f>
        <v>114360</v>
      </c>
      <c r="C6820" t="str">
        <f>"87473"</f>
        <v>87473</v>
      </c>
      <c r="D6820" t="s">
        <v>160</v>
      </c>
      <c r="E6820">
        <v>296.22000000000003</v>
      </c>
      <c r="F6820">
        <v>20140219</v>
      </c>
      <c r="G6820" t="s">
        <v>2599</v>
      </c>
      <c r="H6820" t="s">
        <v>354</v>
      </c>
      <c r="I6820" t="s">
        <v>21</v>
      </c>
    </row>
    <row r="6821" spans="1:9" x14ac:dyDescent="0.25">
      <c r="A6821">
        <v>20140220</v>
      </c>
      <c r="B6821" t="str">
        <f>"114361"</f>
        <v>114361</v>
      </c>
      <c r="C6821" t="str">
        <f>"46780"</f>
        <v>46780</v>
      </c>
      <c r="D6821" t="s">
        <v>3418</v>
      </c>
      <c r="E6821">
        <v>55.71</v>
      </c>
      <c r="F6821">
        <v>20140219</v>
      </c>
      <c r="G6821" t="s">
        <v>364</v>
      </c>
      <c r="H6821" t="s">
        <v>365</v>
      </c>
      <c r="I6821" t="s">
        <v>21</v>
      </c>
    </row>
    <row r="6822" spans="1:9" x14ac:dyDescent="0.25">
      <c r="A6822">
        <v>20140220</v>
      </c>
      <c r="B6822" t="str">
        <f>"114362"</f>
        <v>114362</v>
      </c>
      <c r="C6822" t="str">
        <f>"46785"</f>
        <v>46785</v>
      </c>
      <c r="D6822" t="s">
        <v>1265</v>
      </c>
      <c r="E6822">
        <v>260.98</v>
      </c>
      <c r="F6822">
        <v>20140214</v>
      </c>
      <c r="G6822" t="s">
        <v>2472</v>
      </c>
      <c r="H6822" t="s">
        <v>365</v>
      </c>
      <c r="I6822" t="s">
        <v>21</v>
      </c>
    </row>
    <row r="6823" spans="1:9" x14ac:dyDescent="0.25">
      <c r="A6823">
        <v>20140220</v>
      </c>
      <c r="B6823" t="str">
        <f>"114363"</f>
        <v>114363</v>
      </c>
      <c r="C6823" t="str">
        <f>"87557"</f>
        <v>87557</v>
      </c>
      <c r="D6823" t="s">
        <v>1629</v>
      </c>
      <c r="E6823">
        <v>139.94999999999999</v>
      </c>
      <c r="F6823">
        <v>20140218</v>
      </c>
      <c r="G6823" t="s">
        <v>1630</v>
      </c>
      <c r="H6823" t="s">
        <v>563</v>
      </c>
      <c r="I6823" t="s">
        <v>21</v>
      </c>
    </row>
    <row r="6824" spans="1:9" x14ac:dyDescent="0.25">
      <c r="A6824">
        <v>20140220</v>
      </c>
      <c r="B6824" t="str">
        <f>"114364"</f>
        <v>114364</v>
      </c>
      <c r="C6824" t="str">
        <f>"48820"</f>
        <v>48820</v>
      </c>
      <c r="D6824" t="s">
        <v>1106</v>
      </c>
      <c r="E6824">
        <v>56.06</v>
      </c>
      <c r="F6824">
        <v>20140219</v>
      </c>
      <c r="G6824" t="s">
        <v>1067</v>
      </c>
      <c r="H6824" t="s">
        <v>354</v>
      </c>
      <c r="I6824" t="s">
        <v>21</v>
      </c>
    </row>
    <row r="6825" spans="1:9" x14ac:dyDescent="0.25">
      <c r="A6825">
        <v>20140220</v>
      </c>
      <c r="B6825" t="str">
        <f>"114364"</f>
        <v>114364</v>
      </c>
      <c r="C6825" t="str">
        <f>"48820"</f>
        <v>48820</v>
      </c>
      <c r="D6825" t="s">
        <v>1106</v>
      </c>
      <c r="E6825">
        <v>170.3</v>
      </c>
      <c r="F6825">
        <v>20140219</v>
      </c>
      <c r="G6825" t="s">
        <v>209</v>
      </c>
      <c r="H6825" t="s">
        <v>354</v>
      </c>
      <c r="I6825" t="s">
        <v>25</v>
      </c>
    </row>
    <row r="6826" spans="1:9" x14ac:dyDescent="0.25">
      <c r="A6826">
        <v>20140220</v>
      </c>
      <c r="B6826" t="str">
        <f>"114365"</f>
        <v>114365</v>
      </c>
      <c r="C6826" t="str">
        <f>"86578"</f>
        <v>86578</v>
      </c>
      <c r="D6826" t="s">
        <v>905</v>
      </c>
      <c r="E6826">
        <v>74.349999999999994</v>
      </c>
      <c r="F6826">
        <v>20140217</v>
      </c>
      <c r="G6826" t="s">
        <v>2467</v>
      </c>
      <c r="H6826" t="s">
        <v>365</v>
      </c>
      <c r="I6826" t="s">
        <v>21</v>
      </c>
    </row>
    <row r="6827" spans="1:9" x14ac:dyDescent="0.25">
      <c r="A6827">
        <v>20140220</v>
      </c>
      <c r="B6827" t="str">
        <f>"114366"</f>
        <v>114366</v>
      </c>
      <c r="C6827" t="str">
        <f>"84424"</f>
        <v>84424</v>
      </c>
      <c r="D6827" t="s">
        <v>1107</v>
      </c>
      <c r="E6827">
        <v>239.75</v>
      </c>
      <c r="F6827">
        <v>20140218</v>
      </c>
      <c r="G6827" t="s">
        <v>3419</v>
      </c>
      <c r="H6827" t="s">
        <v>365</v>
      </c>
      <c r="I6827" t="s">
        <v>21</v>
      </c>
    </row>
    <row r="6828" spans="1:9" x14ac:dyDescent="0.25">
      <c r="A6828">
        <v>20140220</v>
      </c>
      <c r="B6828" t="str">
        <f>"114366"</f>
        <v>114366</v>
      </c>
      <c r="C6828" t="str">
        <f>"84424"</f>
        <v>84424</v>
      </c>
      <c r="D6828" t="s">
        <v>1107</v>
      </c>
      <c r="E6828">
        <v>81.25</v>
      </c>
      <c r="F6828">
        <v>20140219</v>
      </c>
      <c r="G6828" t="s">
        <v>3419</v>
      </c>
      <c r="H6828" t="s">
        <v>365</v>
      </c>
      <c r="I6828" t="s">
        <v>21</v>
      </c>
    </row>
    <row r="6829" spans="1:9" x14ac:dyDescent="0.25">
      <c r="A6829">
        <v>20140220</v>
      </c>
      <c r="B6829" t="str">
        <f>"114367"</f>
        <v>114367</v>
      </c>
      <c r="C6829" t="str">
        <f>"87684"</f>
        <v>87684</v>
      </c>
      <c r="D6829" t="s">
        <v>2862</v>
      </c>
      <c r="E6829">
        <v>66.739999999999995</v>
      </c>
      <c r="F6829">
        <v>20140219</v>
      </c>
      <c r="G6829" t="s">
        <v>36</v>
      </c>
      <c r="H6829" t="s">
        <v>2863</v>
      </c>
      <c r="I6829" t="s">
        <v>38</v>
      </c>
    </row>
    <row r="6830" spans="1:9" x14ac:dyDescent="0.25">
      <c r="A6830">
        <v>20140220</v>
      </c>
      <c r="B6830" t="str">
        <f>"114368"</f>
        <v>114368</v>
      </c>
      <c r="C6830" t="str">
        <f>"87413"</f>
        <v>87413</v>
      </c>
      <c r="D6830" t="s">
        <v>3420</v>
      </c>
      <c r="E6830" s="1">
        <v>3675</v>
      </c>
      <c r="F6830">
        <v>20140214</v>
      </c>
      <c r="G6830" t="s">
        <v>845</v>
      </c>
      <c r="H6830" t="s">
        <v>3421</v>
      </c>
      <c r="I6830" t="s">
        <v>73</v>
      </c>
    </row>
    <row r="6831" spans="1:9" x14ac:dyDescent="0.25">
      <c r="A6831">
        <v>20140220</v>
      </c>
      <c r="B6831" t="str">
        <f>"114369"</f>
        <v>114369</v>
      </c>
      <c r="C6831" t="str">
        <f>"84249"</f>
        <v>84249</v>
      </c>
      <c r="D6831" t="s">
        <v>1111</v>
      </c>
      <c r="E6831">
        <v>578.92999999999995</v>
      </c>
      <c r="F6831">
        <v>20140214</v>
      </c>
      <c r="G6831" t="s">
        <v>1026</v>
      </c>
      <c r="H6831" t="s">
        <v>365</v>
      </c>
      <c r="I6831" t="s">
        <v>21</v>
      </c>
    </row>
    <row r="6832" spans="1:9" x14ac:dyDescent="0.25">
      <c r="A6832">
        <v>20140220</v>
      </c>
      <c r="B6832" t="str">
        <f>"114370"</f>
        <v>114370</v>
      </c>
      <c r="C6832" t="str">
        <f>"84734"</f>
        <v>84734</v>
      </c>
      <c r="D6832" t="s">
        <v>3422</v>
      </c>
      <c r="E6832" s="1">
        <v>3856</v>
      </c>
      <c r="F6832">
        <v>20140219</v>
      </c>
      <c r="G6832" t="s">
        <v>206</v>
      </c>
      <c r="H6832" t="s">
        <v>553</v>
      </c>
      <c r="I6832" t="s">
        <v>25</v>
      </c>
    </row>
    <row r="6833" spans="1:9" x14ac:dyDescent="0.25">
      <c r="A6833">
        <v>20140220</v>
      </c>
      <c r="B6833" t="str">
        <f>"114371"</f>
        <v>114371</v>
      </c>
      <c r="C6833" t="str">
        <f>"52518"</f>
        <v>52518</v>
      </c>
      <c r="D6833" t="s">
        <v>647</v>
      </c>
      <c r="E6833">
        <v>80.739999999999995</v>
      </c>
      <c r="F6833">
        <v>20140214</v>
      </c>
      <c r="G6833" t="s">
        <v>140</v>
      </c>
      <c r="H6833" t="s">
        <v>414</v>
      </c>
      <c r="I6833" t="s">
        <v>25</v>
      </c>
    </row>
    <row r="6834" spans="1:9" x14ac:dyDescent="0.25">
      <c r="A6834">
        <v>20140220</v>
      </c>
      <c r="B6834" t="str">
        <f>"114372"</f>
        <v>114372</v>
      </c>
      <c r="C6834" t="str">
        <f>"82978"</f>
        <v>82978</v>
      </c>
      <c r="D6834" t="s">
        <v>2245</v>
      </c>
      <c r="E6834">
        <v>491</v>
      </c>
      <c r="F6834">
        <v>20140214</v>
      </c>
      <c r="G6834" t="s">
        <v>840</v>
      </c>
      <c r="H6834" t="s">
        <v>3423</v>
      </c>
      <c r="I6834" t="s">
        <v>21</v>
      </c>
    </row>
    <row r="6835" spans="1:9" x14ac:dyDescent="0.25">
      <c r="A6835">
        <v>20140220</v>
      </c>
      <c r="B6835" t="str">
        <f>"114372"</f>
        <v>114372</v>
      </c>
      <c r="C6835" t="str">
        <f>"82978"</f>
        <v>82978</v>
      </c>
      <c r="D6835" t="s">
        <v>2245</v>
      </c>
      <c r="E6835">
        <v>14.49</v>
      </c>
      <c r="F6835">
        <v>20140219</v>
      </c>
      <c r="G6835" t="s">
        <v>840</v>
      </c>
      <c r="H6835" t="s">
        <v>3424</v>
      </c>
      <c r="I6835" t="s">
        <v>21</v>
      </c>
    </row>
    <row r="6836" spans="1:9" x14ac:dyDescent="0.25">
      <c r="A6836">
        <v>20140220</v>
      </c>
      <c r="B6836" t="str">
        <f>"114373"</f>
        <v>114373</v>
      </c>
      <c r="C6836" t="str">
        <f>"55795"</f>
        <v>55795</v>
      </c>
      <c r="D6836" t="s">
        <v>931</v>
      </c>
      <c r="E6836">
        <v>404.31</v>
      </c>
      <c r="F6836">
        <v>20140214</v>
      </c>
      <c r="G6836" t="s">
        <v>1235</v>
      </c>
      <c r="H6836" t="s">
        <v>563</v>
      </c>
      <c r="I6836" t="s">
        <v>79</v>
      </c>
    </row>
    <row r="6837" spans="1:9" x14ac:dyDescent="0.25">
      <c r="A6837">
        <v>20140220</v>
      </c>
      <c r="B6837" t="str">
        <f>"114374"</f>
        <v>114374</v>
      </c>
      <c r="C6837" t="str">
        <f>"57046"</f>
        <v>57046</v>
      </c>
      <c r="D6837" t="s">
        <v>1789</v>
      </c>
      <c r="E6837">
        <v>990</v>
      </c>
      <c r="F6837">
        <v>20140219</v>
      </c>
      <c r="G6837" t="s">
        <v>545</v>
      </c>
      <c r="H6837" t="s">
        <v>2392</v>
      </c>
      <c r="I6837" t="s">
        <v>21</v>
      </c>
    </row>
    <row r="6838" spans="1:9" x14ac:dyDescent="0.25">
      <c r="A6838">
        <v>20140220</v>
      </c>
      <c r="B6838" t="str">
        <f>"114375"</f>
        <v>114375</v>
      </c>
      <c r="C6838" t="str">
        <f>"85792"</f>
        <v>85792</v>
      </c>
      <c r="D6838" t="s">
        <v>2252</v>
      </c>
      <c r="E6838">
        <v>55.81</v>
      </c>
      <c r="F6838">
        <v>20140214</v>
      </c>
      <c r="G6838" t="s">
        <v>1724</v>
      </c>
      <c r="H6838" t="s">
        <v>365</v>
      </c>
      <c r="I6838" t="s">
        <v>66</v>
      </c>
    </row>
    <row r="6839" spans="1:9" x14ac:dyDescent="0.25">
      <c r="A6839">
        <v>20140220</v>
      </c>
      <c r="B6839" t="str">
        <f>"114376"</f>
        <v>114376</v>
      </c>
      <c r="C6839" t="str">
        <f>"58000"</f>
        <v>58000</v>
      </c>
      <c r="D6839" t="s">
        <v>3425</v>
      </c>
      <c r="E6839">
        <v>71</v>
      </c>
      <c r="F6839">
        <v>20140214</v>
      </c>
      <c r="G6839" t="s">
        <v>99</v>
      </c>
      <c r="H6839" t="s">
        <v>3426</v>
      </c>
      <c r="I6839" t="s">
        <v>21</v>
      </c>
    </row>
    <row r="6840" spans="1:9" x14ac:dyDescent="0.25">
      <c r="A6840">
        <v>20140220</v>
      </c>
      <c r="B6840" t="str">
        <f>"114376"</f>
        <v>114376</v>
      </c>
      <c r="C6840" t="str">
        <f>"58000"</f>
        <v>58000</v>
      </c>
      <c r="D6840" t="s">
        <v>3425</v>
      </c>
      <c r="E6840">
        <v>76.5</v>
      </c>
      <c r="F6840">
        <v>20140217</v>
      </c>
      <c r="G6840" t="s">
        <v>99</v>
      </c>
      <c r="H6840" t="s">
        <v>3427</v>
      </c>
      <c r="I6840" t="s">
        <v>21</v>
      </c>
    </row>
    <row r="6841" spans="1:9" x14ac:dyDescent="0.25">
      <c r="A6841">
        <v>20140220</v>
      </c>
      <c r="B6841" t="str">
        <f>"114377"</f>
        <v>114377</v>
      </c>
      <c r="C6841" t="str">
        <f>"58458"</f>
        <v>58458</v>
      </c>
      <c r="D6841" t="s">
        <v>369</v>
      </c>
      <c r="E6841">
        <v>79.569999999999993</v>
      </c>
      <c r="F6841">
        <v>20140217</v>
      </c>
      <c r="G6841" t="s">
        <v>2474</v>
      </c>
      <c r="H6841" t="s">
        <v>365</v>
      </c>
      <c r="I6841" t="s">
        <v>21</v>
      </c>
    </row>
    <row r="6842" spans="1:9" x14ac:dyDescent="0.25">
      <c r="A6842">
        <v>20140220</v>
      </c>
      <c r="B6842" t="str">
        <f>"114378"</f>
        <v>114378</v>
      </c>
      <c r="C6842" t="str">
        <f>"58585"</f>
        <v>58585</v>
      </c>
      <c r="D6842" t="s">
        <v>1913</v>
      </c>
      <c r="E6842">
        <v>174.9</v>
      </c>
      <c r="F6842">
        <v>20140219</v>
      </c>
      <c r="G6842" t="s">
        <v>583</v>
      </c>
      <c r="H6842" t="s">
        <v>3428</v>
      </c>
      <c r="I6842" t="s">
        <v>21</v>
      </c>
    </row>
    <row r="6843" spans="1:9" x14ac:dyDescent="0.25">
      <c r="A6843">
        <v>20140220</v>
      </c>
      <c r="B6843" t="str">
        <f>"114379"</f>
        <v>114379</v>
      </c>
      <c r="C6843" t="str">
        <f>"59500"</f>
        <v>59500</v>
      </c>
      <c r="D6843" t="s">
        <v>670</v>
      </c>
      <c r="E6843">
        <v>199.72</v>
      </c>
      <c r="F6843">
        <v>20140217</v>
      </c>
      <c r="G6843" t="s">
        <v>137</v>
      </c>
      <c r="H6843" t="s">
        <v>414</v>
      </c>
      <c r="I6843" t="s">
        <v>21</v>
      </c>
    </row>
    <row r="6844" spans="1:9" x14ac:dyDescent="0.25">
      <c r="A6844">
        <v>20140220</v>
      </c>
      <c r="B6844" t="str">
        <f>"114380"</f>
        <v>114380</v>
      </c>
      <c r="C6844" t="str">
        <f>"60705"</f>
        <v>60705</v>
      </c>
      <c r="D6844" t="s">
        <v>1502</v>
      </c>
      <c r="E6844">
        <v>36.56</v>
      </c>
      <c r="F6844">
        <v>20140214</v>
      </c>
      <c r="G6844" t="s">
        <v>140</v>
      </c>
      <c r="H6844" t="s">
        <v>414</v>
      </c>
      <c r="I6844" t="s">
        <v>25</v>
      </c>
    </row>
    <row r="6845" spans="1:9" x14ac:dyDescent="0.25">
      <c r="A6845">
        <v>20140220</v>
      </c>
      <c r="B6845" t="str">
        <f>"114380"</f>
        <v>114380</v>
      </c>
      <c r="C6845" t="str">
        <f>"60705"</f>
        <v>60705</v>
      </c>
      <c r="D6845" t="s">
        <v>1502</v>
      </c>
      <c r="E6845">
        <v>395</v>
      </c>
      <c r="F6845">
        <v>20140214</v>
      </c>
      <c r="G6845" t="s">
        <v>140</v>
      </c>
      <c r="H6845" t="s">
        <v>414</v>
      </c>
      <c r="I6845" t="s">
        <v>25</v>
      </c>
    </row>
    <row r="6846" spans="1:9" x14ac:dyDescent="0.25">
      <c r="A6846">
        <v>20140220</v>
      </c>
      <c r="B6846" t="str">
        <f>"114380"</f>
        <v>114380</v>
      </c>
      <c r="C6846" t="str">
        <f>"60705"</f>
        <v>60705</v>
      </c>
      <c r="D6846" t="s">
        <v>1502</v>
      </c>
      <c r="E6846">
        <v>50.6</v>
      </c>
      <c r="F6846">
        <v>20140214</v>
      </c>
      <c r="G6846" t="s">
        <v>140</v>
      </c>
      <c r="H6846" t="s">
        <v>414</v>
      </c>
      <c r="I6846" t="s">
        <v>25</v>
      </c>
    </row>
    <row r="6847" spans="1:9" x14ac:dyDescent="0.25">
      <c r="A6847">
        <v>20140220</v>
      </c>
      <c r="B6847" t="str">
        <f>"114380"</f>
        <v>114380</v>
      </c>
      <c r="C6847" t="str">
        <f>"60705"</f>
        <v>60705</v>
      </c>
      <c r="D6847" t="s">
        <v>1502</v>
      </c>
      <c r="E6847">
        <v>83.63</v>
      </c>
      <c r="F6847">
        <v>20140214</v>
      </c>
      <c r="G6847" t="s">
        <v>140</v>
      </c>
      <c r="H6847" t="s">
        <v>414</v>
      </c>
      <c r="I6847" t="s">
        <v>25</v>
      </c>
    </row>
    <row r="6848" spans="1:9" x14ac:dyDescent="0.25">
      <c r="A6848">
        <v>20140220</v>
      </c>
      <c r="B6848" t="str">
        <f>"114380"</f>
        <v>114380</v>
      </c>
      <c r="C6848" t="str">
        <f>"60705"</f>
        <v>60705</v>
      </c>
      <c r="D6848" t="s">
        <v>1502</v>
      </c>
      <c r="E6848">
        <v>110.15</v>
      </c>
      <c r="F6848">
        <v>20140214</v>
      </c>
      <c r="G6848" t="s">
        <v>140</v>
      </c>
      <c r="H6848" t="s">
        <v>414</v>
      </c>
      <c r="I6848" t="s">
        <v>25</v>
      </c>
    </row>
    <row r="6849" spans="1:9" x14ac:dyDescent="0.25">
      <c r="A6849">
        <v>20140220</v>
      </c>
      <c r="B6849" t="str">
        <f>"114381"</f>
        <v>114381</v>
      </c>
      <c r="C6849" t="str">
        <f>"87755"</f>
        <v>87755</v>
      </c>
      <c r="D6849" t="s">
        <v>3429</v>
      </c>
      <c r="E6849">
        <v>112.63</v>
      </c>
      <c r="F6849">
        <v>20140219</v>
      </c>
      <c r="G6849" t="s">
        <v>3430</v>
      </c>
      <c r="H6849" t="s">
        <v>765</v>
      </c>
      <c r="I6849" t="s">
        <v>61</v>
      </c>
    </row>
    <row r="6850" spans="1:9" x14ac:dyDescent="0.25">
      <c r="A6850">
        <v>20140220</v>
      </c>
      <c r="B6850" t="str">
        <f>"114382"</f>
        <v>114382</v>
      </c>
      <c r="C6850" t="str">
        <f>"83448"</f>
        <v>83448</v>
      </c>
      <c r="D6850" t="s">
        <v>2971</v>
      </c>
      <c r="E6850">
        <v>72.45</v>
      </c>
      <c r="F6850">
        <v>20140214</v>
      </c>
      <c r="G6850" t="s">
        <v>982</v>
      </c>
      <c r="H6850" t="s">
        <v>365</v>
      </c>
      <c r="I6850" t="s">
        <v>21</v>
      </c>
    </row>
    <row r="6851" spans="1:9" x14ac:dyDescent="0.25">
      <c r="A6851">
        <v>20140220</v>
      </c>
      <c r="B6851" t="str">
        <f>"114382"</f>
        <v>114382</v>
      </c>
      <c r="C6851" t="str">
        <f>"83448"</f>
        <v>83448</v>
      </c>
      <c r="D6851" t="s">
        <v>2971</v>
      </c>
      <c r="E6851">
        <v>260.7</v>
      </c>
      <c r="F6851">
        <v>20140214</v>
      </c>
      <c r="G6851" t="s">
        <v>982</v>
      </c>
      <c r="H6851" t="s">
        <v>365</v>
      </c>
      <c r="I6851" t="s">
        <v>21</v>
      </c>
    </row>
    <row r="6852" spans="1:9" x14ac:dyDescent="0.25">
      <c r="A6852">
        <v>20140220</v>
      </c>
      <c r="B6852" t="str">
        <f>"114383"</f>
        <v>114383</v>
      </c>
      <c r="C6852" t="str">
        <f>"87461"</f>
        <v>87461</v>
      </c>
      <c r="D6852" t="s">
        <v>3431</v>
      </c>
      <c r="E6852">
        <v>40.97</v>
      </c>
      <c r="F6852">
        <v>20140219</v>
      </c>
      <c r="G6852" t="s">
        <v>214</v>
      </c>
      <c r="H6852" t="s">
        <v>354</v>
      </c>
      <c r="I6852" t="s">
        <v>38</v>
      </c>
    </row>
    <row r="6853" spans="1:9" x14ac:dyDescent="0.25">
      <c r="A6853">
        <v>20140220</v>
      </c>
      <c r="B6853" t="str">
        <f>"114384"</f>
        <v>114384</v>
      </c>
      <c r="C6853" t="str">
        <f>"62450"</f>
        <v>62450</v>
      </c>
      <c r="D6853" t="s">
        <v>683</v>
      </c>
      <c r="E6853">
        <v>363</v>
      </c>
      <c r="F6853">
        <v>20140219</v>
      </c>
      <c r="G6853" t="s">
        <v>828</v>
      </c>
      <c r="H6853" t="s">
        <v>3432</v>
      </c>
      <c r="I6853" t="s">
        <v>21</v>
      </c>
    </row>
    <row r="6854" spans="1:9" x14ac:dyDescent="0.25">
      <c r="A6854">
        <v>20140220</v>
      </c>
      <c r="B6854" t="str">
        <f>"114385"</f>
        <v>114385</v>
      </c>
      <c r="C6854" t="str">
        <f>"87463"</f>
        <v>87463</v>
      </c>
      <c r="D6854" t="s">
        <v>3433</v>
      </c>
      <c r="E6854">
        <v>56.82</v>
      </c>
      <c r="F6854">
        <v>20140218</v>
      </c>
      <c r="G6854" t="s">
        <v>1721</v>
      </c>
      <c r="H6854" t="s">
        <v>365</v>
      </c>
      <c r="I6854" t="s">
        <v>21</v>
      </c>
    </row>
    <row r="6855" spans="1:9" x14ac:dyDescent="0.25">
      <c r="A6855">
        <v>20140220</v>
      </c>
      <c r="B6855" t="str">
        <f>"114385"</f>
        <v>114385</v>
      </c>
      <c r="C6855" t="str">
        <f>"87463"</f>
        <v>87463</v>
      </c>
      <c r="D6855" t="s">
        <v>3433</v>
      </c>
      <c r="E6855">
        <v>64.44</v>
      </c>
      <c r="F6855">
        <v>20140218</v>
      </c>
      <c r="G6855" t="s">
        <v>1721</v>
      </c>
      <c r="H6855" t="s">
        <v>365</v>
      </c>
      <c r="I6855" t="s">
        <v>21</v>
      </c>
    </row>
    <row r="6856" spans="1:9" x14ac:dyDescent="0.25">
      <c r="A6856">
        <v>20140220</v>
      </c>
      <c r="B6856" t="str">
        <f>"114386"</f>
        <v>114386</v>
      </c>
      <c r="C6856" t="str">
        <f>"86959"</f>
        <v>86959</v>
      </c>
      <c r="D6856" t="s">
        <v>3434</v>
      </c>
      <c r="E6856">
        <v>931.12</v>
      </c>
      <c r="F6856">
        <v>20140214</v>
      </c>
      <c r="G6856" t="s">
        <v>2495</v>
      </c>
      <c r="H6856" t="s">
        <v>365</v>
      </c>
      <c r="I6856" t="s">
        <v>21</v>
      </c>
    </row>
    <row r="6857" spans="1:9" x14ac:dyDescent="0.25">
      <c r="A6857">
        <v>20140220</v>
      </c>
      <c r="B6857" t="str">
        <f>"114387"</f>
        <v>114387</v>
      </c>
      <c r="C6857" t="str">
        <f>"83322"</f>
        <v>83322</v>
      </c>
      <c r="D6857" t="s">
        <v>1935</v>
      </c>
      <c r="E6857">
        <v>69.459999999999994</v>
      </c>
      <c r="F6857">
        <v>20140217</v>
      </c>
      <c r="G6857" t="s">
        <v>1145</v>
      </c>
      <c r="H6857" t="s">
        <v>365</v>
      </c>
      <c r="I6857" t="s">
        <v>73</v>
      </c>
    </row>
    <row r="6858" spans="1:9" x14ac:dyDescent="0.25">
      <c r="A6858">
        <v>20140220</v>
      </c>
      <c r="B6858" t="str">
        <f>"114388"</f>
        <v>114388</v>
      </c>
      <c r="C6858" t="str">
        <f>"86597"</f>
        <v>86597</v>
      </c>
      <c r="D6858" t="s">
        <v>3435</v>
      </c>
      <c r="E6858">
        <v>110</v>
      </c>
      <c r="F6858">
        <v>20140218</v>
      </c>
      <c r="G6858" t="s">
        <v>145</v>
      </c>
      <c r="H6858" t="s">
        <v>357</v>
      </c>
      <c r="I6858" t="s">
        <v>38</v>
      </c>
    </row>
    <row r="6859" spans="1:9" x14ac:dyDescent="0.25">
      <c r="A6859">
        <v>20140220</v>
      </c>
      <c r="B6859" t="str">
        <f>"114389"</f>
        <v>114389</v>
      </c>
      <c r="C6859" t="str">
        <f>"68960"</f>
        <v>68960</v>
      </c>
      <c r="D6859" t="s">
        <v>689</v>
      </c>
      <c r="E6859">
        <v>55</v>
      </c>
      <c r="F6859">
        <v>20140219</v>
      </c>
      <c r="G6859" t="s">
        <v>356</v>
      </c>
      <c r="H6859" t="s">
        <v>357</v>
      </c>
      <c r="I6859" t="s">
        <v>61</v>
      </c>
    </row>
    <row r="6860" spans="1:9" x14ac:dyDescent="0.25">
      <c r="A6860">
        <v>20140220</v>
      </c>
      <c r="B6860" t="str">
        <f>"114389"</f>
        <v>114389</v>
      </c>
      <c r="C6860" t="str">
        <f>"68960"</f>
        <v>68960</v>
      </c>
      <c r="D6860" t="s">
        <v>689</v>
      </c>
      <c r="E6860">
        <v>250</v>
      </c>
      <c r="F6860">
        <v>20140219</v>
      </c>
      <c r="G6860" t="s">
        <v>1759</v>
      </c>
      <c r="H6860" t="s">
        <v>357</v>
      </c>
      <c r="I6860" t="s">
        <v>61</v>
      </c>
    </row>
    <row r="6861" spans="1:9" x14ac:dyDescent="0.25">
      <c r="A6861">
        <v>20140220</v>
      </c>
      <c r="B6861" t="str">
        <f>"114389"</f>
        <v>114389</v>
      </c>
      <c r="C6861" t="str">
        <f>"68960"</f>
        <v>68960</v>
      </c>
      <c r="D6861" t="s">
        <v>689</v>
      </c>
      <c r="E6861">
        <v>80</v>
      </c>
      <c r="F6861">
        <v>20140219</v>
      </c>
      <c r="G6861" t="s">
        <v>1759</v>
      </c>
      <c r="H6861" t="s">
        <v>357</v>
      </c>
      <c r="I6861" t="s">
        <v>61</v>
      </c>
    </row>
    <row r="6862" spans="1:9" x14ac:dyDescent="0.25">
      <c r="A6862">
        <v>20140220</v>
      </c>
      <c r="B6862" t="str">
        <f>"114389"</f>
        <v>114389</v>
      </c>
      <c r="C6862" t="str">
        <f>"68960"</f>
        <v>68960</v>
      </c>
      <c r="D6862" t="s">
        <v>689</v>
      </c>
      <c r="E6862">
        <v>80</v>
      </c>
      <c r="F6862">
        <v>20140219</v>
      </c>
      <c r="G6862" t="s">
        <v>1759</v>
      </c>
      <c r="H6862" t="s">
        <v>357</v>
      </c>
      <c r="I6862" t="s">
        <v>61</v>
      </c>
    </row>
    <row r="6863" spans="1:9" x14ac:dyDescent="0.25">
      <c r="A6863">
        <v>20140220</v>
      </c>
      <c r="B6863" t="str">
        <f>"114390"</f>
        <v>114390</v>
      </c>
      <c r="C6863" t="str">
        <f>"86376"</f>
        <v>86376</v>
      </c>
      <c r="D6863" t="s">
        <v>1661</v>
      </c>
      <c r="E6863">
        <v>41</v>
      </c>
      <c r="F6863">
        <v>20140214</v>
      </c>
      <c r="G6863" t="s">
        <v>840</v>
      </c>
      <c r="H6863" t="s">
        <v>3436</v>
      </c>
      <c r="I6863" t="s">
        <v>21</v>
      </c>
    </row>
    <row r="6864" spans="1:9" x14ac:dyDescent="0.25">
      <c r="A6864">
        <v>20140220</v>
      </c>
      <c r="B6864" t="str">
        <f>"114390"</f>
        <v>114390</v>
      </c>
      <c r="C6864" t="str">
        <f>"86376"</f>
        <v>86376</v>
      </c>
      <c r="D6864" t="s">
        <v>1661</v>
      </c>
      <c r="E6864">
        <v>540</v>
      </c>
      <c r="F6864">
        <v>20140214</v>
      </c>
      <c r="G6864" t="s">
        <v>1900</v>
      </c>
      <c r="H6864" t="s">
        <v>3437</v>
      </c>
      <c r="I6864" t="s">
        <v>608</v>
      </c>
    </row>
    <row r="6865" spans="1:9" x14ac:dyDescent="0.25">
      <c r="A6865">
        <v>20140220</v>
      </c>
      <c r="B6865" t="str">
        <f>"114391"</f>
        <v>114391</v>
      </c>
      <c r="C6865" t="str">
        <f>"82348"</f>
        <v>82348</v>
      </c>
      <c r="D6865" t="s">
        <v>2892</v>
      </c>
      <c r="E6865">
        <v>59.99</v>
      </c>
      <c r="F6865">
        <v>20140219</v>
      </c>
      <c r="G6865" t="s">
        <v>789</v>
      </c>
      <c r="H6865" t="s">
        <v>921</v>
      </c>
      <c r="I6865" t="s">
        <v>61</v>
      </c>
    </row>
    <row r="6866" spans="1:9" x14ac:dyDescent="0.25">
      <c r="A6866">
        <v>20140220</v>
      </c>
      <c r="B6866" t="str">
        <f>"114392"</f>
        <v>114392</v>
      </c>
      <c r="C6866" t="str">
        <f>"82348"</f>
        <v>82348</v>
      </c>
      <c r="D6866" t="s">
        <v>2892</v>
      </c>
      <c r="E6866">
        <v>149.97999999999999</v>
      </c>
      <c r="F6866">
        <v>20140219</v>
      </c>
      <c r="G6866" t="s">
        <v>789</v>
      </c>
      <c r="H6866" t="s">
        <v>921</v>
      </c>
      <c r="I6866" t="s">
        <v>61</v>
      </c>
    </row>
    <row r="6867" spans="1:9" x14ac:dyDescent="0.25">
      <c r="A6867">
        <v>20140220</v>
      </c>
      <c r="B6867" t="str">
        <f>"114392"</f>
        <v>114392</v>
      </c>
      <c r="C6867" t="str">
        <f>"82348"</f>
        <v>82348</v>
      </c>
      <c r="D6867" t="s">
        <v>2892</v>
      </c>
      <c r="E6867">
        <v>-149.97999999999999</v>
      </c>
      <c r="F6867">
        <v>20140227</v>
      </c>
      <c r="G6867" t="s">
        <v>789</v>
      </c>
      <c r="H6867" t="s">
        <v>3341</v>
      </c>
      <c r="I6867" t="s">
        <v>61</v>
      </c>
    </row>
    <row r="6868" spans="1:9" x14ac:dyDescent="0.25">
      <c r="A6868">
        <v>20140220</v>
      </c>
      <c r="B6868" t="str">
        <f>"114393"</f>
        <v>114393</v>
      </c>
      <c r="C6868" t="str">
        <f>"81954"</f>
        <v>81954</v>
      </c>
      <c r="D6868" t="s">
        <v>3438</v>
      </c>
      <c r="E6868">
        <v>120.76</v>
      </c>
      <c r="F6868">
        <v>20140219</v>
      </c>
      <c r="G6868" t="s">
        <v>864</v>
      </c>
      <c r="H6868" t="s">
        <v>354</v>
      </c>
      <c r="I6868" t="s">
        <v>21</v>
      </c>
    </row>
    <row r="6869" spans="1:9" x14ac:dyDescent="0.25">
      <c r="A6869">
        <v>20140220</v>
      </c>
      <c r="B6869" t="str">
        <f>"114394"</f>
        <v>114394</v>
      </c>
      <c r="C6869" t="str">
        <f>"81119"</f>
        <v>81119</v>
      </c>
      <c r="D6869" t="s">
        <v>1815</v>
      </c>
      <c r="E6869">
        <v>209.75</v>
      </c>
      <c r="F6869">
        <v>20140217</v>
      </c>
      <c r="G6869" t="s">
        <v>982</v>
      </c>
      <c r="H6869" t="s">
        <v>365</v>
      </c>
      <c r="I6869" t="s">
        <v>21</v>
      </c>
    </row>
    <row r="6870" spans="1:9" x14ac:dyDescent="0.25">
      <c r="A6870">
        <v>20140220</v>
      </c>
      <c r="B6870" t="str">
        <f>"114395"</f>
        <v>114395</v>
      </c>
      <c r="C6870" t="str">
        <f>"82632"</f>
        <v>82632</v>
      </c>
      <c r="D6870" t="s">
        <v>3439</v>
      </c>
      <c r="E6870">
        <v>81.09</v>
      </c>
      <c r="F6870">
        <v>20140214</v>
      </c>
      <c r="G6870" t="s">
        <v>1120</v>
      </c>
      <c r="H6870" t="s">
        <v>365</v>
      </c>
      <c r="I6870" t="s">
        <v>66</v>
      </c>
    </row>
    <row r="6871" spans="1:9" x14ac:dyDescent="0.25">
      <c r="A6871">
        <v>20140220</v>
      </c>
      <c r="B6871" t="str">
        <f>"114396"</f>
        <v>114396</v>
      </c>
      <c r="C6871" t="str">
        <f>"69856"</f>
        <v>69856</v>
      </c>
      <c r="D6871" t="s">
        <v>3440</v>
      </c>
      <c r="E6871" s="1">
        <v>2843.5</v>
      </c>
      <c r="F6871">
        <v>20140213</v>
      </c>
      <c r="G6871" t="s">
        <v>935</v>
      </c>
      <c r="H6871" t="s">
        <v>3441</v>
      </c>
      <c r="I6871" t="s">
        <v>21</v>
      </c>
    </row>
    <row r="6872" spans="1:9" x14ac:dyDescent="0.25">
      <c r="A6872">
        <v>20140220</v>
      </c>
      <c r="B6872" t="str">
        <f>"114397"</f>
        <v>114397</v>
      </c>
      <c r="C6872" t="str">
        <f>"70350"</f>
        <v>70350</v>
      </c>
      <c r="D6872" t="s">
        <v>2763</v>
      </c>
      <c r="E6872">
        <v>885</v>
      </c>
      <c r="F6872">
        <v>20140219</v>
      </c>
      <c r="G6872" t="s">
        <v>2764</v>
      </c>
      <c r="H6872" t="s">
        <v>3442</v>
      </c>
      <c r="I6872" t="s">
        <v>61</v>
      </c>
    </row>
    <row r="6873" spans="1:9" x14ac:dyDescent="0.25">
      <c r="A6873">
        <v>20140220</v>
      </c>
      <c r="B6873" t="str">
        <f>"114398"</f>
        <v>114398</v>
      </c>
      <c r="C6873" t="str">
        <f>"82080"</f>
        <v>82080</v>
      </c>
      <c r="D6873" t="s">
        <v>3443</v>
      </c>
      <c r="E6873">
        <v>200</v>
      </c>
      <c r="F6873">
        <v>20140217</v>
      </c>
      <c r="G6873" t="s">
        <v>982</v>
      </c>
      <c r="H6873" t="s">
        <v>3444</v>
      </c>
      <c r="I6873" t="s">
        <v>21</v>
      </c>
    </row>
    <row r="6874" spans="1:9" x14ac:dyDescent="0.25">
      <c r="A6874">
        <v>20140220</v>
      </c>
      <c r="B6874" t="str">
        <f>"114399"</f>
        <v>114399</v>
      </c>
      <c r="C6874" t="str">
        <f>"86254"</f>
        <v>86254</v>
      </c>
      <c r="D6874" t="s">
        <v>3445</v>
      </c>
      <c r="E6874">
        <v>910</v>
      </c>
      <c r="F6874">
        <v>20140218</v>
      </c>
      <c r="G6874" t="s">
        <v>3400</v>
      </c>
      <c r="H6874" t="s">
        <v>954</v>
      </c>
      <c r="I6874" t="s">
        <v>21</v>
      </c>
    </row>
    <row r="6875" spans="1:9" x14ac:dyDescent="0.25">
      <c r="A6875">
        <v>20140220</v>
      </c>
      <c r="B6875" t="str">
        <f>"114399"</f>
        <v>114399</v>
      </c>
      <c r="C6875" t="str">
        <f>"86254"</f>
        <v>86254</v>
      </c>
      <c r="D6875" t="s">
        <v>3445</v>
      </c>
      <c r="E6875">
        <v>-910</v>
      </c>
      <c r="F6875">
        <v>20140306</v>
      </c>
      <c r="G6875" t="s">
        <v>3400</v>
      </c>
      <c r="H6875" t="s">
        <v>3446</v>
      </c>
      <c r="I6875" t="s">
        <v>21</v>
      </c>
    </row>
    <row r="6876" spans="1:9" x14ac:dyDescent="0.25">
      <c r="A6876">
        <v>20140220</v>
      </c>
      <c r="B6876" t="str">
        <f>"114400"</f>
        <v>114400</v>
      </c>
      <c r="C6876" t="str">
        <f>"74003"</f>
        <v>74003</v>
      </c>
      <c r="D6876" t="s">
        <v>3447</v>
      </c>
      <c r="E6876">
        <v>541.49</v>
      </c>
      <c r="F6876">
        <v>20140219</v>
      </c>
      <c r="G6876" t="s">
        <v>137</v>
      </c>
      <c r="H6876" t="s">
        <v>3448</v>
      </c>
      <c r="I6876" t="s">
        <v>21</v>
      </c>
    </row>
    <row r="6877" spans="1:9" x14ac:dyDescent="0.25">
      <c r="A6877">
        <v>20140220</v>
      </c>
      <c r="B6877" t="str">
        <f>"114401"</f>
        <v>114401</v>
      </c>
      <c r="C6877" t="str">
        <f>"73982"</f>
        <v>73982</v>
      </c>
      <c r="D6877" t="s">
        <v>701</v>
      </c>
      <c r="E6877">
        <v>211.16</v>
      </c>
      <c r="F6877">
        <v>20140218</v>
      </c>
      <c r="G6877" t="s">
        <v>1724</v>
      </c>
      <c r="H6877" t="s">
        <v>365</v>
      </c>
      <c r="I6877" t="s">
        <v>66</v>
      </c>
    </row>
    <row r="6878" spans="1:9" x14ac:dyDescent="0.25">
      <c r="A6878">
        <v>20140220</v>
      </c>
      <c r="B6878" t="str">
        <f>"114402"</f>
        <v>114402</v>
      </c>
      <c r="C6878" t="str">
        <f>"86085"</f>
        <v>86085</v>
      </c>
      <c r="D6878" t="s">
        <v>703</v>
      </c>
      <c r="E6878">
        <v>76</v>
      </c>
      <c r="F6878">
        <v>20140218</v>
      </c>
      <c r="G6878" t="s">
        <v>704</v>
      </c>
      <c r="H6878" t="s">
        <v>1535</v>
      </c>
      <c r="I6878" t="s">
        <v>21</v>
      </c>
    </row>
    <row r="6879" spans="1:9" x14ac:dyDescent="0.25">
      <c r="A6879">
        <v>20140220</v>
      </c>
      <c r="B6879" t="str">
        <f>"114403"</f>
        <v>114403</v>
      </c>
      <c r="C6879" t="str">
        <f>"87748"</f>
        <v>87748</v>
      </c>
      <c r="D6879" t="s">
        <v>3449</v>
      </c>
      <c r="E6879" s="1">
        <v>1575</v>
      </c>
      <c r="F6879">
        <v>20140217</v>
      </c>
      <c r="G6879" t="s">
        <v>159</v>
      </c>
      <c r="H6879" t="s">
        <v>2592</v>
      </c>
      <c r="I6879" t="s">
        <v>25</v>
      </c>
    </row>
    <row r="6880" spans="1:9" x14ac:dyDescent="0.25">
      <c r="A6880">
        <v>20140220</v>
      </c>
      <c r="B6880" t="str">
        <f>"114404"</f>
        <v>114404</v>
      </c>
      <c r="C6880" t="str">
        <f>"86805"</f>
        <v>86805</v>
      </c>
      <c r="D6880" t="s">
        <v>3450</v>
      </c>
      <c r="E6880">
        <v>55</v>
      </c>
      <c r="F6880">
        <v>20140219</v>
      </c>
      <c r="G6880" t="s">
        <v>3430</v>
      </c>
      <c r="H6880" t="s">
        <v>765</v>
      </c>
      <c r="I6880" t="s">
        <v>61</v>
      </c>
    </row>
    <row r="6881" spans="1:9" x14ac:dyDescent="0.25">
      <c r="A6881">
        <v>20140220</v>
      </c>
      <c r="B6881" t="str">
        <f>"114405"</f>
        <v>114405</v>
      </c>
      <c r="C6881" t="str">
        <f>"87616"</f>
        <v>87616</v>
      </c>
      <c r="D6881" t="s">
        <v>711</v>
      </c>
      <c r="E6881">
        <v>75</v>
      </c>
      <c r="F6881">
        <v>20140217</v>
      </c>
      <c r="G6881" t="s">
        <v>1030</v>
      </c>
      <c r="H6881" t="s">
        <v>2417</v>
      </c>
      <c r="I6881" t="s">
        <v>63</v>
      </c>
    </row>
    <row r="6882" spans="1:9" x14ac:dyDescent="0.25">
      <c r="A6882">
        <v>20140220</v>
      </c>
      <c r="B6882" t="str">
        <f>"114405"</f>
        <v>114405</v>
      </c>
      <c r="C6882" t="str">
        <f>"87616"</f>
        <v>87616</v>
      </c>
      <c r="D6882" t="s">
        <v>711</v>
      </c>
      <c r="E6882">
        <v>162</v>
      </c>
      <c r="F6882">
        <v>20140218</v>
      </c>
      <c r="G6882" t="s">
        <v>704</v>
      </c>
      <c r="H6882" t="s">
        <v>2417</v>
      </c>
      <c r="I6882" t="s">
        <v>21</v>
      </c>
    </row>
    <row r="6883" spans="1:9" x14ac:dyDescent="0.25">
      <c r="A6883">
        <v>20140220</v>
      </c>
      <c r="B6883" t="str">
        <f>"114405"</f>
        <v>114405</v>
      </c>
      <c r="C6883" t="str">
        <f>"87616"</f>
        <v>87616</v>
      </c>
      <c r="D6883" t="s">
        <v>711</v>
      </c>
      <c r="E6883">
        <v>84</v>
      </c>
      <c r="F6883">
        <v>20140218</v>
      </c>
      <c r="G6883" t="s">
        <v>1052</v>
      </c>
      <c r="H6883" t="s">
        <v>2418</v>
      </c>
      <c r="I6883" t="s">
        <v>25</v>
      </c>
    </row>
    <row r="6884" spans="1:9" x14ac:dyDescent="0.25">
      <c r="A6884">
        <v>20140220</v>
      </c>
      <c r="B6884" t="str">
        <f>"114405"</f>
        <v>114405</v>
      </c>
      <c r="C6884" t="str">
        <f>"87616"</f>
        <v>87616</v>
      </c>
      <c r="D6884" t="s">
        <v>711</v>
      </c>
      <c r="E6884">
        <v>192</v>
      </c>
      <c r="F6884">
        <v>20140219</v>
      </c>
      <c r="G6884" t="s">
        <v>184</v>
      </c>
      <c r="H6884" t="s">
        <v>3451</v>
      </c>
      <c r="I6884" t="s">
        <v>25</v>
      </c>
    </row>
    <row r="6885" spans="1:9" x14ac:dyDescent="0.25">
      <c r="A6885">
        <v>20140220</v>
      </c>
      <c r="B6885" t="str">
        <f>"114406"</f>
        <v>114406</v>
      </c>
      <c r="C6885" t="str">
        <f>"86951"</f>
        <v>86951</v>
      </c>
      <c r="D6885" t="s">
        <v>394</v>
      </c>
      <c r="E6885">
        <v>244.02</v>
      </c>
      <c r="F6885">
        <v>20140218</v>
      </c>
      <c r="G6885" t="s">
        <v>337</v>
      </c>
      <c r="H6885" t="s">
        <v>547</v>
      </c>
      <c r="I6885" t="s">
        <v>21</v>
      </c>
    </row>
    <row r="6886" spans="1:9" x14ac:dyDescent="0.25">
      <c r="A6886">
        <v>20140220</v>
      </c>
      <c r="B6886" t="str">
        <f>"114407"</f>
        <v>114407</v>
      </c>
      <c r="C6886" t="str">
        <f>"87560"</f>
        <v>87560</v>
      </c>
      <c r="D6886" t="s">
        <v>2304</v>
      </c>
      <c r="E6886" s="1">
        <v>3000</v>
      </c>
      <c r="F6886">
        <v>20140214</v>
      </c>
      <c r="G6886" t="s">
        <v>1504</v>
      </c>
      <c r="H6886" t="s">
        <v>2860</v>
      </c>
      <c r="I6886" t="s">
        <v>21</v>
      </c>
    </row>
    <row r="6887" spans="1:9" x14ac:dyDescent="0.25">
      <c r="A6887">
        <v>20140220</v>
      </c>
      <c r="B6887" t="str">
        <f>"114407"</f>
        <v>114407</v>
      </c>
      <c r="C6887" t="str">
        <f>"87560"</f>
        <v>87560</v>
      </c>
      <c r="D6887" t="s">
        <v>2304</v>
      </c>
      <c r="E6887" s="1">
        <v>6125</v>
      </c>
      <c r="F6887">
        <v>20140214</v>
      </c>
      <c r="G6887" t="s">
        <v>1504</v>
      </c>
      <c r="H6887" t="s">
        <v>2860</v>
      </c>
      <c r="I6887" t="s">
        <v>21</v>
      </c>
    </row>
    <row r="6888" spans="1:9" x14ac:dyDescent="0.25">
      <c r="A6888">
        <v>20140220</v>
      </c>
      <c r="B6888" t="str">
        <f>"114408"</f>
        <v>114408</v>
      </c>
      <c r="C6888" t="str">
        <f>"76839"</f>
        <v>76839</v>
      </c>
      <c r="D6888" t="s">
        <v>2817</v>
      </c>
      <c r="E6888">
        <v>255</v>
      </c>
      <c r="F6888">
        <v>20140218</v>
      </c>
      <c r="G6888" t="s">
        <v>1738</v>
      </c>
      <c r="H6888" t="s">
        <v>2468</v>
      </c>
      <c r="I6888" t="s">
        <v>21</v>
      </c>
    </row>
    <row r="6889" spans="1:9" x14ac:dyDescent="0.25">
      <c r="A6889">
        <v>20140220</v>
      </c>
      <c r="B6889" t="str">
        <f>"114408"</f>
        <v>114408</v>
      </c>
      <c r="C6889" t="str">
        <f>"76839"</f>
        <v>76839</v>
      </c>
      <c r="D6889" t="s">
        <v>2817</v>
      </c>
      <c r="E6889">
        <v>255</v>
      </c>
      <c r="F6889">
        <v>20140218</v>
      </c>
      <c r="G6889" t="s">
        <v>1738</v>
      </c>
      <c r="H6889" t="s">
        <v>2468</v>
      </c>
      <c r="I6889" t="s">
        <v>21</v>
      </c>
    </row>
    <row r="6890" spans="1:9" x14ac:dyDescent="0.25">
      <c r="A6890">
        <v>20140220</v>
      </c>
      <c r="B6890" t="str">
        <f>"114409"</f>
        <v>114409</v>
      </c>
      <c r="C6890" t="str">
        <f>"87749"</f>
        <v>87749</v>
      </c>
      <c r="D6890" t="s">
        <v>3452</v>
      </c>
      <c r="E6890" s="1">
        <v>1450</v>
      </c>
      <c r="F6890">
        <v>20140218</v>
      </c>
      <c r="G6890" t="s">
        <v>837</v>
      </c>
      <c r="H6890" t="s">
        <v>3453</v>
      </c>
      <c r="I6890" t="s">
        <v>21</v>
      </c>
    </row>
    <row r="6891" spans="1:9" x14ac:dyDescent="0.25">
      <c r="A6891">
        <v>20140220</v>
      </c>
      <c r="B6891" t="str">
        <f>"114410"</f>
        <v>114410</v>
      </c>
      <c r="C6891" t="str">
        <f>"77126"</f>
        <v>77126</v>
      </c>
      <c r="D6891" t="s">
        <v>3454</v>
      </c>
      <c r="E6891">
        <v>330</v>
      </c>
      <c r="F6891">
        <v>20140217</v>
      </c>
      <c r="G6891" t="s">
        <v>3430</v>
      </c>
      <c r="H6891" t="s">
        <v>1004</v>
      </c>
      <c r="I6891" t="s">
        <v>61</v>
      </c>
    </row>
    <row r="6892" spans="1:9" x14ac:dyDescent="0.25">
      <c r="A6892">
        <v>20140220</v>
      </c>
      <c r="B6892" t="str">
        <f>"114410"</f>
        <v>114410</v>
      </c>
      <c r="C6892" t="str">
        <f>"77126"</f>
        <v>77126</v>
      </c>
      <c r="D6892" t="s">
        <v>3454</v>
      </c>
      <c r="E6892">
        <v>115</v>
      </c>
      <c r="F6892">
        <v>20140217</v>
      </c>
      <c r="G6892" t="s">
        <v>3430</v>
      </c>
      <c r="H6892" t="s">
        <v>1004</v>
      </c>
      <c r="I6892" t="s">
        <v>61</v>
      </c>
    </row>
    <row r="6893" spans="1:9" x14ac:dyDescent="0.25">
      <c r="A6893">
        <v>20140220</v>
      </c>
      <c r="B6893" t="str">
        <f>"114411"</f>
        <v>114411</v>
      </c>
      <c r="C6893" t="str">
        <f>"87702"</f>
        <v>87702</v>
      </c>
      <c r="D6893" t="s">
        <v>3455</v>
      </c>
      <c r="E6893">
        <v>330</v>
      </c>
      <c r="F6893">
        <v>20140217</v>
      </c>
      <c r="G6893" t="s">
        <v>2801</v>
      </c>
      <c r="H6893" t="s">
        <v>3456</v>
      </c>
      <c r="I6893" t="s">
        <v>21</v>
      </c>
    </row>
    <row r="6894" spans="1:9" x14ac:dyDescent="0.25">
      <c r="A6894">
        <v>20140220</v>
      </c>
      <c r="B6894" t="str">
        <f>"114412"</f>
        <v>114412</v>
      </c>
      <c r="C6894" t="str">
        <f>"00109"</f>
        <v>00109</v>
      </c>
      <c r="D6894" t="s">
        <v>3256</v>
      </c>
      <c r="E6894">
        <v>160</v>
      </c>
      <c r="F6894">
        <v>20140219</v>
      </c>
      <c r="G6894" t="s">
        <v>347</v>
      </c>
      <c r="H6894" t="s">
        <v>361</v>
      </c>
      <c r="I6894" t="s">
        <v>61</v>
      </c>
    </row>
    <row r="6895" spans="1:9" x14ac:dyDescent="0.25">
      <c r="A6895">
        <v>20140220</v>
      </c>
      <c r="B6895" t="str">
        <f>"114413"</f>
        <v>114413</v>
      </c>
      <c r="C6895" t="str">
        <f>"83814"</f>
        <v>83814</v>
      </c>
      <c r="D6895" t="s">
        <v>3457</v>
      </c>
      <c r="E6895" s="1">
        <v>8425.39</v>
      </c>
      <c r="F6895">
        <v>20140214</v>
      </c>
      <c r="G6895" t="s">
        <v>1281</v>
      </c>
      <c r="H6895" t="s">
        <v>3458</v>
      </c>
      <c r="I6895" t="s">
        <v>21</v>
      </c>
    </row>
    <row r="6896" spans="1:9" x14ac:dyDescent="0.25">
      <c r="A6896">
        <v>20140220</v>
      </c>
      <c r="B6896" t="str">
        <f>"114414"</f>
        <v>114414</v>
      </c>
      <c r="C6896" t="str">
        <f>"84982"</f>
        <v>84982</v>
      </c>
      <c r="D6896" t="s">
        <v>1951</v>
      </c>
      <c r="E6896">
        <v>43.81</v>
      </c>
      <c r="F6896">
        <v>20140219</v>
      </c>
      <c r="G6896" t="s">
        <v>1017</v>
      </c>
      <c r="H6896" t="s">
        <v>354</v>
      </c>
      <c r="I6896" t="s">
        <v>63</v>
      </c>
    </row>
    <row r="6897" spans="1:9" x14ac:dyDescent="0.25">
      <c r="A6897">
        <v>20140220</v>
      </c>
      <c r="B6897" t="str">
        <f>"114415"</f>
        <v>114415</v>
      </c>
      <c r="C6897" t="str">
        <f>"82916"</f>
        <v>82916</v>
      </c>
      <c r="D6897" t="s">
        <v>1952</v>
      </c>
      <c r="E6897">
        <v>450</v>
      </c>
      <c r="F6897">
        <v>20140219</v>
      </c>
      <c r="G6897" t="s">
        <v>347</v>
      </c>
      <c r="H6897" t="s">
        <v>361</v>
      </c>
      <c r="I6897" t="s">
        <v>61</v>
      </c>
    </row>
    <row r="6898" spans="1:9" x14ac:dyDescent="0.25">
      <c r="A6898">
        <v>20140220</v>
      </c>
      <c r="B6898" t="str">
        <f>"114416"</f>
        <v>114416</v>
      </c>
      <c r="C6898" t="str">
        <f>"87141"</f>
        <v>87141</v>
      </c>
      <c r="D6898" t="s">
        <v>1332</v>
      </c>
      <c r="E6898" s="1">
        <v>4809.45</v>
      </c>
      <c r="F6898">
        <v>20140219</v>
      </c>
      <c r="G6898" t="s">
        <v>2995</v>
      </c>
      <c r="H6898" t="s">
        <v>2903</v>
      </c>
      <c r="I6898" t="s">
        <v>38</v>
      </c>
    </row>
    <row r="6899" spans="1:9" x14ac:dyDescent="0.25">
      <c r="A6899">
        <v>20140220</v>
      </c>
      <c r="B6899" t="str">
        <f>"114417"</f>
        <v>114417</v>
      </c>
      <c r="C6899" t="str">
        <f>"84132"</f>
        <v>84132</v>
      </c>
      <c r="D6899" t="s">
        <v>1695</v>
      </c>
      <c r="E6899">
        <v>56.21</v>
      </c>
      <c r="F6899">
        <v>20140218</v>
      </c>
      <c r="G6899" t="s">
        <v>1696</v>
      </c>
      <c r="H6899" t="s">
        <v>563</v>
      </c>
      <c r="I6899" t="s">
        <v>21</v>
      </c>
    </row>
    <row r="6900" spans="1:9" x14ac:dyDescent="0.25">
      <c r="A6900">
        <v>20140220</v>
      </c>
      <c r="B6900" t="str">
        <f>"114417"</f>
        <v>114417</v>
      </c>
      <c r="C6900" t="str">
        <f>"84132"</f>
        <v>84132</v>
      </c>
      <c r="D6900" t="s">
        <v>1695</v>
      </c>
      <c r="E6900">
        <v>302</v>
      </c>
      <c r="F6900">
        <v>20140217</v>
      </c>
      <c r="G6900" t="s">
        <v>1145</v>
      </c>
      <c r="H6900" t="s">
        <v>365</v>
      </c>
      <c r="I6900" t="s">
        <v>73</v>
      </c>
    </row>
    <row r="6901" spans="1:9" x14ac:dyDescent="0.25">
      <c r="A6901">
        <v>20140220</v>
      </c>
      <c r="B6901" t="str">
        <f t="shared" ref="B6901:B6910" si="429">"114418"</f>
        <v>114418</v>
      </c>
      <c r="C6901" t="str">
        <f t="shared" ref="C6901:C6910" si="430">"86964"</f>
        <v>86964</v>
      </c>
      <c r="D6901" t="s">
        <v>1280</v>
      </c>
      <c r="E6901" s="1">
        <v>14442.88</v>
      </c>
      <c r="F6901">
        <v>20140220</v>
      </c>
      <c r="G6901" t="s">
        <v>2147</v>
      </c>
      <c r="H6901" t="s">
        <v>3459</v>
      </c>
      <c r="I6901" t="s">
        <v>21</v>
      </c>
    </row>
    <row r="6902" spans="1:9" x14ac:dyDescent="0.25">
      <c r="A6902">
        <v>20140220</v>
      </c>
      <c r="B6902" t="str">
        <f t="shared" si="429"/>
        <v>114418</v>
      </c>
      <c r="C6902" t="str">
        <f t="shared" si="430"/>
        <v>86964</v>
      </c>
      <c r="D6902" t="s">
        <v>1280</v>
      </c>
      <c r="E6902" s="1">
        <v>4038.84</v>
      </c>
      <c r="F6902">
        <v>20140220</v>
      </c>
      <c r="G6902" t="s">
        <v>2147</v>
      </c>
      <c r="H6902" t="s">
        <v>3460</v>
      </c>
      <c r="I6902" t="s">
        <v>21</v>
      </c>
    </row>
    <row r="6903" spans="1:9" x14ac:dyDescent="0.25">
      <c r="A6903">
        <v>20140220</v>
      </c>
      <c r="B6903" t="str">
        <f t="shared" si="429"/>
        <v>114418</v>
      </c>
      <c r="C6903" t="str">
        <f t="shared" si="430"/>
        <v>86964</v>
      </c>
      <c r="D6903" t="s">
        <v>1280</v>
      </c>
      <c r="E6903" s="1">
        <v>4799.8</v>
      </c>
      <c r="F6903">
        <v>20140220</v>
      </c>
      <c r="G6903" t="s">
        <v>2147</v>
      </c>
      <c r="H6903" t="s">
        <v>3460</v>
      </c>
      <c r="I6903" t="s">
        <v>21</v>
      </c>
    </row>
    <row r="6904" spans="1:9" x14ac:dyDescent="0.25">
      <c r="A6904">
        <v>20140220</v>
      </c>
      <c r="B6904" t="str">
        <f t="shared" si="429"/>
        <v>114418</v>
      </c>
      <c r="C6904" t="str">
        <f t="shared" si="430"/>
        <v>86964</v>
      </c>
      <c r="D6904" t="s">
        <v>1280</v>
      </c>
      <c r="E6904" s="1">
        <v>14245.06</v>
      </c>
      <c r="F6904">
        <v>20140220</v>
      </c>
      <c r="G6904" t="s">
        <v>2147</v>
      </c>
      <c r="H6904" t="s">
        <v>3460</v>
      </c>
      <c r="I6904" t="s">
        <v>21</v>
      </c>
    </row>
    <row r="6905" spans="1:9" x14ac:dyDescent="0.25">
      <c r="A6905">
        <v>20140220</v>
      </c>
      <c r="B6905" t="str">
        <f t="shared" si="429"/>
        <v>114418</v>
      </c>
      <c r="C6905" t="str">
        <f t="shared" si="430"/>
        <v>86964</v>
      </c>
      <c r="D6905" t="s">
        <v>1280</v>
      </c>
      <c r="E6905">
        <v>146.25</v>
      </c>
      <c r="F6905">
        <v>20140220</v>
      </c>
      <c r="G6905" t="s">
        <v>2147</v>
      </c>
      <c r="H6905" t="s">
        <v>3460</v>
      </c>
      <c r="I6905" t="s">
        <v>21</v>
      </c>
    </row>
    <row r="6906" spans="1:9" x14ac:dyDescent="0.25">
      <c r="A6906">
        <v>20140220</v>
      </c>
      <c r="B6906" t="str">
        <f t="shared" si="429"/>
        <v>114418</v>
      </c>
      <c r="C6906" t="str">
        <f t="shared" si="430"/>
        <v>86964</v>
      </c>
      <c r="D6906" t="s">
        <v>1280</v>
      </c>
      <c r="E6906" s="1">
        <v>4942.5</v>
      </c>
      <c r="F6906">
        <v>20140220</v>
      </c>
      <c r="G6906" t="s">
        <v>2147</v>
      </c>
      <c r="H6906" t="s">
        <v>3460</v>
      </c>
      <c r="I6906" t="s">
        <v>21</v>
      </c>
    </row>
    <row r="6907" spans="1:9" x14ac:dyDescent="0.25">
      <c r="A6907">
        <v>20140220</v>
      </c>
      <c r="B6907" t="str">
        <f t="shared" si="429"/>
        <v>114418</v>
      </c>
      <c r="C6907" t="str">
        <f t="shared" si="430"/>
        <v>86964</v>
      </c>
      <c r="D6907" t="s">
        <v>1280</v>
      </c>
      <c r="E6907" s="1">
        <v>1476.25</v>
      </c>
      <c r="F6907">
        <v>20140220</v>
      </c>
      <c r="G6907" t="s">
        <v>2147</v>
      </c>
      <c r="H6907" t="s">
        <v>3460</v>
      </c>
      <c r="I6907" t="s">
        <v>21</v>
      </c>
    </row>
    <row r="6908" spans="1:9" x14ac:dyDescent="0.25">
      <c r="A6908">
        <v>20140220</v>
      </c>
      <c r="B6908" t="str">
        <f t="shared" si="429"/>
        <v>114418</v>
      </c>
      <c r="C6908" t="str">
        <f t="shared" si="430"/>
        <v>86964</v>
      </c>
      <c r="D6908" t="s">
        <v>1280</v>
      </c>
      <c r="E6908">
        <v>212.5</v>
      </c>
      <c r="F6908">
        <v>20140220</v>
      </c>
      <c r="G6908" t="s">
        <v>2147</v>
      </c>
      <c r="H6908" t="s">
        <v>3460</v>
      </c>
      <c r="I6908" t="s">
        <v>21</v>
      </c>
    </row>
    <row r="6909" spans="1:9" x14ac:dyDescent="0.25">
      <c r="A6909">
        <v>20140220</v>
      </c>
      <c r="B6909" t="str">
        <f t="shared" si="429"/>
        <v>114418</v>
      </c>
      <c r="C6909" t="str">
        <f t="shared" si="430"/>
        <v>86964</v>
      </c>
      <c r="D6909" t="s">
        <v>1280</v>
      </c>
      <c r="E6909" s="1">
        <v>59112.84</v>
      </c>
      <c r="F6909">
        <v>20140220</v>
      </c>
      <c r="G6909" t="s">
        <v>2147</v>
      </c>
      <c r="H6909" t="s">
        <v>3460</v>
      </c>
      <c r="I6909" t="s">
        <v>21</v>
      </c>
    </row>
    <row r="6910" spans="1:9" x14ac:dyDescent="0.25">
      <c r="A6910">
        <v>20140220</v>
      </c>
      <c r="B6910" t="str">
        <f t="shared" si="429"/>
        <v>114418</v>
      </c>
      <c r="C6910" t="str">
        <f t="shared" si="430"/>
        <v>86964</v>
      </c>
      <c r="D6910" t="s">
        <v>1280</v>
      </c>
      <c r="E6910" s="1">
        <v>696375.89</v>
      </c>
      <c r="F6910">
        <v>20140220</v>
      </c>
      <c r="G6910" t="s">
        <v>2147</v>
      </c>
      <c r="H6910" t="s">
        <v>3460</v>
      </c>
      <c r="I6910" t="s">
        <v>21</v>
      </c>
    </row>
    <row r="6911" spans="1:9" x14ac:dyDescent="0.25">
      <c r="A6911">
        <v>20140226</v>
      </c>
      <c r="B6911" t="str">
        <f>"114419"</f>
        <v>114419</v>
      </c>
      <c r="C6911" t="str">
        <f>"10800"</f>
        <v>10800</v>
      </c>
      <c r="D6911" t="s">
        <v>2585</v>
      </c>
      <c r="E6911">
        <v>330</v>
      </c>
      <c r="F6911">
        <v>20140226</v>
      </c>
      <c r="G6911" t="s">
        <v>2138</v>
      </c>
      <c r="H6911" t="s">
        <v>679</v>
      </c>
      <c r="I6911" t="s">
        <v>21</v>
      </c>
    </row>
    <row r="6912" spans="1:9" x14ac:dyDescent="0.25">
      <c r="A6912">
        <v>20140227</v>
      </c>
      <c r="B6912" t="str">
        <f>"114420"</f>
        <v>114420</v>
      </c>
      <c r="C6912" t="str">
        <f>"00155"</f>
        <v>00155</v>
      </c>
      <c r="D6912" t="s">
        <v>443</v>
      </c>
      <c r="E6912" s="1">
        <v>1060</v>
      </c>
      <c r="F6912">
        <v>20140221</v>
      </c>
      <c r="G6912" t="s">
        <v>995</v>
      </c>
      <c r="H6912" t="s">
        <v>3461</v>
      </c>
      <c r="I6912" t="s">
        <v>61</v>
      </c>
    </row>
    <row r="6913" spans="1:9" x14ac:dyDescent="0.25">
      <c r="A6913">
        <v>20140227</v>
      </c>
      <c r="B6913" t="str">
        <f>"114420"</f>
        <v>114420</v>
      </c>
      <c r="C6913" t="str">
        <f>"00155"</f>
        <v>00155</v>
      </c>
      <c r="D6913" t="s">
        <v>443</v>
      </c>
      <c r="E6913">
        <v>640</v>
      </c>
      <c r="F6913">
        <v>20140221</v>
      </c>
      <c r="G6913" t="s">
        <v>2624</v>
      </c>
      <c r="H6913" t="s">
        <v>3461</v>
      </c>
      <c r="I6913" t="s">
        <v>61</v>
      </c>
    </row>
    <row r="6914" spans="1:9" x14ac:dyDescent="0.25">
      <c r="A6914">
        <v>20140227</v>
      </c>
      <c r="B6914" t="str">
        <f>"114420"</f>
        <v>114420</v>
      </c>
      <c r="C6914" t="str">
        <f>"00155"</f>
        <v>00155</v>
      </c>
      <c r="D6914" t="s">
        <v>443</v>
      </c>
      <c r="E6914" s="1">
        <v>1050</v>
      </c>
      <c r="F6914">
        <v>20140221</v>
      </c>
      <c r="G6914" t="s">
        <v>415</v>
      </c>
      <c r="H6914" t="s">
        <v>3461</v>
      </c>
      <c r="I6914" t="s">
        <v>21</v>
      </c>
    </row>
    <row r="6915" spans="1:9" x14ac:dyDescent="0.25">
      <c r="A6915">
        <v>20140227</v>
      </c>
      <c r="B6915" t="str">
        <f>"114421"</f>
        <v>114421</v>
      </c>
      <c r="C6915" t="str">
        <f>"87769"</f>
        <v>87769</v>
      </c>
      <c r="D6915" t="s">
        <v>3462</v>
      </c>
      <c r="E6915">
        <v>55.76</v>
      </c>
      <c r="F6915">
        <v>20140226</v>
      </c>
      <c r="G6915" t="s">
        <v>181</v>
      </c>
      <c r="H6915" t="s">
        <v>354</v>
      </c>
      <c r="I6915" t="s">
        <v>38</v>
      </c>
    </row>
    <row r="6916" spans="1:9" x14ac:dyDescent="0.25">
      <c r="A6916">
        <v>20140227</v>
      </c>
      <c r="B6916" t="str">
        <f>"114422"</f>
        <v>114422</v>
      </c>
      <c r="C6916" t="str">
        <f>"00925"</f>
        <v>00925</v>
      </c>
      <c r="D6916" t="s">
        <v>1553</v>
      </c>
      <c r="E6916">
        <v>855.59</v>
      </c>
      <c r="F6916">
        <v>20140226</v>
      </c>
      <c r="G6916" t="s">
        <v>3463</v>
      </c>
      <c r="H6916" t="s">
        <v>365</v>
      </c>
      <c r="I6916" t="s">
        <v>21</v>
      </c>
    </row>
    <row r="6917" spans="1:9" x14ac:dyDescent="0.25">
      <c r="A6917">
        <v>20140227</v>
      </c>
      <c r="B6917" t="str">
        <f>"114422"</f>
        <v>114422</v>
      </c>
      <c r="C6917" t="str">
        <f>"00925"</f>
        <v>00925</v>
      </c>
      <c r="D6917" t="s">
        <v>1553</v>
      </c>
      <c r="E6917" s="1">
        <v>1548.84</v>
      </c>
      <c r="F6917">
        <v>20140226</v>
      </c>
      <c r="G6917" t="s">
        <v>1426</v>
      </c>
      <c r="H6917" t="s">
        <v>365</v>
      </c>
      <c r="I6917" t="s">
        <v>38</v>
      </c>
    </row>
    <row r="6918" spans="1:9" x14ac:dyDescent="0.25">
      <c r="A6918">
        <v>20140227</v>
      </c>
      <c r="B6918" t="str">
        <f>"114423"</f>
        <v>114423</v>
      </c>
      <c r="C6918" t="str">
        <f>"00954"</f>
        <v>00954</v>
      </c>
      <c r="D6918" t="s">
        <v>445</v>
      </c>
      <c r="E6918">
        <v>48</v>
      </c>
      <c r="F6918">
        <v>20140220</v>
      </c>
      <c r="G6918" t="s">
        <v>496</v>
      </c>
      <c r="H6918" t="s">
        <v>993</v>
      </c>
      <c r="I6918" t="s">
        <v>21</v>
      </c>
    </row>
    <row r="6919" spans="1:9" x14ac:dyDescent="0.25">
      <c r="A6919">
        <v>20140227</v>
      </c>
      <c r="B6919" t="str">
        <f>"114424"</f>
        <v>114424</v>
      </c>
      <c r="C6919" t="str">
        <f>"00120"</f>
        <v>00120</v>
      </c>
      <c r="D6919" t="s">
        <v>336</v>
      </c>
      <c r="E6919">
        <v>128.22</v>
      </c>
      <c r="F6919">
        <v>20140220</v>
      </c>
      <c r="G6919" t="s">
        <v>337</v>
      </c>
      <c r="H6919" t="s">
        <v>547</v>
      </c>
      <c r="I6919" t="s">
        <v>21</v>
      </c>
    </row>
    <row r="6920" spans="1:9" x14ac:dyDescent="0.25">
      <c r="A6920">
        <v>20140227</v>
      </c>
      <c r="B6920" t="str">
        <f>"114424"</f>
        <v>114424</v>
      </c>
      <c r="C6920" t="str">
        <f>"00120"</f>
        <v>00120</v>
      </c>
      <c r="D6920" t="s">
        <v>336</v>
      </c>
      <c r="E6920">
        <v>103.49</v>
      </c>
      <c r="F6920">
        <v>20140220</v>
      </c>
      <c r="G6920" t="s">
        <v>337</v>
      </c>
      <c r="H6920" t="s">
        <v>547</v>
      </c>
      <c r="I6920" t="s">
        <v>21</v>
      </c>
    </row>
    <row r="6921" spans="1:9" x14ac:dyDescent="0.25">
      <c r="A6921">
        <v>20140227</v>
      </c>
      <c r="B6921" t="str">
        <f>"114424"</f>
        <v>114424</v>
      </c>
      <c r="C6921" t="str">
        <f>"00120"</f>
        <v>00120</v>
      </c>
      <c r="D6921" t="s">
        <v>336</v>
      </c>
      <c r="E6921">
        <v>248.19</v>
      </c>
      <c r="F6921">
        <v>20140220</v>
      </c>
      <c r="G6921" t="s">
        <v>337</v>
      </c>
      <c r="H6921" t="s">
        <v>547</v>
      </c>
      <c r="I6921" t="s">
        <v>21</v>
      </c>
    </row>
    <row r="6922" spans="1:9" x14ac:dyDescent="0.25">
      <c r="A6922">
        <v>20140227</v>
      </c>
      <c r="B6922" t="str">
        <f>"114425"</f>
        <v>114425</v>
      </c>
      <c r="C6922" t="str">
        <f>"84595"</f>
        <v>84595</v>
      </c>
      <c r="D6922" t="s">
        <v>3264</v>
      </c>
      <c r="E6922">
        <v>86.17</v>
      </c>
      <c r="F6922">
        <v>20140221</v>
      </c>
      <c r="G6922" t="s">
        <v>3099</v>
      </c>
      <c r="H6922" t="s">
        <v>765</v>
      </c>
      <c r="I6922" t="s">
        <v>61</v>
      </c>
    </row>
    <row r="6923" spans="1:9" x14ac:dyDescent="0.25">
      <c r="A6923">
        <v>20140227</v>
      </c>
      <c r="B6923" t="str">
        <f>"114425"</f>
        <v>114425</v>
      </c>
      <c r="C6923" t="str">
        <f>"84595"</f>
        <v>84595</v>
      </c>
      <c r="D6923" t="s">
        <v>3264</v>
      </c>
      <c r="E6923">
        <v>111.17</v>
      </c>
      <c r="F6923">
        <v>20140221</v>
      </c>
      <c r="G6923" t="s">
        <v>3099</v>
      </c>
      <c r="H6923" t="s">
        <v>765</v>
      </c>
      <c r="I6923" t="s">
        <v>61</v>
      </c>
    </row>
    <row r="6924" spans="1:9" x14ac:dyDescent="0.25">
      <c r="A6924">
        <v>20140227</v>
      </c>
      <c r="B6924" t="str">
        <f>"114426"</f>
        <v>114426</v>
      </c>
      <c r="C6924" t="str">
        <f>"84594"</f>
        <v>84594</v>
      </c>
      <c r="D6924" t="s">
        <v>3265</v>
      </c>
      <c r="E6924">
        <v>111.17</v>
      </c>
      <c r="F6924">
        <v>20140221</v>
      </c>
      <c r="G6924" t="s">
        <v>3099</v>
      </c>
      <c r="H6924" t="s">
        <v>765</v>
      </c>
      <c r="I6924" t="s">
        <v>61</v>
      </c>
    </row>
    <row r="6925" spans="1:9" x14ac:dyDescent="0.25">
      <c r="A6925">
        <v>20140227</v>
      </c>
      <c r="B6925" t="str">
        <f>"114427"</f>
        <v>114427</v>
      </c>
      <c r="C6925" t="str">
        <f>"02575"</f>
        <v>02575</v>
      </c>
      <c r="D6925" t="s">
        <v>3464</v>
      </c>
      <c r="E6925">
        <v>129.09</v>
      </c>
      <c r="F6925">
        <v>20140221</v>
      </c>
      <c r="G6925" t="s">
        <v>1846</v>
      </c>
      <c r="H6925" t="s">
        <v>765</v>
      </c>
      <c r="I6925" t="s">
        <v>63</v>
      </c>
    </row>
    <row r="6926" spans="1:9" x14ac:dyDescent="0.25">
      <c r="A6926">
        <v>20140227</v>
      </c>
      <c r="B6926" t="str">
        <f>"114428"</f>
        <v>114428</v>
      </c>
      <c r="C6926" t="str">
        <f>"87715"</f>
        <v>87715</v>
      </c>
      <c r="D6926" t="s">
        <v>3100</v>
      </c>
      <c r="E6926">
        <v>127</v>
      </c>
      <c r="F6926">
        <v>20140221</v>
      </c>
      <c r="G6926" t="s">
        <v>3099</v>
      </c>
      <c r="H6926" t="s">
        <v>765</v>
      </c>
      <c r="I6926" t="s">
        <v>61</v>
      </c>
    </row>
    <row r="6927" spans="1:9" x14ac:dyDescent="0.25">
      <c r="A6927">
        <v>20140227</v>
      </c>
      <c r="B6927" t="str">
        <f>"114429"</f>
        <v>114429</v>
      </c>
      <c r="C6927" t="str">
        <f>"00500"</f>
        <v>00500</v>
      </c>
      <c r="D6927" t="s">
        <v>486</v>
      </c>
      <c r="E6927" s="1">
        <v>9330.86</v>
      </c>
      <c r="F6927">
        <v>20140226</v>
      </c>
      <c r="G6927" t="s">
        <v>1182</v>
      </c>
      <c r="H6927" t="s">
        <v>488</v>
      </c>
      <c r="I6927" t="s">
        <v>21</v>
      </c>
    </row>
    <row r="6928" spans="1:9" x14ac:dyDescent="0.25">
      <c r="A6928">
        <v>20140227</v>
      </c>
      <c r="B6928" t="str">
        <f>"114430"</f>
        <v>114430</v>
      </c>
      <c r="C6928" t="str">
        <f>"00255"</f>
        <v>00255</v>
      </c>
      <c r="D6928" t="s">
        <v>489</v>
      </c>
      <c r="E6928" s="1">
        <v>1220.47</v>
      </c>
      <c r="F6928">
        <v>20140220</v>
      </c>
      <c r="G6928" t="s">
        <v>1350</v>
      </c>
      <c r="H6928" t="s">
        <v>488</v>
      </c>
      <c r="I6928" t="s">
        <v>21</v>
      </c>
    </row>
    <row r="6929" spans="1:9" x14ac:dyDescent="0.25">
      <c r="A6929">
        <v>20140227</v>
      </c>
      <c r="B6929" t="str">
        <f>"114430"</f>
        <v>114430</v>
      </c>
      <c r="C6929" t="str">
        <f>"00255"</f>
        <v>00255</v>
      </c>
      <c r="D6929" t="s">
        <v>489</v>
      </c>
      <c r="E6929" s="1">
        <v>12340.39</v>
      </c>
      <c r="F6929">
        <v>20140220</v>
      </c>
      <c r="G6929" t="s">
        <v>1351</v>
      </c>
      <c r="H6929" t="s">
        <v>488</v>
      </c>
      <c r="I6929" t="s">
        <v>21</v>
      </c>
    </row>
    <row r="6930" spans="1:9" x14ac:dyDescent="0.25">
      <c r="A6930">
        <v>20140227</v>
      </c>
      <c r="B6930" t="str">
        <f>"114431"</f>
        <v>114431</v>
      </c>
      <c r="C6930" t="str">
        <f>"86456"</f>
        <v>86456</v>
      </c>
      <c r="D6930" t="s">
        <v>495</v>
      </c>
      <c r="E6930">
        <v>54.98</v>
      </c>
      <c r="F6930">
        <v>20140226</v>
      </c>
      <c r="G6930" t="s">
        <v>496</v>
      </c>
      <c r="H6930" t="s">
        <v>414</v>
      </c>
      <c r="I6930" t="s">
        <v>21</v>
      </c>
    </row>
    <row r="6931" spans="1:9" x14ac:dyDescent="0.25">
      <c r="A6931">
        <v>20140227</v>
      </c>
      <c r="B6931" t="str">
        <f>"114431"</f>
        <v>114431</v>
      </c>
      <c r="C6931" t="str">
        <f>"86456"</f>
        <v>86456</v>
      </c>
      <c r="D6931" t="s">
        <v>495</v>
      </c>
      <c r="E6931">
        <v>618.83000000000004</v>
      </c>
      <c r="F6931">
        <v>20140226</v>
      </c>
      <c r="G6931" t="s">
        <v>413</v>
      </c>
      <c r="H6931" t="s">
        <v>414</v>
      </c>
      <c r="I6931" t="s">
        <v>21</v>
      </c>
    </row>
    <row r="6932" spans="1:9" x14ac:dyDescent="0.25">
      <c r="A6932">
        <v>20140227</v>
      </c>
      <c r="B6932" t="str">
        <f>"114431"</f>
        <v>114431</v>
      </c>
      <c r="C6932" t="str">
        <f>"86456"</f>
        <v>86456</v>
      </c>
      <c r="D6932" t="s">
        <v>495</v>
      </c>
      <c r="E6932">
        <v>253.89</v>
      </c>
      <c r="F6932">
        <v>20140226</v>
      </c>
      <c r="G6932" t="s">
        <v>392</v>
      </c>
      <c r="H6932" t="s">
        <v>414</v>
      </c>
      <c r="I6932" t="s">
        <v>21</v>
      </c>
    </row>
    <row r="6933" spans="1:9" x14ac:dyDescent="0.25">
      <c r="A6933">
        <v>20140227</v>
      </c>
      <c r="B6933" t="str">
        <f>"114431"</f>
        <v>114431</v>
      </c>
      <c r="C6933" t="str">
        <f>"86456"</f>
        <v>86456</v>
      </c>
      <c r="D6933" t="s">
        <v>495</v>
      </c>
      <c r="E6933">
        <v>15.96</v>
      </c>
      <c r="F6933">
        <v>20140226</v>
      </c>
      <c r="G6933" t="s">
        <v>417</v>
      </c>
      <c r="H6933" t="s">
        <v>414</v>
      </c>
      <c r="I6933" t="s">
        <v>21</v>
      </c>
    </row>
    <row r="6934" spans="1:9" x14ac:dyDescent="0.25">
      <c r="A6934">
        <v>20140227</v>
      </c>
      <c r="B6934" t="str">
        <f>"114431"</f>
        <v>114431</v>
      </c>
      <c r="C6934" t="str">
        <f>"86456"</f>
        <v>86456</v>
      </c>
      <c r="D6934" t="s">
        <v>495</v>
      </c>
      <c r="E6934">
        <v>289.95999999999998</v>
      </c>
      <c r="F6934">
        <v>20140226</v>
      </c>
      <c r="G6934" t="s">
        <v>1426</v>
      </c>
      <c r="H6934" t="s">
        <v>414</v>
      </c>
      <c r="I6934" t="s">
        <v>38</v>
      </c>
    </row>
    <row r="6935" spans="1:9" x14ac:dyDescent="0.25">
      <c r="A6935">
        <v>20140227</v>
      </c>
      <c r="B6935" t="str">
        <f>"114432"</f>
        <v>114432</v>
      </c>
      <c r="C6935" t="str">
        <f t="shared" ref="C6935:C6941" si="431">"83627"</f>
        <v>83627</v>
      </c>
      <c r="D6935" t="s">
        <v>1556</v>
      </c>
      <c r="E6935">
        <v>89.08</v>
      </c>
      <c r="F6935">
        <v>20140221</v>
      </c>
      <c r="G6935" t="s">
        <v>347</v>
      </c>
      <c r="H6935" t="s">
        <v>354</v>
      </c>
      <c r="I6935" t="s">
        <v>61</v>
      </c>
    </row>
    <row r="6936" spans="1:9" x14ac:dyDescent="0.25">
      <c r="A6936">
        <v>20140227</v>
      </c>
      <c r="B6936" t="str">
        <f>"114433"</f>
        <v>114433</v>
      </c>
      <c r="C6936" t="str">
        <f t="shared" si="431"/>
        <v>83627</v>
      </c>
      <c r="D6936" t="s">
        <v>1556</v>
      </c>
      <c r="E6936">
        <v>75</v>
      </c>
      <c r="F6936">
        <v>20140221</v>
      </c>
      <c r="G6936" t="s">
        <v>356</v>
      </c>
      <c r="H6936" t="s">
        <v>357</v>
      </c>
      <c r="I6936" t="s">
        <v>61</v>
      </c>
    </row>
    <row r="6937" spans="1:9" x14ac:dyDescent="0.25">
      <c r="A6937">
        <v>20140227</v>
      </c>
      <c r="B6937" t="str">
        <f>"114434"</f>
        <v>114434</v>
      </c>
      <c r="C6937" t="str">
        <f t="shared" si="431"/>
        <v>83627</v>
      </c>
      <c r="D6937" t="s">
        <v>1556</v>
      </c>
      <c r="E6937">
        <v>60</v>
      </c>
      <c r="F6937">
        <v>20140221</v>
      </c>
      <c r="G6937" t="s">
        <v>356</v>
      </c>
      <c r="H6937" t="s">
        <v>357</v>
      </c>
      <c r="I6937" t="s">
        <v>61</v>
      </c>
    </row>
    <row r="6938" spans="1:9" x14ac:dyDescent="0.25">
      <c r="A6938">
        <v>20140227</v>
      </c>
      <c r="B6938" t="str">
        <f>"114435"</f>
        <v>114435</v>
      </c>
      <c r="C6938" t="str">
        <f t="shared" si="431"/>
        <v>83627</v>
      </c>
      <c r="D6938" t="s">
        <v>1556</v>
      </c>
      <c r="E6938">
        <v>60</v>
      </c>
      <c r="F6938">
        <v>20140221</v>
      </c>
      <c r="G6938" t="s">
        <v>356</v>
      </c>
      <c r="H6938" t="s">
        <v>357</v>
      </c>
      <c r="I6938" t="s">
        <v>61</v>
      </c>
    </row>
    <row r="6939" spans="1:9" x14ac:dyDescent="0.25">
      <c r="A6939">
        <v>20140227</v>
      </c>
      <c r="B6939" t="str">
        <f>"114436"</f>
        <v>114436</v>
      </c>
      <c r="C6939" t="str">
        <f t="shared" si="431"/>
        <v>83627</v>
      </c>
      <c r="D6939" t="s">
        <v>1556</v>
      </c>
      <c r="E6939">
        <v>35</v>
      </c>
      <c r="F6939">
        <v>20140221</v>
      </c>
      <c r="G6939" t="s">
        <v>356</v>
      </c>
      <c r="H6939" t="s">
        <v>357</v>
      </c>
      <c r="I6939" t="s">
        <v>61</v>
      </c>
    </row>
    <row r="6940" spans="1:9" x14ac:dyDescent="0.25">
      <c r="A6940">
        <v>20140227</v>
      </c>
      <c r="B6940" t="str">
        <f>"114437"</f>
        <v>114437</v>
      </c>
      <c r="C6940" t="str">
        <f t="shared" si="431"/>
        <v>83627</v>
      </c>
      <c r="D6940" t="s">
        <v>1556</v>
      </c>
      <c r="E6940">
        <v>30</v>
      </c>
      <c r="F6940">
        <v>20140221</v>
      </c>
      <c r="G6940" t="s">
        <v>356</v>
      </c>
      <c r="H6940" t="s">
        <v>357</v>
      </c>
      <c r="I6940" t="s">
        <v>61</v>
      </c>
    </row>
    <row r="6941" spans="1:9" x14ac:dyDescent="0.25">
      <c r="A6941">
        <v>20140227</v>
      </c>
      <c r="B6941" t="str">
        <f>"114438"</f>
        <v>114438</v>
      </c>
      <c r="C6941" t="str">
        <f t="shared" si="431"/>
        <v>83627</v>
      </c>
      <c r="D6941" t="s">
        <v>1556</v>
      </c>
      <c r="E6941">
        <v>30</v>
      </c>
      <c r="F6941">
        <v>20140221</v>
      </c>
      <c r="G6941" t="s">
        <v>356</v>
      </c>
      <c r="H6941" t="s">
        <v>357</v>
      </c>
      <c r="I6941" t="s">
        <v>61</v>
      </c>
    </row>
    <row r="6942" spans="1:9" x14ac:dyDescent="0.25">
      <c r="A6942">
        <v>20140227</v>
      </c>
      <c r="B6942" t="str">
        <f>"114439"</f>
        <v>114439</v>
      </c>
      <c r="C6942" t="str">
        <f>"81431"</f>
        <v>81431</v>
      </c>
      <c r="D6942" t="s">
        <v>3465</v>
      </c>
      <c r="E6942">
        <v>92.99</v>
      </c>
      <c r="F6942">
        <v>20140226</v>
      </c>
      <c r="G6942" t="s">
        <v>364</v>
      </c>
      <c r="H6942" t="s">
        <v>365</v>
      </c>
      <c r="I6942" t="s">
        <v>21</v>
      </c>
    </row>
    <row r="6943" spans="1:9" x14ac:dyDescent="0.25">
      <c r="A6943">
        <v>20140227</v>
      </c>
      <c r="B6943" t="str">
        <f>"114440"</f>
        <v>114440</v>
      </c>
      <c r="C6943" t="str">
        <f>"82758"</f>
        <v>82758</v>
      </c>
      <c r="D6943" t="s">
        <v>776</v>
      </c>
      <c r="E6943">
        <v>53.95</v>
      </c>
      <c r="F6943">
        <v>20140226</v>
      </c>
      <c r="G6943" t="s">
        <v>777</v>
      </c>
      <c r="H6943" t="s">
        <v>778</v>
      </c>
      <c r="I6943" t="s">
        <v>21</v>
      </c>
    </row>
    <row r="6944" spans="1:9" x14ac:dyDescent="0.25">
      <c r="A6944">
        <v>20140227</v>
      </c>
      <c r="B6944" t="str">
        <f>"114440"</f>
        <v>114440</v>
      </c>
      <c r="C6944" t="str">
        <f>"82758"</f>
        <v>82758</v>
      </c>
      <c r="D6944" t="s">
        <v>776</v>
      </c>
      <c r="E6944" s="1">
        <v>18357.8</v>
      </c>
      <c r="F6944">
        <v>20140226</v>
      </c>
      <c r="G6944" t="s">
        <v>777</v>
      </c>
      <c r="H6944" t="s">
        <v>778</v>
      </c>
      <c r="I6944" t="s">
        <v>21</v>
      </c>
    </row>
    <row r="6945" spans="1:9" x14ac:dyDescent="0.25">
      <c r="A6945">
        <v>20140227</v>
      </c>
      <c r="B6945" t="str">
        <f>"114441"</f>
        <v>114441</v>
      </c>
      <c r="C6945" t="str">
        <f>"87760"</f>
        <v>87760</v>
      </c>
      <c r="D6945" t="s">
        <v>3466</v>
      </c>
      <c r="E6945">
        <v>85</v>
      </c>
      <c r="F6945">
        <v>20140221</v>
      </c>
      <c r="G6945" t="s">
        <v>2820</v>
      </c>
      <c r="H6945" t="s">
        <v>765</v>
      </c>
      <c r="I6945" t="s">
        <v>61</v>
      </c>
    </row>
    <row r="6946" spans="1:9" x14ac:dyDescent="0.25">
      <c r="A6946">
        <v>20140227</v>
      </c>
      <c r="B6946" t="str">
        <f>"114442"</f>
        <v>114442</v>
      </c>
      <c r="C6946" t="str">
        <f>"83072"</f>
        <v>83072</v>
      </c>
      <c r="D6946" t="s">
        <v>2334</v>
      </c>
      <c r="E6946">
        <v>88</v>
      </c>
      <c r="F6946">
        <v>20140221</v>
      </c>
      <c r="G6946" t="s">
        <v>1954</v>
      </c>
      <c r="H6946" t="s">
        <v>354</v>
      </c>
      <c r="I6946" t="s">
        <v>38</v>
      </c>
    </row>
    <row r="6947" spans="1:9" x14ac:dyDescent="0.25">
      <c r="A6947">
        <v>20140227</v>
      </c>
      <c r="B6947" t="str">
        <f>"114443"</f>
        <v>114443</v>
      </c>
      <c r="C6947" t="str">
        <f>"87762"</f>
        <v>87762</v>
      </c>
      <c r="D6947" t="s">
        <v>3467</v>
      </c>
      <c r="E6947">
        <v>120</v>
      </c>
      <c r="F6947">
        <v>20140221</v>
      </c>
      <c r="G6947" t="s">
        <v>1846</v>
      </c>
      <c r="H6947" t="s">
        <v>765</v>
      </c>
      <c r="I6947" t="s">
        <v>63</v>
      </c>
    </row>
    <row r="6948" spans="1:9" x14ac:dyDescent="0.25">
      <c r="A6948">
        <v>20140227</v>
      </c>
      <c r="B6948" t="str">
        <f>"114444"</f>
        <v>114444</v>
      </c>
      <c r="C6948" t="str">
        <f>"85157"</f>
        <v>85157</v>
      </c>
      <c r="D6948" t="s">
        <v>3468</v>
      </c>
      <c r="E6948">
        <v>120</v>
      </c>
      <c r="F6948">
        <v>20140221</v>
      </c>
      <c r="G6948" t="s">
        <v>1846</v>
      </c>
      <c r="H6948" t="s">
        <v>765</v>
      </c>
      <c r="I6948" t="s">
        <v>63</v>
      </c>
    </row>
    <row r="6949" spans="1:9" x14ac:dyDescent="0.25">
      <c r="A6949">
        <v>20140227</v>
      </c>
      <c r="B6949" t="str">
        <f>"114445"</f>
        <v>114445</v>
      </c>
      <c r="C6949" t="str">
        <f>"10075"</f>
        <v>10075</v>
      </c>
      <c r="D6949" t="s">
        <v>1199</v>
      </c>
      <c r="E6949" s="1">
        <v>2476</v>
      </c>
      <c r="F6949">
        <v>20140220</v>
      </c>
      <c r="G6949" t="s">
        <v>1200</v>
      </c>
      <c r="H6949" t="s">
        <v>3469</v>
      </c>
      <c r="I6949" t="s">
        <v>61</v>
      </c>
    </row>
    <row r="6950" spans="1:9" x14ac:dyDescent="0.25">
      <c r="A6950">
        <v>20140227</v>
      </c>
      <c r="B6950" t="str">
        <f>"114446"</f>
        <v>114446</v>
      </c>
      <c r="C6950" t="str">
        <f>"87203"</f>
        <v>87203</v>
      </c>
      <c r="D6950" t="s">
        <v>3112</v>
      </c>
      <c r="E6950">
        <v>85</v>
      </c>
      <c r="F6950">
        <v>20140221</v>
      </c>
      <c r="G6950" t="s">
        <v>2820</v>
      </c>
      <c r="H6950" t="s">
        <v>765</v>
      </c>
      <c r="I6950" t="s">
        <v>61</v>
      </c>
    </row>
    <row r="6951" spans="1:9" x14ac:dyDescent="0.25">
      <c r="A6951">
        <v>20140227</v>
      </c>
      <c r="B6951" t="str">
        <f>"114447"</f>
        <v>114447</v>
      </c>
      <c r="C6951" t="str">
        <f>"87767"</f>
        <v>87767</v>
      </c>
      <c r="D6951" t="s">
        <v>3470</v>
      </c>
      <c r="E6951">
        <v>190.2</v>
      </c>
      <c r="F6951">
        <v>20140226</v>
      </c>
      <c r="G6951" t="s">
        <v>3471</v>
      </c>
      <c r="H6951" t="s">
        <v>365</v>
      </c>
      <c r="I6951" t="s">
        <v>66</v>
      </c>
    </row>
    <row r="6952" spans="1:9" x14ac:dyDescent="0.25">
      <c r="A6952">
        <v>20140227</v>
      </c>
      <c r="B6952" t="str">
        <f>"114448"</f>
        <v>114448</v>
      </c>
      <c r="C6952" t="str">
        <f>"16988"</f>
        <v>16988</v>
      </c>
      <c r="D6952" t="s">
        <v>510</v>
      </c>
      <c r="E6952">
        <v>725</v>
      </c>
      <c r="F6952">
        <v>20140220</v>
      </c>
      <c r="G6952" t="s">
        <v>511</v>
      </c>
      <c r="H6952" t="s">
        <v>2129</v>
      </c>
      <c r="I6952" t="s">
        <v>21</v>
      </c>
    </row>
    <row r="6953" spans="1:9" x14ac:dyDescent="0.25">
      <c r="A6953">
        <v>20140227</v>
      </c>
      <c r="B6953" t="str">
        <f>"114448"</f>
        <v>114448</v>
      </c>
      <c r="C6953" t="str">
        <f>"16988"</f>
        <v>16988</v>
      </c>
      <c r="D6953" t="s">
        <v>510</v>
      </c>
      <c r="E6953">
        <v>725</v>
      </c>
      <c r="F6953">
        <v>20140220</v>
      </c>
      <c r="G6953" t="s">
        <v>511</v>
      </c>
      <c r="H6953" t="s">
        <v>2129</v>
      </c>
      <c r="I6953" t="s">
        <v>21</v>
      </c>
    </row>
    <row r="6954" spans="1:9" x14ac:dyDescent="0.25">
      <c r="A6954">
        <v>20140227</v>
      </c>
      <c r="B6954" t="str">
        <f>"114449"</f>
        <v>114449</v>
      </c>
      <c r="C6954" t="str">
        <f>"18025"</f>
        <v>18025</v>
      </c>
      <c r="D6954" t="s">
        <v>514</v>
      </c>
      <c r="E6954">
        <v>149.69999999999999</v>
      </c>
      <c r="F6954">
        <v>20140221</v>
      </c>
      <c r="G6954" t="s">
        <v>837</v>
      </c>
      <c r="H6954" t="s">
        <v>3472</v>
      </c>
      <c r="I6954" t="s">
        <v>21</v>
      </c>
    </row>
    <row r="6955" spans="1:9" x14ac:dyDescent="0.25">
      <c r="A6955">
        <v>20140227</v>
      </c>
      <c r="B6955" t="str">
        <f>"114450"</f>
        <v>114450</v>
      </c>
      <c r="C6955" t="str">
        <f>"87549"</f>
        <v>87549</v>
      </c>
      <c r="D6955" t="s">
        <v>1382</v>
      </c>
      <c r="E6955">
        <v>49.99</v>
      </c>
      <c r="F6955">
        <v>20140226</v>
      </c>
      <c r="G6955" t="s">
        <v>99</v>
      </c>
      <c r="H6955" t="s">
        <v>3473</v>
      </c>
      <c r="I6955" t="s">
        <v>21</v>
      </c>
    </row>
    <row r="6956" spans="1:9" x14ac:dyDescent="0.25">
      <c r="A6956">
        <v>20140227</v>
      </c>
      <c r="B6956" t="str">
        <f>"114451"</f>
        <v>114451</v>
      </c>
      <c r="C6956" t="str">
        <f>"85644"</f>
        <v>85644</v>
      </c>
      <c r="D6956" t="s">
        <v>3474</v>
      </c>
      <c r="E6956">
        <v>900</v>
      </c>
      <c r="F6956">
        <v>20140226</v>
      </c>
      <c r="G6956" t="s">
        <v>746</v>
      </c>
      <c r="H6956" t="s">
        <v>555</v>
      </c>
      <c r="I6956" t="s">
        <v>21</v>
      </c>
    </row>
    <row r="6957" spans="1:9" x14ac:dyDescent="0.25">
      <c r="A6957">
        <v>20140227</v>
      </c>
      <c r="B6957" t="str">
        <f>"114452"</f>
        <v>114452</v>
      </c>
      <c r="C6957" t="str">
        <f>"85409"</f>
        <v>85409</v>
      </c>
      <c r="D6957" t="s">
        <v>3475</v>
      </c>
      <c r="E6957">
        <v>200</v>
      </c>
      <c r="F6957">
        <v>20140221</v>
      </c>
      <c r="G6957" t="s">
        <v>347</v>
      </c>
      <c r="H6957" t="s">
        <v>1360</v>
      </c>
      <c r="I6957" t="s">
        <v>61</v>
      </c>
    </row>
    <row r="6958" spans="1:9" x14ac:dyDescent="0.25">
      <c r="A6958">
        <v>20140227</v>
      </c>
      <c r="B6958" t="str">
        <f>"114453"</f>
        <v>114453</v>
      </c>
      <c r="C6958" t="str">
        <f>"87084"</f>
        <v>87084</v>
      </c>
      <c r="D6958" t="s">
        <v>1036</v>
      </c>
      <c r="E6958">
        <v>73.709999999999994</v>
      </c>
      <c r="F6958">
        <v>20140226</v>
      </c>
      <c r="G6958" t="s">
        <v>810</v>
      </c>
      <c r="H6958" t="s">
        <v>365</v>
      </c>
      <c r="I6958" t="s">
        <v>66</v>
      </c>
    </row>
    <row r="6959" spans="1:9" x14ac:dyDescent="0.25">
      <c r="A6959">
        <v>20140227</v>
      </c>
      <c r="B6959" t="str">
        <f>"114454"</f>
        <v>114454</v>
      </c>
      <c r="C6959" t="str">
        <f>"86827"</f>
        <v>86827</v>
      </c>
      <c r="D6959" t="s">
        <v>3228</v>
      </c>
      <c r="E6959">
        <v>386.87</v>
      </c>
      <c r="F6959">
        <v>20140221</v>
      </c>
      <c r="G6959" t="s">
        <v>438</v>
      </c>
      <c r="H6959" t="s">
        <v>365</v>
      </c>
      <c r="I6959" t="s">
        <v>66</v>
      </c>
    </row>
    <row r="6960" spans="1:9" x14ac:dyDescent="0.25">
      <c r="A6960">
        <v>20140227</v>
      </c>
      <c r="B6960" t="str">
        <f>"114455"</f>
        <v>114455</v>
      </c>
      <c r="C6960" t="str">
        <f>"21325"</f>
        <v>21325</v>
      </c>
      <c r="D6960" t="s">
        <v>1216</v>
      </c>
      <c r="E6960">
        <v>689.85</v>
      </c>
      <c r="F6960">
        <v>20140226</v>
      </c>
      <c r="G6960" t="s">
        <v>119</v>
      </c>
      <c r="H6960" t="s">
        <v>3476</v>
      </c>
      <c r="I6960" t="s">
        <v>38</v>
      </c>
    </row>
    <row r="6961" spans="1:9" x14ac:dyDescent="0.25">
      <c r="A6961">
        <v>20140227</v>
      </c>
      <c r="B6961" t="str">
        <f>"114456"</f>
        <v>114456</v>
      </c>
      <c r="C6961" t="str">
        <f>"87732"</f>
        <v>87732</v>
      </c>
      <c r="D6961" t="s">
        <v>3284</v>
      </c>
      <c r="E6961">
        <v>55.44</v>
      </c>
      <c r="F6961">
        <v>20140226</v>
      </c>
      <c r="G6961" t="s">
        <v>810</v>
      </c>
      <c r="H6961" t="s">
        <v>365</v>
      </c>
      <c r="I6961" t="s">
        <v>66</v>
      </c>
    </row>
    <row r="6962" spans="1:9" x14ac:dyDescent="0.25">
      <c r="A6962">
        <v>20140227</v>
      </c>
      <c r="B6962" t="str">
        <f>"114457"</f>
        <v>114457</v>
      </c>
      <c r="C6962" t="str">
        <f>"21950"</f>
        <v>21950</v>
      </c>
      <c r="D6962" t="s">
        <v>35</v>
      </c>
      <c r="E6962">
        <v>221.63</v>
      </c>
      <c r="F6962">
        <v>20140221</v>
      </c>
      <c r="G6962" t="s">
        <v>3477</v>
      </c>
      <c r="H6962" t="s">
        <v>913</v>
      </c>
      <c r="I6962" t="s">
        <v>3478</v>
      </c>
    </row>
    <row r="6963" spans="1:9" x14ac:dyDescent="0.25">
      <c r="A6963">
        <v>20140227</v>
      </c>
      <c r="B6963" t="str">
        <f>"114458"</f>
        <v>114458</v>
      </c>
      <c r="C6963" t="str">
        <f>"21600"</f>
        <v>21600</v>
      </c>
      <c r="D6963" t="s">
        <v>1735</v>
      </c>
      <c r="E6963">
        <v>26.99</v>
      </c>
      <c r="F6963">
        <v>20140226</v>
      </c>
      <c r="G6963" t="s">
        <v>1488</v>
      </c>
      <c r="H6963" t="s">
        <v>499</v>
      </c>
      <c r="I6963" t="s">
        <v>25</v>
      </c>
    </row>
    <row r="6964" spans="1:9" x14ac:dyDescent="0.25">
      <c r="A6964">
        <v>20140227</v>
      </c>
      <c r="B6964" t="str">
        <f>"114458"</f>
        <v>114458</v>
      </c>
      <c r="C6964" t="str">
        <f>"21600"</f>
        <v>21600</v>
      </c>
      <c r="D6964" t="s">
        <v>1735</v>
      </c>
      <c r="E6964">
        <v>55.04</v>
      </c>
      <c r="F6964">
        <v>20140226</v>
      </c>
      <c r="G6964" t="s">
        <v>1488</v>
      </c>
      <c r="H6964" t="s">
        <v>499</v>
      </c>
      <c r="I6964" t="s">
        <v>25</v>
      </c>
    </row>
    <row r="6965" spans="1:9" x14ac:dyDescent="0.25">
      <c r="A6965">
        <v>20140227</v>
      </c>
      <c r="B6965" t="str">
        <f>"114458"</f>
        <v>114458</v>
      </c>
      <c r="C6965" t="str">
        <f>"21600"</f>
        <v>21600</v>
      </c>
      <c r="D6965" t="s">
        <v>1735</v>
      </c>
      <c r="E6965">
        <v>12.78</v>
      </c>
      <c r="F6965">
        <v>20140226</v>
      </c>
      <c r="G6965" t="s">
        <v>1488</v>
      </c>
      <c r="H6965" t="s">
        <v>499</v>
      </c>
      <c r="I6965" t="s">
        <v>25</v>
      </c>
    </row>
    <row r="6966" spans="1:9" x14ac:dyDescent="0.25">
      <c r="A6966">
        <v>20140227</v>
      </c>
      <c r="B6966" t="str">
        <f>"114459"</f>
        <v>114459</v>
      </c>
      <c r="C6966" t="str">
        <f>"86392"</f>
        <v>86392</v>
      </c>
      <c r="D6966" t="s">
        <v>3479</v>
      </c>
      <c r="E6966">
        <v>580</v>
      </c>
      <c r="F6966">
        <v>20140221</v>
      </c>
      <c r="G6966" t="s">
        <v>384</v>
      </c>
      <c r="H6966" t="s">
        <v>1677</v>
      </c>
      <c r="I6966" t="s">
        <v>21</v>
      </c>
    </row>
    <row r="6967" spans="1:9" x14ac:dyDescent="0.25">
      <c r="A6967">
        <v>20140227</v>
      </c>
      <c r="B6967" t="str">
        <f>"114460"</f>
        <v>114460</v>
      </c>
      <c r="C6967" t="str">
        <f>"86092"</f>
        <v>86092</v>
      </c>
      <c r="D6967" t="s">
        <v>2499</v>
      </c>
      <c r="E6967">
        <v>85</v>
      </c>
      <c r="F6967">
        <v>20140221</v>
      </c>
      <c r="G6967" t="s">
        <v>2820</v>
      </c>
      <c r="H6967" t="s">
        <v>765</v>
      </c>
      <c r="I6967" t="s">
        <v>61</v>
      </c>
    </row>
    <row r="6968" spans="1:9" x14ac:dyDescent="0.25">
      <c r="A6968">
        <v>20140227</v>
      </c>
      <c r="B6968" t="str">
        <f>"114461"</f>
        <v>114461</v>
      </c>
      <c r="C6968" t="str">
        <f>"81811"</f>
        <v>81811</v>
      </c>
      <c r="D6968" t="s">
        <v>3480</v>
      </c>
      <c r="E6968">
        <v>77.209999999999994</v>
      </c>
      <c r="F6968">
        <v>20140226</v>
      </c>
      <c r="G6968" t="s">
        <v>1721</v>
      </c>
      <c r="H6968" t="s">
        <v>365</v>
      </c>
      <c r="I6968" t="s">
        <v>21</v>
      </c>
    </row>
    <row r="6969" spans="1:9" x14ac:dyDescent="0.25">
      <c r="A6969">
        <v>20140227</v>
      </c>
      <c r="B6969" t="str">
        <f>"114462"</f>
        <v>114462</v>
      </c>
      <c r="C6969" t="str">
        <f>"23280"</f>
        <v>23280</v>
      </c>
      <c r="D6969" t="s">
        <v>3481</v>
      </c>
      <c r="E6969">
        <v>70</v>
      </c>
      <c r="F6969">
        <v>20140226</v>
      </c>
      <c r="G6969" t="s">
        <v>347</v>
      </c>
      <c r="H6969" t="s">
        <v>361</v>
      </c>
      <c r="I6969" t="s">
        <v>61</v>
      </c>
    </row>
    <row r="6970" spans="1:9" x14ac:dyDescent="0.25">
      <c r="A6970">
        <v>20140227</v>
      </c>
      <c r="B6970" t="str">
        <f>"114463"</f>
        <v>114463</v>
      </c>
      <c r="C6970" t="str">
        <f>"23280"</f>
        <v>23280</v>
      </c>
      <c r="D6970" t="s">
        <v>3481</v>
      </c>
      <c r="E6970">
        <v>24</v>
      </c>
      <c r="F6970">
        <v>20140226</v>
      </c>
      <c r="G6970" t="s">
        <v>356</v>
      </c>
      <c r="H6970" t="s">
        <v>357</v>
      </c>
      <c r="I6970" t="s">
        <v>61</v>
      </c>
    </row>
    <row r="6971" spans="1:9" x14ac:dyDescent="0.25">
      <c r="A6971">
        <v>20140227</v>
      </c>
      <c r="B6971" t="str">
        <f>"114464"</f>
        <v>114464</v>
      </c>
      <c r="C6971" t="str">
        <f>"23780"</f>
        <v>23780</v>
      </c>
      <c r="D6971" t="s">
        <v>1852</v>
      </c>
      <c r="E6971" s="1">
        <v>2637.8</v>
      </c>
      <c r="F6971">
        <v>20140226</v>
      </c>
      <c r="G6971" t="s">
        <v>828</v>
      </c>
      <c r="H6971" t="s">
        <v>3482</v>
      </c>
      <c r="I6971" t="s">
        <v>21</v>
      </c>
    </row>
    <row r="6972" spans="1:9" x14ac:dyDescent="0.25">
      <c r="A6972">
        <v>20140227</v>
      </c>
      <c r="B6972" t="str">
        <f>"114465"</f>
        <v>114465</v>
      </c>
      <c r="C6972" t="str">
        <f>"23827"</f>
        <v>23827</v>
      </c>
      <c r="D6972" t="s">
        <v>528</v>
      </c>
      <c r="E6972">
        <v>913.88</v>
      </c>
      <c r="F6972">
        <v>20140226</v>
      </c>
      <c r="G6972" t="s">
        <v>327</v>
      </c>
      <c r="H6972" t="s">
        <v>513</v>
      </c>
      <c r="I6972" t="s">
        <v>25</v>
      </c>
    </row>
    <row r="6973" spans="1:9" x14ac:dyDescent="0.25">
      <c r="A6973">
        <v>20140227</v>
      </c>
      <c r="B6973" t="str">
        <f>"114466"</f>
        <v>114466</v>
      </c>
      <c r="C6973" t="str">
        <f>"87401"</f>
        <v>87401</v>
      </c>
      <c r="D6973" t="s">
        <v>3483</v>
      </c>
      <c r="E6973">
        <v>75</v>
      </c>
      <c r="F6973">
        <v>20140226</v>
      </c>
      <c r="G6973" t="s">
        <v>323</v>
      </c>
      <c r="H6973" t="s">
        <v>1849</v>
      </c>
      <c r="I6973" t="s">
        <v>21</v>
      </c>
    </row>
    <row r="6974" spans="1:9" x14ac:dyDescent="0.25">
      <c r="A6974">
        <v>20140227</v>
      </c>
      <c r="B6974" t="str">
        <f>"114467"</f>
        <v>114467</v>
      </c>
      <c r="C6974" t="str">
        <f>"87528"</f>
        <v>87528</v>
      </c>
      <c r="D6974" t="s">
        <v>1048</v>
      </c>
      <c r="E6974">
        <v>840</v>
      </c>
      <c r="F6974">
        <v>20140226</v>
      </c>
      <c r="G6974" t="s">
        <v>1049</v>
      </c>
      <c r="H6974" t="s">
        <v>1050</v>
      </c>
      <c r="I6974" t="s">
        <v>21</v>
      </c>
    </row>
    <row r="6975" spans="1:9" x14ac:dyDescent="0.25">
      <c r="A6975">
        <v>20140227</v>
      </c>
      <c r="B6975" t="str">
        <f t="shared" ref="B6975:B6986" si="432">"114468"</f>
        <v>114468</v>
      </c>
      <c r="C6975" t="str">
        <f t="shared" ref="C6975:C6986" si="433">"82286"</f>
        <v>82286</v>
      </c>
      <c r="D6975" t="s">
        <v>532</v>
      </c>
      <c r="E6975" s="1">
        <v>1808.87</v>
      </c>
      <c r="F6975">
        <v>20140226</v>
      </c>
      <c r="G6975" t="s">
        <v>533</v>
      </c>
      <c r="H6975" t="s">
        <v>534</v>
      </c>
      <c r="I6975" t="s">
        <v>21</v>
      </c>
    </row>
    <row r="6976" spans="1:9" x14ac:dyDescent="0.25">
      <c r="A6976">
        <v>20140227</v>
      </c>
      <c r="B6976" t="str">
        <f t="shared" si="432"/>
        <v>114468</v>
      </c>
      <c r="C6976" t="str">
        <f t="shared" si="433"/>
        <v>82286</v>
      </c>
      <c r="D6976" t="s">
        <v>532</v>
      </c>
      <c r="E6976">
        <v>48.89</v>
      </c>
      <c r="F6976">
        <v>20140226</v>
      </c>
      <c r="G6976" t="s">
        <v>535</v>
      </c>
      <c r="H6976" t="s">
        <v>534</v>
      </c>
      <c r="I6976" t="s">
        <v>21</v>
      </c>
    </row>
    <row r="6977" spans="1:9" x14ac:dyDescent="0.25">
      <c r="A6977">
        <v>20140227</v>
      </c>
      <c r="B6977" t="str">
        <f t="shared" si="432"/>
        <v>114468</v>
      </c>
      <c r="C6977" t="str">
        <f t="shared" si="433"/>
        <v>82286</v>
      </c>
      <c r="D6977" t="s">
        <v>532</v>
      </c>
      <c r="E6977">
        <v>733.32</v>
      </c>
      <c r="F6977">
        <v>20140226</v>
      </c>
      <c r="G6977" t="s">
        <v>536</v>
      </c>
      <c r="H6977" t="s">
        <v>534</v>
      </c>
      <c r="I6977" t="s">
        <v>21</v>
      </c>
    </row>
    <row r="6978" spans="1:9" x14ac:dyDescent="0.25">
      <c r="A6978">
        <v>20140227</v>
      </c>
      <c r="B6978" t="str">
        <f t="shared" si="432"/>
        <v>114468</v>
      </c>
      <c r="C6978" t="str">
        <f t="shared" si="433"/>
        <v>82286</v>
      </c>
      <c r="D6978" t="s">
        <v>532</v>
      </c>
      <c r="E6978">
        <v>244.44</v>
      </c>
      <c r="F6978">
        <v>20140226</v>
      </c>
      <c r="G6978" t="s">
        <v>537</v>
      </c>
      <c r="H6978" t="s">
        <v>534</v>
      </c>
      <c r="I6978" t="s">
        <v>21</v>
      </c>
    </row>
    <row r="6979" spans="1:9" x14ac:dyDescent="0.25">
      <c r="A6979">
        <v>20140227</v>
      </c>
      <c r="B6979" t="str">
        <f t="shared" si="432"/>
        <v>114468</v>
      </c>
      <c r="C6979" t="str">
        <f t="shared" si="433"/>
        <v>82286</v>
      </c>
      <c r="D6979" t="s">
        <v>532</v>
      </c>
      <c r="E6979">
        <v>293.39</v>
      </c>
      <c r="F6979">
        <v>20140226</v>
      </c>
      <c r="G6979" t="s">
        <v>538</v>
      </c>
      <c r="H6979" t="s">
        <v>534</v>
      </c>
      <c r="I6979" t="s">
        <v>21</v>
      </c>
    </row>
    <row r="6980" spans="1:9" x14ac:dyDescent="0.25">
      <c r="A6980">
        <v>20140227</v>
      </c>
      <c r="B6980" t="str">
        <f t="shared" si="432"/>
        <v>114468</v>
      </c>
      <c r="C6980" t="str">
        <f t="shared" si="433"/>
        <v>82286</v>
      </c>
      <c r="D6980" t="s">
        <v>532</v>
      </c>
      <c r="E6980">
        <v>342.21</v>
      </c>
      <c r="F6980">
        <v>20140226</v>
      </c>
      <c r="G6980" t="s">
        <v>539</v>
      </c>
      <c r="H6980" t="s">
        <v>534</v>
      </c>
      <c r="I6980" t="s">
        <v>21</v>
      </c>
    </row>
    <row r="6981" spans="1:9" x14ac:dyDescent="0.25">
      <c r="A6981">
        <v>20140227</v>
      </c>
      <c r="B6981" t="str">
        <f t="shared" si="432"/>
        <v>114468</v>
      </c>
      <c r="C6981" t="str">
        <f t="shared" si="433"/>
        <v>82286</v>
      </c>
      <c r="D6981" t="s">
        <v>532</v>
      </c>
      <c r="E6981">
        <v>180.52</v>
      </c>
      <c r="F6981">
        <v>20140226</v>
      </c>
      <c r="G6981" t="s">
        <v>540</v>
      </c>
      <c r="H6981" t="s">
        <v>534</v>
      </c>
      <c r="I6981" t="s">
        <v>21</v>
      </c>
    </row>
    <row r="6982" spans="1:9" x14ac:dyDescent="0.25">
      <c r="A6982">
        <v>20140227</v>
      </c>
      <c r="B6982" t="str">
        <f t="shared" si="432"/>
        <v>114468</v>
      </c>
      <c r="C6982" t="str">
        <f t="shared" si="433"/>
        <v>82286</v>
      </c>
      <c r="D6982" t="s">
        <v>532</v>
      </c>
      <c r="E6982">
        <v>180.51</v>
      </c>
      <c r="F6982">
        <v>20140226</v>
      </c>
      <c r="G6982" t="s">
        <v>541</v>
      </c>
      <c r="H6982" t="s">
        <v>534</v>
      </c>
      <c r="I6982" t="s">
        <v>21</v>
      </c>
    </row>
    <row r="6983" spans="1:9" x14ac:dyDescent="0.25">
      <c r="A6983">
        <v>20140227</v>
      </c>
      <c r="B6983" t="str">
        <f t="shared" si="432"/>
        <v>114468</v>
      </c>
      <c r="C6983" t="str">
        <f t="shared" si="433"/>
        <v>82286</v>
      </c>
      <c r="D6983" t="s">
        <v>532</v>
      </c>
      <c r="E6983">
        <v>782.21</v>
      </c>
      <c r="F6983">
        <v>20140226</v>
      </c>
      <c r="G6983" t="s">
        <v>542</v>
      </c>
      <c r="H6983" t="s">
        <v>534</v>
      </c>
      <c r="I6983" t="s">
        <v>21</v>
      </c>
    </row>
    <row r="6984" spans="1:9" x14ac:dyDescent="0.25">
      <c r="A6984">
        <v>20140227</v>
      </c>
      <c r="B6984" t="str">
        <f t="shared" si="432"/>
        <v>114468</v>
      </c>
      <c r="C6984" t="str">
        <f t="shared" si="433"/>
        <v>82286</v>
      </c>
      <c r="D6984" t="s">
        <v>532</v>
      </c>
      <c r="E6984">
        <v>48.89</v>
      </c>
      <c r="F6984">
        <v>20140226</v>
      </c>
      <c r="G6984" t="s">
        <v>543</v>
      </c>
      <c r="H6984" t="s">
        <v>534</v>
      </c>
      <c r="I6984" t="s">
        <v>21</v>
      </c>
    </row>
    <row r="6985" spans="1:9" x14ac:dyDescent="0.25">
      <c r="A6985">
        <v>20140227</v>
      </c>
      <c r="B6985" t="str">
        <f t="shared" si="432"/>
        <v>114468</v>
      </c>
      <c r="C6985" t="str">
        <f t="shared" si="433"/>
        <v>82286</v>
      </c>
      <c r="D6985" t="s">
        <v>532</v>
      </c>
      <c r="E6985">
        <v>293.37</v>
      </c>
      <c r="F6985">
        <v>20140226</v>
      </c>
      <c r="G6985" t="s">
        <v>544</v>
      </c>
      <c r="H6985" t="s">
        <v>534</v>
      </c>
      <c r="I6985" t="s">
        <v>21</v>
      </c>
    </row>
    <row r="6986" spans="1:9" x14ac:dyDescent="0.25">
      <c r="A6986">
        <v>20140227</v>
      </c>
      <c r="B6986" t="str">
        <f t="shared" si="432"/>
        <v>114468</v>
      </c>
      <c r="C6986" t="str">
        <f t="shared" si="433"/>
        <v>82286</v>
      </c>
      <c r="D6986" t="s">
        <v>532</v>
      </c>
      <c r="E6986">
        <v>293.38</v>
      </c>
      <c r="F6986">
        <v>20140226</v>
      </c>
      <c r="G6986" t="s">
        <v>545</v>
      </c>
      <c r="H6986" t="s">
        <v>534</v>
      </c>
      <c r="I6986" t="s">
        <v>21</v>
      </c>
    </row>
    <row r="6987" spans="1:9" x14ac:dyDescent="0.25">
      <c r="A6987">
        <v>20140227</v>
      </c>
      <c r="B6987" t="str">
        <f>"114469"</f>
        <v>114469</v>
      </c>
      <c r="C6987" t="str">
        <f>"87765"</f>
        <v>87765</v>
      </c>
      <c r="D6987" t="s">
        <v>3484</v>
      </c>
      <c r="E6987" s="1">
        <v>2100</v>
      </c>
      <c r="F6987">
        <v>20140226</v>
      </c>
      <c r="G6987" t="s">
        <v>3485</v>
      </c>
      <c r="H6987" t="s">
        <v>3486</v>
      </c>
      <c r="I6987" t="s">
        <v>21</v>
      </c>
    </row>
    <row r="6988" spans="1:9" x14ac:dyDescent="0.25">
      <c r="A6988">
        <v>20140227</v>
      </c>
      <c r="B6988" t="str">
        <f>"114470"</f>
        <v>114470</v>
      </c>
      <c r="C6988" t="str">
        <f>"30000"</f>
        <v>30000</v>
      </c>
      <c r="D6988" t="s">
        <v>556</v>
      </c>
      <c r="E6988">
        <v>701.77</v>
      </c>
      <c r="F6988">
        <v>20140226</v>
      </c>
      <c r="G6988" t="s">
        <v>579</v>
      </c>
      <c r="H6988" t="s">
        <v>3487</v>
      </c>
      <c r="I6988" t="s">
        <v>21</v>
      </c>
    </row>
    <row r="6989" spans="1:9" x14ac:dyDescent="0.25">
      <c r="A6989">
        <v>20140227</v>
      </c>
      <c r="B6989" t="str">
        <f>"114470"</f>
        <v>114470</v>
      </c>
      <c r="C6989" t="str">
        <f>"30000"</f>
        <v>30000</v>
      </c>
      <c r="D6989" t="s">
        <v>556</v>
      </c>
      <c r="E6989">
        <v>697.95</v>
      </c>
      <c r="F6989">
        <v>20140226</v>
      </c>
      <c r="G6989" t="s">
        <v>581</v>
      </c>
      <c r="H6989" t="s">
        <v>3488</v>
      </c>
      <c r="I6989" t="s">
        <v>21</v>
      </c>
    </row>
    <row r="6990" spans="1:9" x14ac:dyDescent="0.25">
      <c r="A6990">
        <v>20140227</v>
      </c>
      <c r="B6990" t="str">
        <f>"114471"</f>
        <v>114471</v>
      </c>
      <c r="C6990" t="str">
        <f>"87592"</f>
        <v>87592</v>
      </c>
      <c r="D6990" t="s">
        <v>1985</v>
      </c>
      <c r="E6990">
        <v>46.44</v>
      </c>
      <c r="F6990">
        <v>20140226</v>
      </c>
      <c r="G6990" t="s">
        <v>2423</v>
      </c>
      <c r="H6990" t="s">
        <v>365</v>
      </c>
      <c r="I6990" t="s">
        <v>21</v>
      </c>
    </row>
    <row r="6991" spans="1:9" x14ac:dyDescent="0.25">
      <c r="A6991">
        <v>20140227</v>
      </c>
      <c r="B6991" t="str">
        <f>"114472"</f>
        <v>114472</v>
      </c>
      <c r="C6991" t="str">
        <f>"82187"</f>
        <v>82187</v>
      </c>
      <c r="D6991" t="s">
        <v>2513</v>
      </c>
      <c r="E6991">
        <v>70.2</v>
      </c>
      <c r="F6991">
        <v>20140226</v>
      </c>
      <c r="G6991" t="s">
        <v>1026</v>
      </c>
      <c r="H6991" t="s">
        <v>365</v>
      </c>
      <c r="I6991" t="s">
        <v>21</v>
      </c>
    </row>
    <row r="6992" spans="1:9" x14ac:dyDescent="0.25">
      <c r="A6992">
        <v>20140227</v>
      </c>
      <c r="B6992" t="str">
        <f>"114473"</f>
        <v>114473</v>
      </c>
      <c r="C6992" t="str">
        <f>"87727"</f>
        <v>87727</v>
      </c>
      <c r="D6992" t="s">
        <v>3238</v>
      </c>
      <c r="E6992">
        <v>85</v>
      </c>
      <c r="F6992">
        <v>20140221</v>
      </c>
      <c r="G6992" t="s">
        <v>2820</v>
      </c>
      <c r="H6992" t="s">
        <v>765</v>
      </c>
      <c r="I6992" t="s">
        <v>61</v>
      </c>
    </row>
    <row r="6993" spans="1:9" x14ac:dyDescent="0.25">
      <c r="A6993">
        <v>20140227</v>
      </c>
      <c r="B6993" t="str">
        <f>"114473"</f>
        <v>114473</v>
      </c>
      <c r="C6993" t="str">
        <f>"87727"</f>
        <v>87727</v>
      </c>
      <c r="D6993" t="s">
        <v>3238</v>
      </c>
      <c r="E6993">
        <v>85</v>
      </c>
      <c r="F6993">
        <v>20140221</v>
      </c>
      <c r="G6993" t="s">
        <v>2820</v>
      </c>
      <c r="H6993" t="s">
        <v>765</v>
      </c>
      <c r="I6993" t="s">
        <v>61</v>
      </c>
    </row>
    <row r="6994" spans="1:9" x14ac:dyDescent="0.25">
      <c r="A6994">
        <v>20140227</v>
      </c>
      <c r="B6994" t="str">
        <f>"114474"</f>
        <v>114474</v>
      </c>
      <c r="C6994" t="str">
        <f>"86858"</f>
        <v>86858</v>
      </c>
      <c r="D6994" t="s">
        <v>3489</v>
      </c>
      <c r="E6994">
        <v>200</v>
      </c>
      <c r="F6994">
        <v>20140221</v>
      </c>
      <c r="G6994" t="s">
        <v>347</v>
      </c>
      <c r="H6994" t="s">
        <v>1360</v>
      </c>
      <c r="I6994" t="s">
        <v>61</v>
      </c>
    </row>
    <row r="6995" spans="1:9" x14ac:dyDescent="0.25">
      <c r="A6995">
        <v>20140227</v>
      </c>
      <c r="B6995" t="str">
        <f>"114474"</f>
        <v>114474</v>
      </c>
      <c r="C6995" t="str">
        <f>"86858"</f>
        <v>86858</v>
      </c>
      <c r="D6995" t="s">
        <v>3489</v>
      </c>
      <c r="E6995">
        <v>-200</v>
      </c>
      <c r="F6995">
        <v>20140306</v>
      </c>
      <c r="G6995" t="s">
        <v>347</v>
      </c>
      <c r="H6995" t="s">
        <v>3490</v>
      </c>
      <c r="I6995" t="s">
        <v>61</v>
      </c>
    </row>
    <row r="6996" spans="1:9" x14ac:dyDescent="0.25">
      <c r="A6996">
        <v>20140227</v>
      </c>
      <c r="B6996" t="str">
        <f>"114475"</f>
        <v>114475</v>
      </c>
      <c r="C6996" t="str">
        <f>"84980"</f>
        <v>84980</v>
      </c>
      <c r="D6996" t="s">
        <v>591</v>
      </c>
      <c r="E6996">
        <v>92.74</v>
      </c>
      <c r="F6996">
        <v>20140226</v>
      </c>
      <c r="G6996" t="s">
        <v>1024</v>
      </c>
      <c r="H6996" t="s">
        <v>3491</v>
      </c>
      <c r="I6996" t="s">
        <v>21</v>
      </c>
    </row>
    <row r="6997" spans="1:9" x14ac:dyDescent="0.25">
      <c r="A6997">
        <v>20140227</v>
      </c>
      <c r="B6997" t="str">
        <f>"114476"</f>
        <v>114476</v>
      </c>
      <c r="C6997" t="str">
        <f>"43880"</f>
        <v>43880</v>
      </c>
      <c r="D6997" t="s">
        <v>1756</v>
      </c>
      <c r="E6997" s="1">
        <v>4997.5</v>
      </c>
      <c r="F6997">
        <v>20140226</v>
      </c>
      <c r="G6997" t="s">
        <v>3492</v>
      </c>
      <c r="H6997" t="s">
        <v>3493</v>
      </c>
      <c r="I6997" t="s">
        <v>12</v>
      </c>
    </row>
    <row r="6998" spans="1:9" x14ac:dyDescent="0.25">
      <c r="A6998">
        <v>20140227</v>
      </c>
      <c r="B6998" t="str">
        <f>"114477"</f>
        <v>114477</v>
      </c>
      <c r="C6998" t="str">
        <f>"87088"</f>
        <v>87088</v>
      </c>
      <c r="D6998" t="s">
        <v>1097</v>
      </c>
      <c r="E6998" s="1">
        <v>4073</v>
      </c>
      <c r="F6998">
        <v>20140226</v>
      </c>
      <c r="G6998" t="s">
        <v>511</v>
      </c>
      <c r="H6998" t="s">
        <v>1098</v>
      </c>
      <c r="I6998" t="s">
        <v>21</v>
      </c>
    </row>
    <row r="6999" spans="1:9" x14ac:dyDescent="0.25">
      <c r="A6999">
        <v>20140227</v>
      </c>
      <c r="B6999" t="str">
        <f>"114478"</f>
        <v>114478</v>
      </c>
      <c r="C6999" t="str">
        <f>"36970"</f>
        <v>36970</v>
      </c>
      <c r="D6999" t="s">
        <v>1253</v>
      </c>
      <c r="E6999">
        <v>105.66</v>
      </c>
      <c r="F6999">
        <v>20140221</v>
      </c>
      <c r="G6999" t="s">
        <v>2211</v>
      </c>
      <c r="H6999" t="s">
        <v>563</v>
      </c>
      <c r="I6999" t="s">
        <v>2212</v>
      </c>
    </row>
    <row r="7000" spans="1:9" x14ac:dyDescent="0.25">
      <c r="A7000">
        <v>20140227</v>
      </c>
      <c r="B7000" t="str">
        <f>"114479"</f>
        <v>114479</v>
      </c>
      <c r="C7000" t="str">
        <f>"87720"</f>
        <v>87720</v>
      </c>
      <c r="D7000" t="s">
        <v>3494</v>
      </c>
      <c r="E7000">
        <v>579.30999999999995</v>
      </c>
      <c r="F7000">
        <v>20140226</v>
      </c>
      <c r="G7000" t="s">
        <v>1064</v>
      </c>
      <c r="H7000" t="s">
        <v>3495</v>
      </c>
      <c r="I7000" t="s">
        <v>21</v>
      </c>
    </row>
    <row r="7001" spans="1:9" x14ac:dyDescent="0.25">
      <c r="A7001">
        <v>20140227</v>
      </c>
      <c r="B7001" t="str">
        <f>"114480"</f>
        <v>114480</v>
      </c>
      <c r="C7001" t="str">
        <f>"87239"</f>
        <v>87239</v>
      </c>
      <c r="D7001" t="s">
        <v>3496</v>
      </c>
      <c r="E7001">
        <v>130</v>
      </c>
      <c r="F7001">
        <v>20140221</v>
      </c>
      <c r="G7001" t="s">
        <v>3099</v>
      </c>
      <c r="H7001" t="s">
        <v>765</v>
      </c>
      <c r="I7001" t="s">
        <v>61</v>
      </c>
    </row>
    <row r="7002" spans="1:9" x14ac:dyDescent="0.25">
      <c r="A7002">
        <v>20140227</v>
      </c>
      <c r="B7002" t="str">
        <f>"114481"</f>
        <v>114481</v>
      </c>
      <c r="C7002" t="str">
        <f>"84161"</f>
        <v>84161</v>
      </c>
      <c r="D7002" t="s">
        <v>1767</v>
      </c>
      <c r="E7002">
        <v>76.540000000000006</v>
      </c>
      <c r="F7002">
        <v>20140226</v>
      </c>
      <c r="G7002" t="s">
        <v>810</v>
      </c>
      <c r="H7002" t="s">
        <v>365</v>
      </c>
      <c r="I7002" t="s">
        <v>66</v>
      </c>
    </row>
    <row r="7003" spans="1:9" x14ac:dyDescent="0.25">
      <c r="A7003">
        <v>20140227</v>
      </c>
      <c r="B7003" t="str">
        <f>"114481"</f>
        <v>114481</v>
      </c>
      <c r="C7003" t="str">
        <f>"84161"</f>
        <v>84161</v>
      </c>
      <c r="D7003" t="s">
        <v>1767</v>
      </c>
      <c r="E7003">
        <v>55.49</v>
      </c>
      <c r="F7003">
        <v>20140226</v>
      </c>
      <c r="G7003" t="s">
        <v>810</v>
      </c>
      <c r="H7003" t="s">
        <v>365</v>
      </c>
      <c r="I7003" t="s">
        <v>66</v>
      </c>
    </row>
    <row r="7004" spans="1:9" x14ac:dyDescent="0.25">
      <c r="A7004">
        <v>20140227</v>
      </c>
      <c r="B7004" t="str">
        <f>"114482"</f>
        <v>114482</v>
      </c>
      <c r="C7004" t="str">
        <f>"41375"</f>
        <v>41375</v>
      </c>
      <c r="D7004" t="s">
        <v>616</v>
      </c>
      <c r="E7004">
        <v>263.89</v>
      </c>
      <c r="F7004">
        <v>20140226</v>
      </c>
      <c r="G7004" t="s">
        <v>935</v>
      </c>
      <c r="H7004" t="s">
        <v>3497</v>
      </c>
      <c r="I7004" t="s">
        <v>21</v>
      </c>
    </row>
    <row r="7005" spans="1:9" x14ac:dyDescent="0.25">
      <c r="A7005">
        <v>20140227</v>
      </c>
      <c r="B7005" t="str">
        <f>"114483"</f>
        <v>114483</v>
      </c>
      <c r="C7005" t="str">
        <f>"81387"</f>
        <v>81387</v>
      </c>
      <c r="D7005" t="s">
        <v>3498</v>
      </c>
      <c r="E7005">
        <v>50.31</v>
      </c>
      <c r="F7005">
        <v>20140226</v>
      </c>
      <c r="G7005" t="s">
        <v>1960</v>
      </c>
      <c r="H7005" t="s">
        <v>365</v>
      </c>
      <c r="I7005" t="s">
        <v>21</v>
      </c>
    </row>
    <row r="7006" spans="1:9" x14ac:dyDescent="0.25">
      <c r="A7006">
        <v>20140227</v>
      </c>
      <c r="B7006" t="str">
        <f>"114484"</f>
        <v>114484</v>
      </c>
      <c r="C7006" t="str">
        <f>"86106"</f>
        <v>86106</v>
      </c>
      <c r="D7006" t="s">
        <v>3499</v>
      </c>
      <c r="E7006">
        <v>250</v>
      </c>
      <c r="F7006">
        <v>20140226</v>
      </c>
      <c r="G7006" t="s">
        <v>1723</v>
      </c>
      <c r="H7006" t="s">
        <v>3500</v>
      </c>
      <c r="I7006" t="s">
        <v>66</v>
      </c>
    </row>
    <row r="7007" spans="1:9" x14ac:dyDescent="0.25">
      <c r="A7007">
        <v>20140227</v>
      </c>
      <c r="B7007" t="str">
        <f>"114484"</f>
        <v>114484</v>
      </c>
      <c r="C7007" t="str">
        <f>"86106"</f>
        <v>86106</v>
      </c>
      <c r="D7007" t="s">
        <v>3499</v>
      </c>
      <c r="E7007">
        <v>250</v>
      </c>
      <c r="F7007">
        <v>20140226</v>
      </c>
      <c r="G7007" t="s">
        <v>1723</v>
      </c>
      <c r="H7007" t="s">
        <v>954</v>
      </c>
      <c r="I7007" t="s">
        <v>66</v>
      </c>
    </row>
    <row r="7008" spans="1:9" x14ac:dyDescent="0.25">
      <c r="A7008">
        <v>20140227</v>
      </c>
      <c r="B7008" t="str">
        <f>"114484"</f>
        <v>114484</v>
      </c>
      <c r="C7008" t="str">
        <f>"86106"</f>
        <v>86106</v>
      </c>
      <c r="D7008" t="s">
        <v>3499</v>
      </c>
      <c r="E7008">
        <v>250</v>
      </c>
      <c r="F7008">
        <v>20140226</v>
      </c>
      <c r="G7008" t="s">
        <v>1723</v>
      </c>
      <c r="H7008" t="s">
        <v>954</v>
      </c>
      <c r="I7008" t="s">
        <v>66</v>
      </c>
    </row>
    <row r="7009" spans="1:9" x14ac:dyDescent="0.25">
      <c r="A7009">
        <v>20140227</v>
      </c>
      <c r="B7009" t="str">
        <f>"114484"</f>
        <v>114484</v>
      </c>
      <c r="C7009" t="str">
        <f>"86106"</f>
        <v>86106</v>
      </c>
      <c r="D7009" t="s">
        <v>3499</v>
      </c>
      <c r="E7009">
        <v>250</v>
      </c>
      <c r="F7009">
        <v>20140226</v>
      </c>
      <c r="G7009" t="s">
        <v>1723</v>
      </c>
      <c r="H7009" t="s">
        <v>954</v>
      </c>
      <c r="I7009" t="s">
        <v>66</v>
      </c>
    </row>
    <row r="7010" spans="1:9" x14ac:dyDescent="0.25">
      <c r="A7010">
        <v>20140227</v>
      </c>
      <c r="B7010" t="str">
        <f>"114485"</f>
        <v>114485</v>
      </c>
      <c r="C7010" t="str">
        <f>"43125"</f>
        <v>43125</v>
      </c>
      <c r="D7010" t="s">
        <v>891</v>
      </c>
      <c r="E7010">
        <v>21.06</v>
      </c>
      <c r="F7010">
        <v>20140221</v>
      </c>
      <c r="G7010" t="s">
        <v>2211</v>
      </c>
      <c r="H7010" t="s">
        <v>563</v>
      </c>
      <c r="I7010" t="s">
        <v>2212</v>
      </c>
    </row>
    <row r="7011" spans="1:9" x14ac:dyDescent="0.25">
      <c r="A7011">
        <v>20140227</v>
      </c>
      <c r="B7011" t="str">
        <f>"114486"</f>
        <v>114486</v>
      </c>
      <c r="C7011" t="str">
        <f>"87768"</f>
        <v>87768</v>
      </c>
      <c r="D7011" t="s">
        <v>3501</v>
      </c>
      <c r="E7011">
        <v>113.52</v>
      </c>
      <c r="F7011">
        <v>20140226</v>
      </c>
      <c r="G7011" t="s">
        <v>3099</v>
      </c>
      <c r="H7011" t="s">
        <v>765</v>
      </c>
      <c r="I7011" t="s">
        <v>61</v>
      </c>
    </row>
    <row r="7012" spans="1:9" x14ac:dyDescent="0.25">
      <c r="A7012">
        <v>20140227</v>
      </c>
      <c r="B7012" t="str">
        <f>"114487"</f>
        <v>114487</v>
      </c>
      <c r="C7012" t="str">
        <f>"81963"</f>
        <v>81963</v>
      </c>
      <c r="D7012" t="s">
        <v>1626</v>
      </c>
      <c r="E7012">
        <v>350</v>
      </c>
      <c r="F7012">
        <v>20140221</v>
      </c>
      <c r="G7012" t="s">
        <v>347</v>
      </c>
      <c r="H7012" t="s">
        <v>1360</v>
      </c>
      <c r="I7012" t="s">
        <v>61</v>
      </c>
    </row>
    <row r="7013" spans="1:9" x14ac:dyDescent="0.25">
      <c r="A7013">
        <v>20140227</v>
      </c>
      <c r="B7013" t="str">
        <f>"114488"</f>
        <v>114488</v>
      </c>
      <c r="C7013" t="str">
        <f>"86116"</f>
        <v>86116</v>
      </c>
      <c r="D7013" t="s">
        <v>2535</v>
      </c>
      <c r="E7013">
        <v>135</v>
      </c>
      <c r="F7013">
        <v>20140221</v>
      </c>
      <c r="G7013" t="s">
        <v>2324</v>
      </c>
      <c r="H7013" t="s">
        <v>765</v>
      </c>
      <c r="I7013" t="s">
        <v>61</v>
      </c>
    </row>
    <row r="7014" spans="1:9" x14ac:dyDescent="0.25">
      <c r="A7014">
        <v>20140227</v>
      </c>
      <c r="B7014" t="str">
        <f>"114489"</f>
        <v>114489</v>
      </c>
      <c r="C7014" t="str">
        <f>"81788"</f>
        <v>81788</v>
      </c>
      <c r="D7014" t="s">
        <v>1104</v>
      </c>
      <c r="E7014" s="1">
        <v>2409</v>
      </c>
      <c r="F7014">
        <v>20140226</v>
      </c>
      <c r="G7014" t="s">
        <v>580</v>
      </c>
      <c r="H7014" t="s">
        <v>3502</v>
      </c>
      <c r="I7014" t="s">
        <v>21</v>
      </c>
    </row>
    <row r="7015" spans="1:9" x14ac:dyDescent="0.25">
      <c r="A7015">
        <v>20140227</v>
      </c>
      <c r="B7015" t="str">
        <f>"114490"</f>
        <v>114490</v>
      </c>
      <c r="C7015" t="str">
        <f>"48530"</f>
        <v>48530</v>
      </c>
      <c r="D7015" t="s">
        <v>3503</v>
      </c>
      <c r="E7015">
        <v>450</v>
      </c>
      <c r="F7015">
        <v>20140221</v>
      </c>
      <c r="G7015" t="s">
        <v>347</v>
      </c>
      <c r="H7015" t="s">
        <v>1360</v>
      </c>
      <c r="I7015" t="s">
        <v>61</v>
      </c>
    </row>
    <row r="7016" spans="1:9" x14ac:dyDescent="0.25">
      <c r="A7016">
        <v>20140227</v>
      </c>
      <c r="B7016" t="str">
        <f>"114491"</f>
        <v>114491</v>
      </c>
      <c r="C7016" t="str">
        <f>"48820"</f>
        <v>48820</v>
      </c>
      <c r="D7016" t="s">
        <v>1106</v>
      </c>
      <c r="E7016">
        <v>272.45999999999998</v>
      </c>
      <c r="F7016">
        <v>20140226</v>
      </c>
      <c r="G7016" t="s">
        <v>209</v>
      </c>
      <c r="H7016" t="s">
        <v>354</v>
      </c>
      <c r="I7016" t="s">
        <v>25</v>
      </c>
    </row>
    <row r="7017" spans="1:9" x14ac:dyDescent="0.25">
      <c r="A7017">
        <v>20140227</v>
      </c>
      <c r="B7017" t="str">
        <f>"114492"</f>
        <v>114492</v>
      </c>
      <c r="C7017" t="str">
        <f>"87404"</f>
        <v>87404</v>
      </c>
      <c r="D7017" t="s">
        <v>1108</v>
      </c>
      <c r="E7017">
        <v>2.13</v>
      </c>
      <c r="F7017">
        <v>20140226</v>
      </c>
      <c r="G7017" t="s">
        <v>426</v>
      </c>
      <c r="H7017" t="s">
        <v>968</v>
      </c>
      <c r="I7017" t="s">
        <v>21</v>
      </c>
    </row>
    <row r="7018" spans="1:9" x14ac:dyDescent="0.25">
      <c r="A7018">
        <v>20140227</v>
      </c>
      <c r="B7018" t="str">
        <f>"114493"</f>
        <v>114493</v>
      </c>
      <c r="C7018" t="str">
        <f>"49833"</f>
        <v>49833</v>
      </c>
      <c r="D7018" t="s">
        <v>2010</v>
      </c>
      <c r="E7018" s="1">
        <v>23585</v>
      </c>
      <c r="F7018">
        <v>20140226</v>
      </c>
      <c r="G7018" t="s">
        <v>2011</v>
      </c>
      <c r="H7018" t="s">
        <v>3504</v>
      </c>
      <c r="I7018" t="s">
        <v>21</v>
      </c>
    </row>
    <row r="7019" spans="1:9" x14ac:dyDescent="0.25">
      <c r="A7019">
        <v>20140227</v>
      </c>
      <c r="B7019" t="str">
        <f>"114494"</f>
        <v>114494</v>
      </c>
      <c r="C7019" t="str">
        <f>"86598"</f>
        <v>86598</v>
      </c>
      <c r="D7019" t="s">
        <v>1633</v>
      </c>
      <c r="E7019">
        <v>593.46</v>
      </c>
      <c r="F7019">
        <v>20140226</v>
      </c>
      <c r="G7019" t="s">
        <v>2354</v>
      </c>
      <c r="H7019" t="s">
        <v>365</v>
      </c>
      <c r="I7019" t="s">
        <v>21</v>
      </c>
    </row>
    <row r="7020" spans="1:9" x14ac:dyDescent="0.25">
      <c r="A7020">
        <v>20140227</v>
      </c>
      <c r="B7020" t="str">
        <f>"114495"</f>
        <v>114495</v>
      </c>
      <c r="C7020" t="str">
        <f>"51000"</f>
        <v>51000</v>
      </c>
      <c r="D7020" t="s">
        <v>366</v>
      </c>
      <c r="E7020">
        <v>40.97</v>
      </c>
      <c r="F7020">
        <v>20140226</v>
      </c>
      <c r="G7020" t="s">
        <v>367</v>
      </c>
      <c r="H7020" t="s">
        <v>368</v>
      </c>
      <c r="I7020" t="s">
        <v>21</v>
      </c>
    </row>
    <row r="7021" spans="1:9" x14ac:dyDescent="0.25">
      <c r="A7021">
        <v>20140227</v>
      </c>
      <c r="B7021" t="str">
        <f>"114496"</f>
        <v>114496</v>
      </c>
      <c r="C7021" t="str">
        <f>"52450"</f>
        <v>52450</v>
      </c>
      <c r="D7021" t="s">
        <v>2548</v>
      </c>
      <c r="E7021" s="1">
        <v>1078.5</v>
      </c>
      <c r="F7021">
        <v>20140226</v>
      </c>
      <c r="G7021" t="s">
        <v>413</v>
      </c>
      <c r="H7021" t="s">
        <v>2550</v>
      </c>
      <c r="I7021" t="s">
        <v>21</v>
      </c>
    </row>
    <row r="7022" spans="1:9" x14ac:dyDescent="0.25">
      <c r="A7022">
        <v>20140227</v>
      </c>
      <c r="B7022" t="str">
        <f>"114497"</f>
        <v>114497</v>
      </c>
      <c r="C7022" t="str">
        <f>"52525"</f>
        <v>52525</v>
      </c>
      <c r="D7022" t="s">
        <v>1113</v>
      </c>
      <c r="E7022">
        <v>88.68</v>
      </c>
      <c r="F7022">
        <v>20140226</v>
      </c>
      <c r="G7022" t="s">
        <v>145</v>
      </c>
      <c r="H7022" t="s">
        <v>3505</v>
      </c>
      <c r="I7022" t="s">
        <v>38</v>
      </c>
    </row>
    <row r="7023" spans="1:9" x14ac:dyDescent="0.25">
      <c r="A7023">
        <v>20140227</v>
      </c>
      <c r="B7023" t="str">
        <f>"114498"</f>
        <v>114498</v>
      </c>
      <c r="C7023" t="str">
        <f>"82978"</f>
        <v>82978</v>
      </c>
      <c r="D7023" t="s">
        <v>2245</v>
      </c>
      <c r="E7023">
        <v>318.14999999999998</v>
      </c>
      <c r="F7023">
        <v>20140226</v>
      </c>
      <c r="G7023" t="s">
        <v>579</v>
      </c>
      <c r="H7023" t="s">
        <v>3506</v>
      </c>
      <c r="I7023" t="s">
        <v>21</v>
      </c>
    </row>
    <row r="7024" spans="1:9" x14ac:dyDescent="0.25">
      <c r="A7024">
        <v>20140227</v>
      </c>
      <c r="B7024" t="str">
        <f>"114498"</f>
        <v>114498</v>
      </c>
      <c r="C7024" t="str">
        <f>"82978"</f>
        <v>82978</v>
      </c>
      <c r="D7024" t="s">
        <v>2245</v>
      </c>
      <c r="E7024">
        <v>426.4</v>
      </c>
      <c r="F7024">
        <v>20140220</v>
      </c>
      <c r="G7024" t="s">
        <v>840</v>
      </c>
      <c r="H7024" t="s">
        <v>3507</v>
      </c>
      <c r="I7024" t="s">
        <v>21</v>
      </c>
    </row>
    <row r="7025" spans="1:9" x14ac:dyDescent="0.25">
      <c r="A7025">
        <v>20140227</v>
      </c>
      <c r="B7025" t="str">
        <f>"114498"</f>
        <v>114498</v>
      </c>
      <c r="C7025" t="str">
        <f>"82978"</f>
        <v>82978</v>
      </c>
      <c r="D7025" t="s">
        <v>2245</v>
      </c>
      <c r="E7025">
        <v>8.9700000000000006</v>
      </c>
      <c r="F7025">
        <v>20140226</v>
      </c>
      <c r="G7025" t="s">
        <v>840</v>
      </c>
      <c r="H7025" t="s">
        <v>3508</v>
      </c>
      <c r="I7025" t="s">
        <v>21</v>
      </c>
    </row>
    <row r="7026" spans="1:9" x14ac:dyDescent="0.25">
      <c r="A7026">
        <v>20140227</v>
      </c>
      <c r="B7026" t="str">
        <f>"114499"</f>
        <v>114499</v>
      </c>
      <c r="C7026" t="str">
        <f>"82832"</f>
        <v>82832</v>
      </c>
      <c r="D7026" t="s">
        <v>3509</v>
      </c>
      <c r="E7026">
        <v>131.63999999999999</v>
      </c>
      <c r="F7026">
        <v>20140221</v>
      </c>
      <c r="G7026" t="s">
        <v>1846</v>
      </c>
      <c r="H7026" t="s">
        <v>765</v>
      </c>
      <c r="I7026" t="s">
        <v>63</v>
      </c>
    </row>
    <row r="7027" spans="1:9" x14ac:dyDescent="0.25">
      <c r="A7027">
        <v>20140227</v>
      </c>
      <c r="B7027" t="str">
        <f>"114500"</f>
        <v>114500</v>
      </c>
      <c r="C7027" t="str">
        <f>"57041"</f>
        <v>57041</v>
      </c>
      <c r="D7027" t="s">
        <v>1496</v>
      </c>
      <c r="E7027">
        <v>418.6</v>
      </c>
      <c r="F7027">
        <v>20140220</v>
      </c>
      <c r="G7027" t="s">
        <v>415</v>
      </c>
      <c r="H7027" t="s">
        <v>414</v>
      </c>
      <c r="I7027" t="s">
        <v>21</v>
      </c>
    </row>
    <row r="7028" spans="1:9" x14ac:dyDescent="0.25">
      <c r="A7028">
        <v>20140227</v>
      </c>
      <c r="B7028" t="str">
        <f>"114501"</f>
        <v>114501</v>
      </c>
      <c r="C7028" t="str">
        <f>"87759"</f>
        <v>87759</v>
      </c>
      <c r="D7028" t="s">
        <v>3510</v>
      </c>
      <c r="E7028">
        <v>85</v>
      </c>
      <c r="F7028">
        <v>20140221</v>
      </c>
      <c r="G7028" t="s">
        <v>2820</v>
      </c>
      <c r="H7028" t="s">
        <v>765</v>
      </c>
      <c r="I7028" t="s">
        <v>61</v>
      </c>
    </row>
    <row r="7029" spans="1:9" x14ac:dyDescent="0.25">
      <c r="A7029">
        <v>20140227</v>
      </c>
      <c r="B7029" t="str">
        <f>"114502"</f>
        <v>114502</v>
      </c>
      <c r="C7029" t="str">
        <f>"87483"</f>
        <v>87483</v>
      </c>
      <c r="D7029" t="s">
        <v>1286</v>
      </c>
      <c r="E7029" s="1">
        <v>2224.9</v>
      </c>
      <c r="F7029">
        <v>20140226</v>
      </c>
      <c r="G7029" t="s">
        <v>840</v>
      </c>
      <c r="H7029" t="s">
        <v>3511</v>
      </c>
      <c r="I7029" t="s">
        <v>21</v>
      </c>
    </row>
    <row r="7030" spans="1:9" x14ac:dyDescent="0.25">
      <c r="A7030">
        <v>20140227</v>
      </c>
      <c r="B7030" t="str">
        <f>"114503"</f>
        <v>114503</v>
      </c>
      <c r="C7030" t="str">
        <f>"87733"</f>
        <v>87733</v>
      </c>
      <c r="D7030" t="s">
        <v>3512</v>
      </c>
      <c r="E7030">
        <v>433.91</v>
      </c>
      <c r="F7030">
        <v>20140226</v>
      </c>
      <c r="G7030" t="s">
        <v>1064</v>
      </c>
      <c r="H7030" t="s">
        <v>3513</v>
      </c>
      <c r="I7030" t="s">
        <v>21</v>
      </c>
    </row>
    <row r="7031" spans="1:9" x14ac:dyDescent="0.25">
      <c r="A7031">
        <v>20140227</v>
      </c>
      <c r="B7031" t="str">
        <f>"114504"</f>
        <v>114504</v>
      </c>
      <c r="C7031" t="str">
        <f>"62450"</f>
        <v>62450</v>
      </c>
      <c r="D7031" t="s">
        <v>683</v>
      </c>
      <c r="E7031">
        <v>160</v>
      </c>
      <c r="F7031">
        <v>20140226</v>
      </c>
      <c r="G7031" t="s">
        <v>119</v>
      </c>
      <c r="H7031" t="s">
        <v>3514</v>
      </c>
      <c r="I7031" t="s">
        <v>38</v>
      </c>
    </row>
    <row r="7032" spans="1:9" x14ac:dyDescent="0.25">
      <c r="A7032">
        <v>20140227</v>
      </c>
      <c r="B7032" t="str">
        <f>"114505"</f>
        <v>114505</v>
      </c>
      <c r="C7032" t="str">
        <f>"82927"</f>
        <v>82927</v>
      </c>
      <c r="D7032" t="s">
        <v>3515</v>
      </c>
      <c r="E7032">
        <v>235</v>
      </c>
      <c r="F7032">
        <v>20140221</v>
      </c>
      <c r="G7032" t="s">
        <v>347</v>
      </c>
      <c r="H7032" t="s">
        <v>361</v>
      </c>
      <c r="I7032" t="s">
        <v>61</v>
      </c>
    </row>
    <row r="7033" spans="1:9" x14ac:dyDescent="0.25">
      <c r="A7033">
        <v>20140227</v>
      </c>
      <c r="B7033" t="str">
        <f>"114505"</f>
        <v>114505</v>
      </c>
      <c r="C7033" t="str">
        <f>"82927"</f>
        <v>82927</v>
      </c>
      <c r="D7033" t="s">
        <v>3515</v>
      </c>
      <c r="E7033">
        <v>-235</v>
      </c>
      <c r="F7033">
        <v>20140306</v>
      </c>
      <c r="G7033" t="s">
        <v>347</v>
      </c>
      <c r="H7033" t="s">
        <v>3490</v>
      </c>
      <c r="I7033" t="s">
        <v>61</v>
      </c>
    </row>
    <row r="7034" spans="1:9" x14ac:dyDescent="0.25">
      <c r="A7034">
        <v>20140227</v>
      </c>
      <c r="B7034" t="str">
        <f>"114506"</f>
        <v>114506</v>
      </c>
      <c r="C7034" t="str">
        <f>"84165"</f>
        <v>84165</v>
      </c>
      <c r="D7034" t="s">
        <v>1298</v>
      </c>
      <c r="E7034">
        <v>104.4</v>
      </c>
      <c r="F7034">
        <v>20140226</v>
      </c>
      <c r="G7034" t="s">
        <v>1738</v>
      </c>
      <c r="H7034" t="s">
        <v>365</v>
      </c>
      <c r="I7034" t="s">
        <v>21</v>
      </c>
    </row>
    <row r="7035" spans="1:9" x14ac:dyDescent="0.25">
      <c r="A7035">
        <v>20140227</v>
      </c>
      <c r="B7035" t="str">
        <f>"114507"</f>
        <v>114507</v>
      </c>
      <c r="C7035" t="str">
        <f>"87712"</f>
        <v>87712</v>
      </c>
      <c r="D7035" t="s">
        <v>3188</v>
      </c>
      <c r="E7035">
        <v>85</v>
      </c>
      <c r="F7035">
        <v>20140221</v>
      </c>
      <c r="G7035" t="s">
        <v>2820</v>
      </c>
      <c r="H7035" t="s">
        <v>765</v>
      </c>
      <c r="I7035" t="s">
        <v>61</v>
      </c>
    </row>
    <row r="7036" spans="1:9" x14ac:dyDescent="0.25">
      <c r="A7036">
        <v>20140227</v>
      </c>
      <c r="B7036" t="str">
        <f>"114508"</f>
        <v>114508</v>
      </c>
      <c r="C7036" t="str">
        <f>"82243"</f>
        <v>82243</v>
      </c>
      <c r="D7036" t="s">
        <v>1517</v>
      </c>
      <c r="E7036">
        <v>197.21</v>
      </c>
      <c r="F7036">
        <v>20140220</v>
      </c>
      <c r="G7036" t="s">
        <v>392</v>
      </c>
      <c r="H7036" t="s">
        <v>414</v>
      </c>
      <c r="I7036" t="s">
        <v>21</v>
      </c>
    </row>
    <row r="7037" spans="1:9" x14ac:dyDescent="0.25">
      <c r="A7037">
        <v>20140227</v>
      </c>
      <c r="B7037" t="str">
        <f>"114509"</f>
        <v>114509</v>
      </c>
      <c r="C7037" t="str">
        <f>"65430"</f>
        <v>65430</v>
      </c>
      <c r="D7037" t="s">
        <v>1518</v>
      </c>
      <c r="E7037">
        <v>65.98</v>
      </c>
      <c r="F7037">
        <v>20140226</v>
      </c>
      <c r="G7037" t="s">
        <v>413</v>
      </c>
      <c r="H7037" t="s">
        <v>414</v>
      </c>
      <c r="I7037" t="s">
        <v>21</v>
      </c>
    </row>
    <row r="7038" spans="1:9" x14ac:dyDescent="0.25">
      <c r="A7038">
        <v>20140227</v>
      </c>
      <c r="B7038" t="str">
        <f>"114509"</f>
        <v>114509</v>
      </c>
      <c r="C7038" t="str">
        <f>"65430"</f>
        <v>65430</v>
      </c>
      <c r="D7038" t="s">
        <v>1518</v>
      </c>
      <c r="E7038">
        <v>171.34</v>
      </c>
      <c r="F7038">
        <v>20140226</v>
      </c>
      <c r="G7038" t="s">
        <v>413</v>
      </c>
      <c r="H7038" t="s">
        <v>414</v>
      </c>
      <c r="I7038" t="s">
        <v>21</v>
      </c>
    </row>
    <row r="7039" spans="1:9" x14ac:dyDescent="0.25">
      <c r="A7039">
        <v>20140227</v>
      </c>
      <c r="B7039" t="str">
        <f>"114510"</f>
        <v>114510</v>
      </c>
      <c r="C7039" t="str">
        <f>"87761"</f>
        <v>87761</v>
      </c>
      <c r="D7039" t="s">
        <v>3516</v>
      </c>
      <c r="E7039">
        <v>60</v>
      </c>
      <c r="F7039">
        <v>20140221</v>
      </c>
      <c r="G7039" t="s">
        <v>2324</v>
      </c>
      <c r="H7039" t="s">
        <v>765</v>
      </c>
      <c r="I7039" t="s">
        <v>61</v>
      </c>
    </row>
    <row r="7040" spans="1:9" x14ac:dyDescent="0.25">
      <c r="A7040">
        <v>20140227</v>
      </c>
      <c r="B7040" t="str">
        <f>"114511"</f>
        <v>114511</v>
      </c>
      <c r="C7040" t="str">
        <f>"87745"</f>
        <v>87745</v>
      </c>
      <c r="D7040" t="s">
        <v>3517</v>
      </c>
      <c r="E7040">
        <v>733.95</v>
      </c>
      <c r="F7040">
        <v>20140226</v>
      </c>
      <c r="G7040" t="s">
        <v>1483</v>
      </c>
      <c r="H7040" t="s">
        <v>3518</v>
      </c>
      <c r="I7040" t="s">
        <v>38</v>
      </c>
    </row>
    <row r="7041" spans="1:9" x14ac:dyDescent="0.25">
      <c r="A7041">
        <v>20140227</v>
      </c>
      <c r="B7041" t="str">
        <f>"114512"</f>
        <v>114512</v>
      </c>
      <c r="C7041" t="str">
        <f>"85353"</f>
        <v>85353</v>
      </c>
      <c r="D7041" t="s">
        <v>1814</v>
      </c>
      <c r="E7041" s="1">
        <v>1076</v>
      </c>
      <c r="F7041">
        <v>20140221</v>
      </c>
      <c r="G7041" t="s">
        <v>119</v>
      </c>
      <c r="H7041" t="s">
        <v>3519</v>
      </c>
      <c r="I7041" t="s">
        <v>38</v>
      </c>
    </row>
    <row r="7042" spans="1:9" x14ac:dyDescent="0.25">
      <c r="A7042">
        <v>20140227</v>
      </c>
      <c r="B7042" t="str">
        <f>"114513"</f>
        <v>114513</v>
      </c>
      <c r="C7042" t="str">
        <f>"87459"</f>
        <v>87459</v>
      </c>
      <c r="D7042" t="s">
        <v>1817</v>
      </c>
      <c r="E7042">
        <v>743.74</v>
      </c>
      <c r="F7042">
        <v>20140226</v>
      </c>
      <c r="G7042" t="s">
        <v>184</v>
      </c>
      <c r="H7042" t="s">
        <v>414</v>
      </c>
      <c r="I7042" t="s">
        <v>25</v>
      </c>
    </row>
    <row r="7043" spans="1:9" x14ac:dyDescent="0.25">
      <c r="A7043">
        <v>20140227</v>
      </c>
      <c r="B7043" t="str">
        <f>"114514"</f>
        <v>114514</v>
      </c>
      <c r="C7043" t="str">
        <f>"70359"</f>
        <v>70359</v>
      </c>
      <c r="D7043" t="s">
        <v>3520</v>
      </c>
      <c r="E7043" s="1">
        <v>1600</v>
      </c>
      <c r="F7043">
        <v>20140226</v>
      </c>
      <c r="G7043" t="s">
        <v>621</v>
      </c>
      <c r="H7043" t="s">
        <v>3521</v>
      </c>
      <c r="I7043" t="s">
        <v>21</v>
      </c>
    </row>
    <row r="7044" spans="1:9" x14ac:dyDescent="0.25">
      <c r="A7044">
        <v>20140227</v>
      </c>
      <c r="B7044" t="str">
        <f>"114515"</f>
        <v>114515</v>
      </c>
      <c r="C7044" t="str">
        <f>"70359"</f>
        <v>70359</v>
      </c>
      <c r="D7044" t="s">
        <v>3520</v>
      </c>
      <c r="E7044" s="1">
        <v>1356.2</v>
      </c>
      <c r="F7044">
        <v>20140226</v>
      </c>
      <c r="G7044" t="s">
        <v>524</v>
      </c>
      <c r="H7044" t="s">
        <v>3521</v>
      </c>
      <c r="I7044" t="s">
        <v>21</v>
      </c>
    </row>
    <row r="7045" spans="1:9" x14ac:dyDescent="0.25">
      <c r="A7045">
        <v>20140227</v>
      </c>
      <c r="B7045" t="str">
        <f>"114516"</f>
        <v>114516</v>
      </c>
      <c r="C7045" t="str">
        <f>"70359"</f>
        <v>70359</v>
      </c>
      <c r="D7045" t="s">
        <v>3520</v>
      </c>
      <c r="E7045">
        <v>874.6</v>
      </c>
      <c r="F7045">
        <v>20140226</v>
      </c>
      <c r="G7045" t="s">
        <v>1270</v>
      </c>
      <c r="H7045" t="s">
        <v>3521</v>
      </c>
      <c r="I7045" t="s">
        <v>21</v>
      </c>
    </row>
    <row r="7046" spans="1:9" x14ac:dyDescent="0.25">
      <c r="A7046">
        <v>20140227</v>
      </c>
      <c r="B7046" t="str">
        <f>"114517"</f>
        <v>114517</v>
      </c>
      <c r="C7046" t="str">
        <f>"87763"</f>
        <v>87763</v>
      </c>
      <c r="D7046" t="s">
        <v>3522</v>
      </c>
      <c r="E7046">
        <v>120</v>
      </c>
      <c r="F7046">
        <v>20140221</v>
      </c>
      <c r="G7046" t="s">
        <v>1846</v>
      </c>
      <c r="H7046" t="s">
        <v>765</v>
      </c>
      <c r="I7046" t="s">
        <v>63</v>
      </c>
    </row>
    <row r="7047" spans="1:9" x14ac:dyDescent="0.25">
      <c r="A7047">
        <v>20140227</v>
      </c>
      <c r="B7047" t="str">
        <f>"114518"</f>
        <v>114518</v>
      </c>
      <c r="C7047" t="str">
        <f>"00332"</f>
        <v>00332</v>
      </c>
      <c r="D7047" t="s">
        <v>1160</v>
      </c>
      <c r="E7047">
        <v>126</v>
      </c>
      <c r="F7047">
        <v>20140226</v>
      </c>
      <c r="G7047" t="s">
        <v>367</v>
      </c>
      <c r="H7047" t="s">
        <v>1161</v>
      </c>
      <c r="I7047" t="s">
        <v>21</v>
      </c>
    </row>
    <row r="7048" spans="1:9" x14ac:dyDescent="0.25">
      <c r="A7048">
        <v>20140227</v>
      </c>
      <c r="B7048" t="str">
        <f>"114519"</f>
        <v>114519</v>
      </c>
      <c r="C7048" t="str">
        <f>"73982"</f>
        <v>73982</v>
      </c>
      <c r="D7048" t="s">
        <v>701</v>
      </c>
      <c r="E7048">
        <v>29.95</v>
      </c>
      <c r="F7048">
        <v>20140221</v>
      </c>
      <c r="G7048" t="s">
        <v>583</v>
      </c>
      <c r="H7048" t="s">
        <v>354</v>
      </c>
      <c r="I7048" t="s">
        <v>21</v>
      </c>
    </row>
    <row r="7049" spans="1:9" x14ac:dyDescent="0.25">
      <c r="A7049">
        <v>20140227</v>
      </c>
      <c r="B7049" t="str">
        <f>"114520"</f>
        <v>114520</v>
      </c>
      <c r="C7049" t="str">
        <f>"87616"</f>
        <v>87616</v>
      </c>
      <c r="D7049" t="s">
        <v>711</v>
      </c>
      <c r="E7049">
        <v>150</v>
      </c>
      <c r="F7049">
        <v>20140221</v>
      </c>
      <c r="G7049" t="s">
        <v>1030</v>
      </c>
      <c r="H7049" t="s">
        <v>2417</v>
      </c>
      <c r="I7049" t="s">
        <v>63</v>
      </c>
    </row>
    <row r="7050" spans="1:9" x14ac:dyDescent="0.25">
      <c r="A7050">
        <v>20140227</v>
      </c>
      <c r="B7050" t="str">
        <f>"114520"</f>
        <v>114520</v>
      </c>
      <c r="C7050" t="str">
        <f>"87616"</f>
        <v>87616</v>
      </c>
      <c r="D7050" t="s">
        <v>711</v>
      </c>
      <c r="E7050">
        <v>25</v>
      </c>
      <c r="F7050">
        <v>20140221</v>
      </c>
      <c r="G7050" t="s">
        <v>637</v>
      </c>
      <c r="H7050" t="s">
        <v>3523</v>
      </c>
      <c r="I7050" t="s">
        <v>38</v>
      </c>
    </row>
    <row r="7051" spans="1:9" x14ac:dyDescent="0.25">
      <c r="A7051">
        <v>20140227</v>
      </c>
      <c r="B7051" t="str">
        <f>"114521"</f>
        <v>114521</v>
      </c>
      <c r="C7051" t="str">
        <f>"76904"</f>
        <v>76904</v>
      </c>
      <c r="D7051" t="s">
        <v>1323</v>
      </c>
      <c r="E7051">
        <v>40</v>
      </c>
      <c r="F7051">
        <v>20140221</v>
      </c>
      <c r="G7051" t="s">
        <v>637</v>
      </c>
      <c r="H7051" t="s">
        <v>784</v>
      </c>
      <c r="I7051" t="s">
        <v>38</v>
      </c>
    </row>
    <row r="7052" spans="1:9" x14ac:dyDescent="0.25">
      <c r="A7052">
        <v>20140227</v>
      </c>
      <c r="B7052" t="str">
        <f>"114522"</f>
        <v>114522</v>
      </c>
      <c r="C7052" t="str">
        <f>"87740"</f>
        <v>87740</v>
      </c>
      <c r="D7052" t="s">
        <v>3524</v>
      </c>
      <c r="E7052">
        <v>97.5</v>
      </c>
      <c r="F7052">
        <v>20140221</v>
      </c>
      <c r="G7052" t="s">
        <v>1605</v>
      </c>
      <c r="H7052" t="s">
        <v>3525</v>
      </c>
      <c r="I7052" t="s">
        <v>21</v>
      </c>
    </row>
    <row r="7053" spans="1:9" x14ac:dyDescent="0.25">
      <c r="A7053">
        <v>20140227</v>
      </c>
      <c r="B7053" t="str">
        <f>"114523"</f>
        <v>114523</v>
      </c>
      <c r="C7053" t="str">
        <f>"87705"</f>
        <v>87705</v>
      </c>
      <c r="D7053" t="s">
        <v>3091</v>
      </c>
      <c r="E7053">
        <v>85</v>
      </c>
      <c r="F7053">
        <v>20140221</v>
      </c>
      <c r="G7053" t="s">
        <v>2820</v>
      </c>
      <c r="H7053" t="s">
        <v>765</v>
      </c>
      <c r="I7053" t="s">
        <v>61</v>
      </c>
    </row>
    <row r="7054" spans="1:9" x14ac:dyDescent="0.25">
      <c r="A7054">
        <v>20140227</v>
      </c>
      <c r="B7054" t="str">
        <f>"114524"</f>
        <v>114524</v>
      </c>
      <c r="C7054" t="str">
        <f>"00109"</f>
        <v>00109</v>
      </c>
      <c r="D7054" t="s">
        <v>3256</v>
      </c>
      <c r="E7054">
        <v>450</v>
      </c>
      <c r="F7054">
        <v>20140221</v>
      </c>
      <c r="G7054" t="s">
        <v>347</v>
      </c>
      <c r="H7054" t="s">
        <v>361</v>
      </c>
      <c r="I7054" t="s">
        <v>61</v>
      </c>
    </row>
    <row r="7055" spans="1:9" x14ac:dyDescent="0.25">
      <c r="A7055">
        <v>20140227</v>
      </c>
      <c r="B7055" t="str">
        <f>"114525"</f>
        <v>114525</v>
      </c>
      <c r="C7055" t="str">
        <f>"85183"</f>
        <v>85183</v>
      </c>
      <c r="D7055" t="s">
        <v>3092</v>
      </c>
      <c r="E7055">
        <v>408.2</v>
      </c>
      <c r="F7055">
        <v>20140221</v>
      </c>
      <c r="G7055" t="s">
        <v>965</v>
      </c>
      <c r="H7055" t="s">
        <v>3526</v>
      </c>
      <c r="I7055" t="s">
        <v>21</v>
      </c>
    </row>
    <row r="7056" spans="1:9" x14ac:dyDescent="0.25">
      <c r="A7056">
        <v>20140227</v>
      </c>
      <c r="B7056" t="str">
        <f>"114526"</f>
        <v>114526</v>
      </c>
      <c r="C7056" t="str">
        <f>"83814"</f>
        <v>83814</v>
      </c>
      <c r="D7056" t="s">
        <v>3457</v>
      </c>
      <c r="E7056" s="1">
        <v>8425.39</v>
      </c>
      <c r="F7056">
        <v>20140221</v>
      </c>
      <c r="G7056" t="s">
        <v>1900</v>
      </c>
      <c r="H7056" t="s">
        <v>3458</v>
      </c>
      <c r="I7056" t="s">
        <v>608</v>
      </c>
    </row>
    <row r="7057" spans="1:9" x14ac:dyDescent="0.25">
      <c r="A7057">
        <v>20140227</v>
      </c>
      <c r="B7057" t="str">
        <f>"114527"</f>
        <v>114527</v>
      </c>
      <c r="C7057" t="str">
        <f>"87177"</f>
        <v>87177</v>
      </c>
      <c r="D7057" t="s">
        <v>1326</v>
      </c>
      <c r="E7057">
        <v>127.44</v>
      </c>
      <c r="F7057">
        <v>20140226</v>
      </c>
      <c r="G7057" t="s">
        <v>1738</v>
      </c>
      <c r="H7057" t="s">
        <v>365</v>
      </c>
      <c r="I7057" t="s">
        <v>21</v>
      </c>
    </row>
    <row r="7058" spans="1:9" x14ac:dyDescent="0.25">
      <c r="A7058">
        <v>20140227</v>
      </c>
      <c r="B7058" t="str">
        <f>"114528"</f>
        <v>114528</v>
      </c>
      <c r="C7058" t="str">
        <f>"80900"</f>
        <v>80900</v>
      </c>
      <c r="D7058" t="s">
        <v>3527</v>
      </c>
      <c r="E7058">
        <v>218</v>
      </c>
      <c r="F7058">
        <v>20140226</v>
      </c>
      <c r="G7058" t="s">
        <v>789</v>
      </c>
      <c r="H7058" t="s">
        <v>921</v>
      </c>
      <c r="I7058" t="s">
        <v>61</v>
      </c>
    </row>
    <row r="7059" spans="1:9" x14ac:dyDescent="0.25">
      <c r="A7059">
        <v>20140227</v>
      </c>
      <c r="B7059" t="str">
        <f>"114529"</f>
        <v>114529</v>
      </c>
      <c r="C7059" t="str">
        <f>"87766"</f>
        <v>87766</v>
      </c>
      <c r="D7059" t="s">
        <v>3528</v>
      </c>
      <c r="E7059">
        <v>235.58</v>
      </c>
      <c r="F7059">
        <v>20140226</v>
      </c>
      <c r="G7059" t="s">
        <v>1721</v>
      </c>
      <c r="H7059" t="s">
        <v>365</v>
      </c>
      <c r="I7059" t="s">
        <v>21</v>
      </c>
    </row>
    <row r="7060" spans="1:9" x14ac:dyDescent="0.25">
      <c r="A7060">
        <v>20140227</v>
      </c>
      <c r="B7060" t="str">
        <f>"114530"</f>
        <v>114530</v>
      </c>
      <c r="C7060" t="str">
        <f>"11535"</f>
        <v>11535</v>
      </c>
      <c r="D7060" t="s">
        <v>502</v>
      </c>
      <c r="E7060">
        <v>577.74</v>
      </c>
      <c r="F7060">
        <v>20140227</v>
      </c>
      <c r="G7060" t="s">
        <v>184</v>
      </c>
      <c r="H7060" t="s">
        <v>921</v>
      </c>
      <c r="I7060" t="s">
        <v>25</v>
      </c>
    </row>
    <row r="7061" spans="1:9" x14ac:dyDescent="0.25">
      <c r="A7061">
        <v>20140227</v>
      </c>
      <c r="B7061" t="str">
        <f>"114531"</f>
        <v>114531</v>
      </c>
      <c r="C7061" t="str">
        <f>"85796"</f>
        <v>85796</v>
      </c>
      <c r="D7061" t="s">
        <v>796</v>
      </c>
      <c r="E7061">
        <v>250</v>
      </c>
      <c r="F7061">
        <v>20140227</v>
      </c>
      <c r="G7061" t="s">
        <v>2009</v>
      </c>
      <c r="H7061" t="s">
        <v>357</v>
      </c>
      <c r="I7061" t="s">
        <v>21</v>
      </c>
    </row>
    <row r="7062" spans="1:9" x14ac:dyDescent="0.25">
      <c r="A7062">
        <v>20140228</v>
      </c>
      <c r="B7062" t="str">
        <f>"114532"</f>
        <v>114532</v>
      </c>
      <c r="C7062" t="str">
        <f>"85770"</f>
        <v>85770</v>
      </c>
      <c r="D7062" t="s">
        <v>363</v>
      </c>
      <c r="E7062" s="1">
        <v>1109.28</v>
      </c>
      <c r="F7062">
        <v>20140228</v>
      </c>
      <c r="G7062" t="s">
        <v>364</v>
      </c>
      <c r="H7062" t="s">
        <v>365</v>
      </c>
      <c r="I7062" t="s">
        <v>21</v>
      </c>
    </row>
    <row r="7063" spans="1:9" x14ac:dyDescent="0.25">
      <c r="A7063">
        <v>20140305</v>
      </c>
      <c r="B7063" t="str">
        <f>"114533"</f>
        <v>114533</v>
      </c>
      <c r="C7063" t="str">
        <f>"87614"</f>
        <v>87614</v>
      </c>
      <c r="D7063" t="s">
        <v>2415</v>
      </c>
      <c r="E7063" s="1">
        <v>1536</v>
      </c>
      <c r="F7063">
        <v>20140305</v>
      </c>
      <c r="G7063" t="s">
        <v>2995</v>
      </c>
      <c r="H7063" t="s">
        <v>679</v>
      </c>
      <c r="I7063" t="s">
        <v>38</v>
      </c>
    </row>
    <row r="7064" spans="1:9" x14ac:dyDescent="0.25">
      <c r="A7064">
        <v>20140306</v>
      </c>
      <c r="B7064" t="str">
        <f>"114534"</f>
        <v>114534</v>
      </c>
      <c r="C7064" t="str">
        <f>"87744"</f>
        <v>87744</v>
      </c>
      <c r="D7064" t="s">
        <v>3357</v>
      </c>
      <c r="E7064">
        <v>300</v>
      </c>
      <c r="F7064">
        <v>20140304</v>
      </c>
      <c r="G7064" t="s">
        <v>1027</v>
      </c>
      <c r="H7064" t="s">
        <v>525</v>
      </c>
      <c r="I7064" t="s">
        <v>21</v>
      </c>
    </row>
    <row r="7065" spans="1:9" x14ac:dyDescent="0.25">
      <c r="A7065">
        <v>20140306</v>
      </c>
      <c r="B7065" t="str">
        <f>"114535"</f>
        <v>114535</v>
      </c>
      <c r="C7065" t="str">
        <f>"87769"</f>
        <v>87769</v>
      </c>
      <c r="D7065" t="s">
        <v>3462</v>
      </c>
      <c r="E7065">
        <v>9.4499999999999993</v>
      </c>
      <c r="F7065">
        <v>20140304</v>
      </c>
      <c r="G7065" t="s">
        <v>181</v>
      </c>
      <c r="H7065" t="s">
        <v>354</v>
      </c>
      <c r="I7065" t="s">
        <v>38</v>
      </c>
    </row>
    <row r="7066" spans="1:9" x14ac:dyDescent="0.25">
      <c r="A7066">
        <v>20140306</v>
      </c>
      <c r="B7066" t="str">
        <f>"114536"</f>
        <v>114536</v>
      </c>
      <c r="C7066" t="str">
        <f>"87466"</f>
        <v>87466</v>
      </c>
      <c r="D7066" t="s">
        <v>468</v>
      </c>
      <c r="E7066">
        <v>260</v>
      </c>
      <c r="F7066">
        <v>20140305</v>
      </c>
      <c r="G7066" t="s">
        <v>469</v>
      </c>
      <c r="H7066" t="s">
        <v>501</v>
      </c>
      <c r="I7066" t="s">
        <v>21</v>
      </c>
    </row>
    <row r="7067" spans="1:9" x14ac:dyDescent="0.25">
      <c r="A7067">
        <v>20140306</v>
      </c>
      <c r="B7067" t="str">
        <f>"114537"</f>
        <v>114537</v>
      </c>
      <c r="C7067" t="str">
        <f>"83932"</f>
        <v>83932</v>
      </c>
      <c r="D7067" t="s">
        <v>3269</v>
      </c>
      <c r="E7067">
        <v>27</v>
      </c>
      <c r="F7067">
        <v>20140305</v>
      </c>
      <c r="G7067" t="s">
        <v>410</v>
      </c>
      <c r="H7067" t="s">
        <v>411</v>
      </c>
      <c r="I7067" t="s">
        <v>12</v>
      </c>
    </row>
    <row r="7068" spans="1:9" x14ac:dyDescent="0.25">
      <c r="A7068">
        <v>20140306</v>
      </c>
      <c r="B7068" t="str">
        <f>"114538"</f>
        <v>114538</v>
      </c>
      <c r="C7068" t="str">
        <f>"00500"</f>
        <v>00500</v>
      </c>
      <c r="D7068" t="s">
        <v>486</v>
      </c>
      <c r="E7068">
        <v>721.2</v>
      </c>
      <c r="F7068">
        <v>20140304</v>
      </c>
      <c r="G7068" t="s">
        <v>1705</v>
      </c>
      <c r="H7068" t="s">
        <v>488</v>
      </c>
      <c r="I7068" t="s">
        <v>21</v>
      </c>
    </row>
    <row r="7069" spans="1:9" x14ac:dyDescent="0.25">
      <c r="A7069">
        <v>20140306</v>
      </c>
      <c r="B7069" t="str">
        <f t="shared" ref="B7069:B7078" si="434">"114539"</f>
        <v>114539</v>
      </c>
      <c r="C7069" t="str">
        <f t="shared" ref="C7069:C7078" si="435">"00255"</f>
        <v>00255</v>
      </c>
      <c r="D7069" t="s">
        <v>489</v>
      </c>
      <c r="E7069" s="1">
        <v>3193.89</v>
      </c>
      <c r="F7069">
        <v>20140304</v>
      </c>
      <c r="G7069" t="s">
        <v>1183</v>
      </c>
      <c r="H7069" t="s">
        <v>488</v>
      </c>
      <c r="I7069" t="s">
        <v>21</v>
      </c>
    </row>
    <row r="7070" spans="1:9" x14ac:dyDescent="0.25">
      <c r="A7070">
        <v>20140306</v>
      </c>
      <c r="B7070" t="str">
        <f t="shared" si="434"/>
        <v>114539</v>
      </c>
      <c r="C7070" t="str">
        <f t="shared" si="435"/>
        <v>00255</v>
      </c>
      <c r="D7070" t="s">
        <v>489</v>
      </c>
      <c r="E7070">
        <v>304.95999999999998</v>
      </c>
      <c r="F7070">
        <v>20140305</v>
      </c>
      <c r="G7070" t="s">
        <v>1183</v>
      </c>
      <c r="H7070" t="s">
        <v>488</v>
      </c>
      <c r="I7070" t="s">
        <v>21</v>
      </c>
    </row>
    <row r="7071" spans="1:9" x14ac:dyDescent="0.25">
      <c r="A7071">
        <v>20140306</v>
      </c>
      <c r="B7071" t="str">
        <f t="shared" si="434"/>
        <v>114539</v>
      </c>
      <c r="C7071" t="str">
        <f t="shared" si="435"/>
        <v>00255</v>
      </c>
      <c r="D7071" t="s">
        <v>489</v>
      </c>
      <c r="E7071">
        <v>257.62</v>
      </c>
      <c r="F7071">
        <v>20140305</v>
      </c>
      <c r="G7071" t="s">
        <v>490</v>
      </c>
      <c r="H7071" t="s">
        <v>488</v>
      </c>
      <c r="I7071" t="s">
        <v>21</v>
      </c>
    </row>
    <row r="7072" spans="1:9" x14ac:dyDescent="0.25">
      <c r="A7072">
        <v>20140306</v>
      </c>
      <c r="B7072" t="str">
        <f t="shared" si="434"/>
        <v>114539</v>
      </c>
      <c r="C7072" t="str">
        <f t="shared" si="435"/>
        <v>00255</v>
      </c>
      <c r="D7072" t="s">
        <v>489</v>
      </c>
      <c r="E7072" s="1">
        <v>2757.57</v>
      </c>
      <c r="F7072">
        <v>20140305</v>
      </c>
      <c r="G7072" t="s">
        <v>490</v>
      </c>
      <c r="H7072" t="s">
        <v>488</v>
      </c>
      <c r="I7072" t="s">
        <v>21</v>
      </c>
    </row>
    <row r="7073" spans="1:9" x14ac:dyDescent="0.25">
      <c r="A7073">
        <v>20140306</v>
      </c>
      <c r="B7073" t="str">
        <f t="shared" si="434"/>
        <v>114539</v>
      </c>
      <c r="C7073" t="str">
        <f t="shared" si="435"/>
        <v>00255</v>
      </c>
      <c r="D7073" t="s">
        <v>489</v>
      </c>
      <c r="E7073">
        <v>38.380000000000003</v>
      </c>
      <c r="F7073">
        <v>20140305</v>
      </c>
      <c r="G7073" t="s">
        <v>490</v>
      </c>
      <c r="H7073" t="s">
        <v>488</v>
      </c>
      <c r="I7073" t="s">
        <v>21</v>
      </c>
    </row>
    <row r="7074" spans="1:9" x14ac:dyDescent="0.25">
      <c r="A7074">
        <v>20140306</v>
      </c>
      <c r="B7074" t="str">
        <f t="shared" si="434"/>
        <v>114539</v>
      </c>
      <c r="C7074" t="str">
        <f t="shared" si="435"/>
        <v>00255</v>
      </c>
      <c r="D7074" t="s">
        <v>489</v>
      </c>
      <c r="E7074" s="1">
        <v>1706.09</v>
      </c>
      <c r="F7074">
        <v>20140305</v>
      </c>
      <c r="G7074" t="s">
        <v>1184</v>
      </c>
      <c r="H7074" t="s">
        <v>488</v>
      </c>
      <c r="I7074" t="s">
        <v>21</v>
      </c>
    </row>
    <row r="7075" spans="1:9" x14ac:dyDescent="0.25">
      <c r="A7075">
        <v>20140306</v>
      </c>
      <c r="B7075" t="str">
        <f t="shared" si="434"/>
        <v>114539</v>
      </c>
      <c r="C7075" t="str">
        <f t="shared" si="435"/>
        <v>00255</v>
      </c>
      <c r="D7075" t="s">
        <v>489</v>
      </c>
      <c r="E7075" s="1">
        <v>2567.73</v>
      </c>
      <c r="F7075">
        <v>20140304</v>
      </c>
      <c r="G7075" t="s">
        <v>1185</v>
      </c>
      <c r="H7075" t="s">
        <v>488</v>
      </c>
      <c r="I7075" t="s">
        <v>21</v>
      </c>
    </row>
    <row r="7076" spans="1:9" x14ac:dyDescent="0.25">
      <c r="A7076">
        <v>20140306</v>
      </c>
      <c r="B7076" t="str">
        <f t="shared" si="434"/>
        <v>114539</v>
      </c>
      <c r="C7076" t="str">
        <f t="shared" si="435"/>
        <v>00255</v>
      </c>
      <c r="D7076" t="s">
        <v>489</v>
      </c>
      <c r="E7076">
        <v>201.01</v>
      </c>
      <c r="F7076">
        <v>20140305</v>
      </c>
      <c r="G7076" t="s">
        <v>492</v>
      </c>
      <c r="H7076" t="s">
        <v>488</v>
      </c>
      <c r="I7076" t="s">
        <v>21</v>
      </c>
    </row>
    <row r="7077" spans="1:9" x14ac:dyDescent="0.25">
      <c r="A7077">
        <v>20140306</v>
      </c>
      <c r="B7077" t="str">
        <f t="shared" si="434"/>
        <v>114539</v>
      </c>
      <c r="C7077" t="str">
        <f t="shared" si="435"/>
        <v>00255</v>
      </c>
      <c r="D7077" t="s">
        <v>489</v>
      </c>
      <c r="E7077" s="1">
        <v>1357.83</v>
      </c>
      <c r="F7077">
        <v>20140305</v>
      </c>
      <c r="G7077" t="s">
        <v>492</v>
      </c>
      <c r="H7077" t="s">
        <v>488</v>
      </c>
      <c r="I7077" t="s">
        <v>21</v>
      </c>
    </row>
    <row r="7078" spans="1:9" x14ac:dyDescent="0.25">
      <c r="A7078">
        <v>20140306</v>
      </c>
      <c r="B7078" t="str">
        <f t="shared" si="434"/>
        <v>114539</v>
      </c>
      <c r="C7078" t="str">
        <f t="shared" si="435"/>
        <v>00255</v>
      </c>
      <c r="D7078" t="s">
        <v>489</v>
      </c>
      <c r="E7078">
        <v>717.05</v>
      </c>
      <c r="F7078">
        <v>20140305</v>
      </c>
      <c r="G7078" t="s">
        <v>1352</v>
      </c>
      <c r="H7078" t="s">
        <v>488</v>
      </c>
      <c r="I7078" t="s">
        <v>21</v>
      </c>
    </row>
    <row r="7079" spans="1:9" x14ac:dyDescent="0.25">
      <c r="A7079">
        <v>20140306</v>
      </c>
      <c r="B7079" t="str">
        <f>"114540"</f>
        <v>114540</v>
      </c>
      <c r="C7079" t="str">
        <f>"83627"</f>
        <v>83627</v>
      </c>
      <c r="D7079" t="s">
        <v>1556</v>
      </c>
      <c r="E7079">
        <v>163.85</v>
      </c>
      <c r="F7079">
        <v>20140305</v>
      </c>
      <c r="G7079" t="s">
        <v>1959</v>
      </c>
      <c r="H7079" t="s">
        <v>354</v>
      </c>
      <c r="I7079" t="s">
        <v>61</v>
      </c>
    </row>
    <row r="7080" spans="1:9" x14ac:dyDescent="0.25">
      <c r="A7080">
        <v>20140306</v>
      </c>
      <c r="B7080" t="str">
        <f>"114541"</f>
        <v>114541</v>
      </c>
      <c r="C7080" t="str">
        <f>"83627"</f>
        <v>83627</v>
      </c>
      <c r="D7080" t="s">
        <v>1556</v>
      </c>
      <c r="E7080">
        <v>30</v>
      </c>
      <c r="F7080">
        <v>20140305</v>
      </c>
      <c r="G7080" t="s">
        <v>356</v>
      </c>
      <c r="H7080" t="s">
        <v>357</v>
      </c>
      <c r="I7080" t="s">
        <v>61</v>
      </c>
    </row>
    <row r="7081" spans="1:9" x14ac:dyDescent="0.25">
      <c r="A7081">
        <v>20140306</v>
      </c>
      <c r="B7081" t="str">
        <f>"114541"</f>
        <v>114541</v>
      </c>
      <c r="C7081" t="str">
        <f>"83627"</f>
        <v>83627</v>
      </c>
      <c r="D7081" t="s">
        <v>1556</v>
      </c>
      <c r="E7081">
        <v>-30</v>
      </c>
      <c r="F7081">
        <v>20140326</v>
      </c>
      <c r="G7081" t="s">
        <v>356</v>
      </c>
      <c r="H7081" t="s">
        <v>2593</v>
      </c>
      <c r="I7081" t="s">
        <v>61</v>
      </c>
    </row>
    <row r="7082" spans="1:9" x14ac:dyDescent="0.25">
      <c r="A7082">
        <v>20140306</v>
      </c>
      <c r="B7082" t="str">
        <f>"114542"</f>
        <v>114542</v>
      </c>
      <c r="C7082" t="str">
        <f>"86699"</f>
        <v>86699</v>
      </c>
      <c r="D7082" t="s">
        <v>3270</v>
      </c>
      <c r="E7082">
        <v>120</v>
      </c>
      <c r="F7082">
        <v>20140305</v>
      </c>
      <c r="G7082" t="s">
        <v>356</v>
      </c>
      <c r="H7082" t="s">
        <v>357</v>
      </c>
      <c r="I7082" t="s">
        <v>61</v>
      </c>
    </row>
    <row r="7083" spans="1:9" x14ac:dyDescent="0.25">
      <c r="A7083">
        <v>20140306</v>
      </c>
      <c r="B7083" t="str">
        <f>"114543"</f>
        <v>114543</v>
      </c>
      <c r="C7083" t="str">
        <f>"86699"</f>
        <v>86699</v>
      </c>
      <c r="D7083" t="s">
        <v>3270</v>
      </c>
      <c r="E7083">
        <v>120</v>
      </c>
      <c r="F7083">
        <v>20140305</v>
      </c>
      <c r="G7083" t="s">
        <v>356</v>
      </c>
      <c r="H7083" t="s">
        <v>357</v>
      </c>
      <c r="I7083" t="s">
        <v>61</v>
      </c>
    </row>
    <row r="7084" spans="1:9" x14ac:dyDescent="0.25">
      <c r="A7084">
        <v>20140306</v>
      </c>
      <c r="B7084" t="str">
        <f>"114544"</f>
        <v>114544</v>
      </c>
      <c r="C7084" t="str">
        <f>"86699"</f>
        <v>86699</v>
      </c>
      <c r="D7084" t="s">
        <v>3270</v>
      </c>
      <c r="E7084">
        <v>120</v>
      </c>
      <c r="F7084">
        <v>20140305</v>
      </c>
      <c r="G7084" t="s">
        <v>356</v>
      </c>
      <c r="H7084" t="s">
        <v>357</v>
      </c>
      <c r="I7084" t="s">
        <v>61</v>
      </c>
    </row>
    <row r="7085" spans="1:9" x14ac:dyDescent="0.25">
      <c r="A7085">
        <v>20140306</v>
      </c>
      <c r="B7085" t="str">
        <f>"114545"</f>
        <v>114545</v>
      </c>
      <c r="C7085" t="str">
        <f>"83583"</f>
        <v>83583</v>
      </c>
      <c r="D7085" t="s">
        <v>2331</v>
      </c>
      <c r="E7085">
        <v>60.18</v>
      </c>
      <c r="F7085">
        <v>20140304</v>
      </c>
      <c r="G7085" t="s">
        <v>2470</v>
      </c>
      <c r="H7085" t="s">
        <v>365</v>
      </c>
      <c r="I7085" t="s">
        <v>21</v>
      </c>
    </row>
    <row r="7086" spans="1:9" x14ac:dyDescent="0.25">
      <c r="A7086">
        <v>20140306</v>
      </c>
      <c r="B7086" t="str">
        <f>"114546"</f>
        <v>114546</v>
      </c>
      <c r="C7086" t="str">
        <f>"83072"</f>
        <v>83072</v>
      </c>
      <c r="D7086" t="s">
        <v>2334</v>
      </c>
      <c r="E7086">
        <v>39.25</v>
      </c>
      <c r="F7086">
        <v>20140304</v>
      </c>
      <c r="G7086" t="s">
        <v>1954</v>
      </c>
      <c r="H7086" t="s">
        <v>354</v>
      </c>
      <c r="I7086" t="s">
        <v>38</v>
      </c>
    </row>
    <row r="7087" spans="1:9" x14ac:dyDescent="0.25">
      <c r="A7087">
        <v>20140306</v>
      </c>
      <c r="B7087" t="str">
        <f>"114547"</f>
        <v>114547</v>
      </c>
      <c r="C7087" t="str">
        <f>"12392"</f>
        <v>12392</v>
      </c>
      <c r="D7087" t="s">
        <v>1196</v>
      </c>
      <c r="E7087">
        <v>30.92</v>
      </c>
      <c r="F7087">
        <v>20140304</v>
      </c>
      <c r="G7087" t="s">
        <v>1960</v>
      </c>
      <c r="H7087" t="s">
        <v>563</v>
      </c>
      <c r="I7087" t="s">
        <v>21</v>
      </c>
    </row>
    <row r="7088" spans="1:9" x14ac:dyDescent="0.25">
      <c r="A7088">
        <v>20140306</v>
      </c>
      <c r="B7088" t="str">
        <f>"114548"</f>
        <v>114548</v>
      </c>
      <c r="C7088" t="str">
        <f>"12395"</f>
        <v>12395</v>
      </c>
      <c r="D7088" t="s">
        <v>3108</v>
      </c>
      <c r="E7088" s="1">
        <v>24127.66</v>
      </c>
      <c r="F7088">
        <v>20140305</v>
      </c>
      <c r="G7088" t="s">
        <v>1467</v>
      </c>
      <c r="H7088" t="s">
        <v>3529</v>
      </c>
      <c r="I7088" t="s">
        <v>21</v>
      </c>
    </row>
    <row r="7089" spans="1:9" x14ac:dyDescent="0.25">
      <c r="A7089">
        <v>20140306</v>
      </c>
      <c r="B7089" t="str">
        <f>"114549"</f>
        <v>114549</v>
      </c>
      <c r="C7089" t="str">
        <f>"15395"</f>
        <v>15395</v>
      </c>
      <c r="D7089" t="s">
        <v>3530</v>
      </c>
      <c r="E7089">
        <v>7</v>
      </c>
      <c r="F7089">
        <v>20140304</v>
      </c>
      <c r="G7089" t="s">
        <v>181</v>
      </c>
      <c r="H7089" t="s">
        <v>354</v>
      </c>
      <c r="I7089" t="s">
        <v>38</v>
      </c>
    </row>
    <row r="7090" spans="1:9" x14ac:dyDescent="0.25">
      <c r="A7090">
        <v>20140306</v>
      </c>
      <c r="B7090" t="str">
        <f>"114550"</f>
        <v>114550</v>
      </c>
      <c r="C7090" t="str">
        <f>"86576"</f>
        <v>86576</v>
      </c>
      <c r="D7090" t="s">
        <v>409</v>
      </c>
      <c r="E7090">
        <v>14.85</v>
      </c>
      <c r="F7090">
        <v>20140305</v>
      </c>
      <c r="G7090" t="s">
        <v>410</v>
      </c>
      <c r="H7090" t="s">
        <v>411</v>
      </c>
      <c r="I7090" t="s">
        <v>12</v>
      </c>
    </row>
    <row r="7091" spans="1:9" x14ac:dyDescent="0.25">
      <c r="A7091">
        <v>20140306</v>
      </c>
      <c r="B7091" t="str">
        <f>"114551"</f>
        <v>114551</v>
      </c>
      <c r="C7091" t="str">
        <f>"78600"</f>
        <v>78600</v>
      </c>
      <c r="D7091" t="s">
        <v>1203</v>
      </c>
      <c r="E7091" s="1">
        <v>3137.2</v>
      </c>
      <c r="F7091">
        <v>20140304</v>
      </c>
      <c r="G7091" t="s">
        <v>340</v>
      </c>
      <c r="H7091" t="s">
        <v>3531</v>
      </c>
      <c r="I7091" t="s">
        <v>21</v>
      </c>
    </row>
    <row r="7092" spans="1:9" x14ac:dyDescent="0.25">
      <c r="A7092">
        <v>20140306</v>
      </c>
      <c r="B7092" t="str">
        <f>"114552"</f>
        <v>114552</v>
      </c>
      <c r="C7092" t="str">
        <f>"15955"</f>
        <v>15955</v>
      </c>
      <c r="D7092" t="s">
        <v>1204</v>
      </c>
      <c r="E7092">
        <v>390.05</v>
      </c>
      <c r="F7092">
        <v>20140305</v>
      </c>
      <c r="G7092" t="s">
        <v>1605</v>
      </c>
      <c r="H7092" t="s">
        <v>3532</v>
      </c>
      <c r="I7092" t="s">
        <v>21</v>
      </c>
    </row>
    <row r="7093" spans="1:9" x14ac:dyDescent="0.25">
      <c r="A7093">
        <v>20140306</v>
      </c>
      <c r="B7093" t="str">
        <f>"114553"</f>
        <v>114553</v>
      </c>
      <c r="C7093" t="str">
        <f>"87271"</f>
        <v>87271</v>
      </c>
      <c r="D7093" t="s">
        <v>3533</v>
      </c>
      <c r="E7093">
        <v>163.35</v>
      </c>
      <c r="F7093">
        <v>20140305</v>
      </c>
      <c r="G7093" t="s">
        <v>184</v>
      </c>
      <c r="H7093" t="s">
        <v>357</v>
      </c>
      <c r="I7093" t="s">
        <v>25</v>
      </c>
    </row>
    <row r="7094" spans="1:9" x14ac:dyDescent="0.25">
      <c r="A7094">
        <v>20140306</v>
      </c>
      <c r="B7094" t="str">
        <f>"114554"</f>
        <v>114554</v>
      </c>
      <c r="C7094" t="str">
        <f>"16500"</f>
        <v>16500</v>
      </c>
      <c r="D7094" t="s">
        <v>798</v>
      </c>
      <c r="E7094">
        <v>153</v>
      </c>
      <c r="F7094">
        <v>20140305</v>
      </c>
      <c r="G7094" t="s">
        <v>367</v>
      </c>
      <c r="H7094" t="s">
        <v>784</v>
      </c>
      <c r="I7094" t="s">
        <v>21</v>
      </c>
    </row>
    <row r="7095" spans="1:9" x14ac:dyDescent="0.25">
      <c r="A7095">
        <v>20140306</v>
      </c>
      <c r="B7095" t="str">
        <f>"114555"</f>
        <v>114555</v>
      </c>
      <c r="C7095" t="str">
        <f>"85203"</f>
        <v>85203</v>
      </c>
      <c r="D7095" t="s">
        <v>1210</v>
      </c>
      <c r="E7095">
        <v>332.5</v>
      </c>
      <c r="F7095">
        <v>20140304</v>
      </c>
      <c r="G7095" t="s">
        <v>356</v>
      </c>
      <c r="H7095" t="s">
        <v>357</v>
      </c>
      <c r="I7095" t="s">
        <v>61</v>
      </c>
    </row>
    <row r="7096" spans="1:9" x14ac:dyDescent="0.25">
      <c r="A7096">
        <v>20140306</v>
      </c>
      <c r="B7096" t="str">
        <f>"114556"</f>
        <v>114556</v>
      </c>
      <c r="C7096" t="str">
        <f>"87774"</f>
        <v>87774</v>
      </c>
      <c r="D7096" t="s">
        <v>3534</v>
      </c>
      <c r="E7096">
        <v>456</v>
      </c>
      <c r="F7096">
        <v>20140304</v>
      </c>
      <c r="G7096" t="s">
        <v>2072</v>
      </c>
      <c r="H7096" t="s">
        <v>679</v>
      </c>
      <c r="I7096" t="s">
        <v>21</v>
      </c>
    </row>
    <row r="7097" spans="1:9" x14ac:dyDescent="0.25">
      <c r="A7097">
        <v>20140306</v>
      </c>
      <c r="B7097" t="str">
        <f>"114557"</f>
        <v>114557</v>
      </c>
      <c r="C7097" t="str">
        <f>"18150"</f>
        <v>18150</v>
      </c>
      <c r="D7097" t="s">
        <v>3535</v>
      </c>
      <c r="E7097">
        <v>150</v>
      </c>
      <c r="F7097">
        <v>20140305</v>
      </c>
      <c r="G7097" t="s">
        <v>184</v>
      </c>
      <c r="H7097" t="s">
        <v>3536</v>
      </c>
      <c r="I7097" t="s">
        <v>25</v>
      </c>
    </row>
    <row r="7098" spans="1:9" x14ac:dyDescent="0.25">
      <c r="A7098">
        <v>20140306</v>
      </c>
      <c r="B7098" t="str">
        <f t="shared" ref="B7098:B7125" si="436">"114558"</f>
        <v>114558</v>
      </c>
      <c r="C7098" t="str">
        <f t="shared" ref="C7098:C7125" si="437">"18200"</f>
        <v>18200</v>
      </c>
      <c r="D7098" t="s">
        <v>516</v>
      </c>
      <c r="E7098">
        <v>95.52</v>
      </c>
      <c r="F7098">
        <v>20140305</v>
      </c>
      <c r="G7098" t="s">
        <v>453</v>
      </c>
      <c r="H7098" t="s">
        <v>488</v>
      </c>
      <c r="I7098" t="s">
        <v>21</v>
      </c>
    </row>
    <row r="7099" spans="1:9" x14ac:dyDescent="0.25">
      <c r="A7099">
        <v>20140306</v>
      </c>
      <c r="B7099" t="str">
        <f t="shared" si="436"/>
        <v>114558</v>
      </c>
      <c r="C7099" t="str">
        <f t="shared" si="437"/>
        <v>18200</v>
      </c>
      <c r="D7099" t="s">
        <v>516</v>
      </c>
      <c r="E7099">
        <v>84.12</v>
      </c>
      <c r="F7099">
        <v>20140305</v>
      </c>
      <c r="G7099" t="s">
        <v>455</v>
      </c>
      <c r="H7099" t="s">
        <v>488</v>
      </c>
      <c r="I7099" t="s">
        <v>21</v>
      </c>
    </row>
    <row r="7100" spans="1:9" x14ac:dyDescent="0.25">
      <c r="A7100">
        <v>20140306</v>
      </c>
      <c r="B7100" t="str">
        <f t="shared" si="436"/>
        <v>114558</v>
      </c>
      <c r="C7100" t="str">
        <f t="shared" si="437"/>
        <v>18200</v>
      </c>
      <c r="D7100" t="s">
        <v>516</v>
      </c>
      <c r="E7100">
        <v>860.69</v>
      </c>
      <c r="F7100">
        <v>20140305</v>
      </c>
      <c r="G7100" t="s">
        <v>455</v>
      </c>
      <c r="H7100" t="s">
        <v>488</v>
      </c>
      <c r="I7100" t="s">
        <v>21</v>
      </c>
    </row>
    <row r="7101" spans="1:9" x14ac:dyDescent="0.25">
      <c r="A7101">
        <v>20140306</v>
      </c>
      <c r="B7101" t="str">
        <f t="shared" si="436"/>
        <v>114558</v>
      </c>
      <c r="C7101" t="str">
        <f t="shared" si="437"/>
        <v>18200</v>
      </c>
      <c r="D7101" t="s">
        <v>516</v>
      </c>
      <c r="E7101">
        <v>625.74</v>
      </c>
      <c r="F7101">
        <v>20140305</v>
      </c>
      <c r="G7101" t="s">
        <v>455</v>
      </c>
      <c r="H7101" t="s">
        <v>488</v>
      </c>
      <c r="I7101" t="s">
        <v>21</v>
      </c>
    </row>
    <row r="7102" spans="1:9" x14ac:dyDescent="0.25">
      <c r="A7102">
        <v>20140306</v>
      </c>
      <c r="B7102" t="str">
        <f t="shared" si="436"/>
        <v>114558</v>
      </c>
      <c r="C7102" t="str">
        <f t="shared" si="437"/>
        <v>18200</v>
      </c>
      <c r="D7102" t="s">
        <v>516</v>
      </c>
      <c r="E7102">
        <v>105.12</v>
      </c>
      <c r="F7102">
        <v>20140304</v>
      </c>
      <c r="G7102" t="s">
        <v>456</v>
      </c>
      <c r="H7102" t="s">
        <v>488</v>
      </c>
      <c r="I7102" t="s">
        <v>21</v>
      </c>
    </row>
    <row r="7103" spans="1:9" x14ac:dyDescent="0.25">
      <c r="A7103">
        <v>20140306</v>
      </c>
      <c r="B7103" t="str">
        <f t="shared" si="436"/>
        <v>114558</v>
      </c>
      <c r="C7103" t="str">
        <f t="shared" si="437"/>
        <v>18200</v>
      </c>
      <c r="D7103" t="s">
        <v>516</v>
      </c>
      <c r="E7103">
        <v>388.62</v>
      </c>
      <c r="F7103">
        <v>20140304</v>
      </c>
      <c r="G7103" t="s">
        <v>456</v>
      </c>
      <c r="H7103" t="s">
        <v>488</v>
      </c>
      <c r="I7103" t="s">
        <v>21</v>
      </c>
    </row>
    <row r="7104" spans="1:9" x14ac:dyDescent="0.25">
      <c r="A7104">
        <v>20140306</v>
      </c>
      <c r="B7104" t="str">
        <f t="shared" si="436"/>
        <v>114558</v>
      </c>
      <c r="C7104" t="str">
        <f t="shared" si="437"/>
        <v>18200</v>
      </c>
      <c r="D7104" t="s">
        <v>516</v>
      </c>
      <c r="E7104">
        <v>465.6</v>
      </c>
      <c r="F7104">
        <v>20140304</v>
      </c>
      <c r="G7104" t="s">
        <v>456</v>
      </c>
      <c r="H7104" t="s">
        <v>488</v>
      </c>
      <c r="I7104" t="s">
        <v>21</v>
      </c>
    </row>
    <row r="7105" spans="1:9" x14ac:dyDescent="0.25">
      <c r="A7105">
        <v>20140306</v>
      </c>
      <c r="B7105" t="str">
        <f t="shared" si="436"/>
        <v>114558</v>
      </c>
      <c r="C7105" t="str">
        <f t="shared" si="437"/>
        <v>18200</v>
      </c>
      <c r="D7105" t="s">
        <v>516</v>
      </c>
      <c r="E7105">
        <v>836.15</v>
      </c>
      <c r="F7105">
        <v>20140304</v>
      </c>
      <c r="G7105" t="s">
        <v>457</v>
      </c>
      <c r="H7105" t="s">
        <v>488</v>
      </c>
      <c r="I7105" t="s">
        <v>21</v>
      </c>
    </row>
    <row r="7106" spans="1:9" x14ac:dyDescent="0.25">
      <c r="A7106">
        <v>20140306</v>
      </c>
      <c r="B7106" t="str">
        <f t="shared" si="436"/>
        <v>114558</v>
      </c>
      <c r="C7106" t="str">
        <f t="shared" si="437"/>
        <v>18200</v>
      </c>
      <c r="D7106" t="s">
        <v>516</v>
      </c>
      <c r="E7106">
        <v>471.85</v>
      </c>
      <c r="F7106">
        <v>20140304</v>
      </c>
      <c r="G7106" t="s">
        <v>458</v>
      </c>
      <c r="H7106" t="s">
        <v>488</v>
      </c>
      <c r="I7106" t="s">
        <v>21</v>
      </c>
    </row>
    <row r="7107" spans="1:9" x14ac:dyDescent="0.25">
      <c r="A7107">
        <v>20140306</v>
      </c>
      <c r="B7107" t="str">
        <f t="shared" si="436"/>
        <v>114558</v>
      </c>
      <c r="C7107" t="str">
        <f t="shared" si="437"/>
        <v>18200</v>
      </c>
      <c r="D7107" t="s">
        <v>516</v>
      </c>
      <c r="E7107">
        <v>496.12</v>
      </c>
      <c r="F7107">
        <v>20140304</v>
      </c>
      <c r="G7107" t="s">
        <v>458</v>
      </c>
      <c r="H7107" t="s">
        <v>488</v>
      </c>
      <c r="I7107" t="s">
        <v>21</v>
      </c>
    </row>
    <row r="7108" spans="1:9" x14ac:dyDescent="0.25">
      <c r="A7108">
        <v>20140306</v>
      </c>
      <c r="B7108" t="str">
        <f t="shared" si="436"/>
        <v>114558</v>
      </c>
      <c r="C7108" t="str">
        <f t="shared" si="437"/>
        <v>18200</v>
      </c>
      <c r="D7108" t="s">
        <v>516</v>
      </c>
      <c r="E7108">
        <v>921.05</v>
      </c>
      <c r="F7108">
        <v>20140305</v>
      </c>
      <c r="G7108" t="s">
        <v>459</v>
      </c>
      <c r="H7108" t="s">
        <v>488</v>
      </c>
      <c r="I7108" t="s">
        <v>21</v>
      </c>
    </row>
    <row r="7109" spans="1:9" x14ac:dyDescent="0.25">
      <c r="A7109">
        <v>20140306</v>
      </c>
      <c r="B7109" t="str">
        <f t="shared" si="436"/>
        <v>114558</v>
      </c>
      <c r="C7109" t="str">
        <f t="shared" si="437"/>
        <v>18200</v>
      </c>
      <c r="D7109" t="s">
        <v>516</v>
      </c>
      <c r="E7109">
        <v>304.37</v>
      </c>
      <c r="F7109">
        <v>20140304</v>
      </c>
      <c r="G7109" t="s">
        <v>460</v>
      </c>
      <c r="H7109" t="s">
        <v>488</v>
      </c>
      <c r="I7109" t="s">
        <v>21</v>
      </c>
    </row>
    <row r="7110" spans="1:9" x14ac:dyDescent="0.25">
      <c r="A7110">
        <v>20140306</v>
      </c>
      <c r="B7110" t="str">
        <f t="shared" si="436"/>
        <v>114558</v>
      </c>
      <c r="C7110" t="str">
        <f t="shared" si="437"/>
        <v>18200</v>
      </c>
      <c r="D7110" t="s">
        <v>516</v>
      </c>
      <c r="E7110">
        <v>28.49</v>
      </c>
      <c r="F7110">
        <v>20140304</v>
      </c>
      <c r="G7110" t="s">
        <v>460</v>
      </c>
      <c r="H7110" t="s">
        <v>488</v>
      </c>
      <c r="I7110" t="s">
        <v>21</v>
      </c>
    </row>
    <row r="7111" spans="1:9" x14ac:dyDescent="0.25">
      <c r="A7111">
        <v>20140306</v>
      </c>
      <c r="B7111" t="str">
        <f t="shared" si="436"/>
        <v>114558</v>
      </c>
      <c r="C7111" t="str">
        <f t="shared" si="437"/>
        <v>18200</v>
      </c>
      <c r="D7111" t="s">
        <v>516</v>
      </c>
      <c r="E7111">
        <v>161</v>
      </c>
      <c r="F7111">
        <v>20140304</v>
      </c>
      <c r="G7111" t="s">
        <v>461</v>
      </c>
      <c r="H7111" t="s">
        <v>488</v>
      </c>
      <c r="I7111" t="s">
        <v>21</v>
      </c>
    </row>
    <row r="7112" spans="1:9" x14ac:dyDescent="0.25">
      <c r="A7112">
        <v>20140306</v>
      </c>
      <c r="B7112" t="str">
        <f t="shared" si="436"/>
        <v>114558</v>
      </c>
      <c r="C7112" t="str">
        <f t="shared" si="437"/>
        <v>18200</v>
      </c>
      <c r="D7112" t="s">
        <v>516</v>
      </c>
      <c r="E7112">
        <v>105</v>
      </c>
      <c r="F7112">
        <v>20140304</v>
      </c>
      <c r="G7112" t="s">
        <v>461</v>
      </c>
      <c r="H7112" t="s">
        <v>488</v>
      </c>
      <c r="I7112" t="s">
        <v>21</v>
      </c>
    </row>
    <row r="7113" spans="1:9" x14ac:dyDescent="0.25">
      <c r="A7113">
        <v>20140306</v>
      </c>
      <c r="B7113" t="str">
        <f t="shared" si="436"/>
        <v>114558</v>
      </c>
      <c r="C7113" t="str">
        <f t="shared" si="437"/>
        <v>18200</v>
      </c>
      <c r="D7113" t="s">
        <v>516</v>
      </c>
      <c r="E7113">
        <v>92.49</v>
      </c>
      <c r="F7113">
        <v>20140304</v>
      </c>
      <c r="G7113" t="s">
        <v>461</v>
      </c>
      <c r="H7113" t="s">
        <v>488</v>
      </c>
      <c r="I7113" t="s">
        <v>21</v>
      </c>
    </row>
    <row r="7114" spans="1:9" x14ac:dyDescent="0.25">
      <c r="A7114">
        <v>20140306</v>
      </c>
      <c r="B7114" t="str">
        <f t="shared" si="436"/>
        <v>114558</v>
      </c>
      <c r="C7114" t="str">
        <f t="shared" si="437"/>
        <v>18200</v>
      </c>
      <c r="D7114" t="s">
        <v>516</v>
      </c>
      <c r="E7114">
        <v>457.37</v>
      </c>
      <c r="F7114">
        <v>20140305</v>
      </c>
      <c r="G7114" t="s">
        <v>462</v>
      </c>
      <c r="H7114" t="s">
        <v>488</v>
      </c>
      <c r="I7114" t="s">
        <v>21</v>
      </c>
    </row>
    <row r="7115" spans="1:9" x14ac:dyDescent="0.25">
      <c r="A7115">
        <v>20140306</v>
      </c>
      <c r="B7115" t="str">
        <f t="shared" si="436"/>
        <v>114558</v>
      </c>
      <c r="C7115" t="str">
        <f t="shared" si="437"/>
        <v>18200</v>
      </c>
      <c r="D7115" t="s">
        <v>516</v>
      </c>
      <c r="E7115">
        <v>154.12</v>
      </c>
      <c r="F7115">
        <v>20140304</v>
      </c>
      <c r="G7115" t="s">
        <v>463</v>
      </c>
      <c r="H7115" t="s">
        <v>488</v>
      </c>
      <c r="I7115" t="s">
        <v>21</v>
      </c>
    </row>
    <row r="7116" spans="1:9" x14ac:dyDescent="0.25">
      <c r="A7116">
        <v>20140306</v>
      </c>
      <c r="B7116" t="str">
        <f t="shared" si="436"/>
        <v>114558</v>
      </c>
      <c r="C7116" t="str">
        <f t="shared" si="437"/>
        <v>18200</v>
      </c>
      <c r="D7116" t="s">
        <v>516</v>
      </c>
      <c r="E7116">
        <v>28.49</v>
      </c>
      <c r="F7116">
        <v>20140304</v>
      </c>
      <c r="G7116" t="s">
        <v>463</v>
      </c>
      <c r="H7116" t="s">
        <v>488</v>
      </c>
      <c r="I7116" t="s">
        <v>21</v>
      </c>
    </row>
    <row r="7117" spans="1:9" x14ac:dyDescent="0.25">
      <c r="A7117">
        <v>20140306</v>
      </c>
      <c r="B7117" t="str">
        <f t="shared" si="436"/>
        <v>114558</v>
      </c>
      <c r="C7117" t="str">
        <f t="shared" si="437"/>
        <v>18200</v>
      </c>
      <c r="D7117" t="s">
        <v>516</v>
      </c>
      <c r="E7117">
        <v>71.489999999999995</v>
      </c>
      <c r="F7117">
        <v>20140304</v>
      </c>
      <c r="G7117" t="s">
        <v>463</v>
      </c>
      <c r="H7117" t="s">
        <v>488</v>
      </c>
      <c r="I7117" t="s">
        <v>21</v>
      </c>
    </row>
    <row r="7118" spans="1:9" x14ac:dyDescent="0.25">
      <c r="A7118">
        <v>20140306</v>
      </c>
      <c r="B7118" t="str">
        <f t="shared" si="436"/>
        <v>114558</v>
      </c>
      <c r="C7118" t="str">
        <f t="shared" si="437"/>
        <v>18200</v>
      </c>
      <c r="D7118" t="s">
        <v>516</v>
      </c>
      <c r="E7118">
        <v>38</v>
      </c>
      <c r="F7118">
        <v>20140304</v>
      </c>
      <c r="G7118" t="s">
        <v>464</v>
      </c>
      <c r="H7118" t="s">
        <v>488</v>
      </c>
      <c r="I7118" t="s">
        <v>21</v>
      </c>
    </row>
    <row r="7119" spans="1:9" x14ac:dyDescent="0.25">
      <c r="A7119">
        <v>20140306</v>
      </c>
      <c r="B7119" t="str">
        <f t="shared" si="436"/>
        <v>114558</v>
      </c>
      <c r="C7119" t="str">
        <f t="shared" si="437"/>
        <v>18200</v>
      </c>
      <c r="D7119" t="s">
        <v>516</v>
      </c>
      <c r="E7119">
        <v>154.12</v>
      </c>
      <c r="F7119">
        <v>20140304</v>
      </c>
      <c r="G7119" t="s">
        <v>464</v>
      </c>
      <c r="H7119" t="s">
        <v>488</v>
      </c>
      <c r="I7119" t="s">
        <v>21</v>
      </c>
    </row>
    <row r="7120" spans="1:9" x14ac:dyDescent="0.25">
      <c r="A7120">
        <v>20140306</v>
      </c>
      <c r="B7120" t="str">
        <f t="shared" si="436"/>
        <v>114558</v>
      </c>
      <c r="C7120" t="str">
        <f t="shared" si="437"/>
        <v>18200</v>
      </c>
      <c r="D7120" t="s">
        <v>516</v>
      </c>
      <c r="E7120">
        <v>507.37</v>
      </c>
      <c r="F7120">
        <v>20140305</v>
      </c>
      <c r="G7120" t="s">
        <v>465</v>
      </c>
      <c r="H7120" t="s">
        <v>488</v>
      </c>
      <c r="I7120" t="s">
        <v>21</v>
      </c>
    </row>
    <row r="7121" spans="1:9" x14ac:dyDescent="0.25">
      <c r="A7121">
        <v>20140306</v>
      </c>
      <c r="B7121" t="str">
        <f t="shared" si="436"/>
        <v>114558</v>
      </c>
      <c r="C7121" t="str">
        <f t="shared" si="437"/>
        <v>18200</v>
      </c>
      <c r="D7121" t="s">
        <v>516</v>
      </c>
      <c r="E7121">
        <v>41</v>
      </c>
      <c r="F7121">
        <v>20140304</v>
      </c>
      <c r="G7121" t="s">
        <v>1212</v>
      </c>
      <c r="H7121" t="s">
        <v>488</v>
      </c>
      <c r="I7121" t="s">
        <v>21</v>
      </c>
    </row>
    <row r="7122" spans="1:9" x14ac:dyDescent="0.25">
      <c r="A7122">
        <v>20140306</v>
      </c>
      <c r="B7122" t="str">
        <f t="shared" si="436"/>
        <v>114558</v>
      </c>
      <c r="C7122" t="str">
        <f t="shared" si="437"/>
        <v>18200</v>
      </c>
      <c r="D7122" t="s">
        <v>516</v>
      </c>
      <c r="E7122">
        <v>84.12</v>
      </c>
      <c r="F7122">
        <v>20140305</v>
      </c>
      <c r="G7122" t="s">
        <v>466</v>
      </c>
      <c r="H7122" t="s">
        <v>488</v>
      </c>
      <c r="I7122" t="s">
        <v>21</v>
      </c>
    </row>
    <row r="7123" spans="1:9" x14ac:dyDescent="0.25">
      <c r="A7123">
        <v>20140306</v>
      </c>
      <c r="B7123" t="str">
        <f t="shared" si="436"/>
        <v>114558</v>
      </c>
      <c r="C7123" t="str">
        <f t="shared" si="437"/>
        <v>18200</v>
      </c>
      <c r="D7123" t="s">
        <v>516</v>
      </c>
      <c r="E7123">
        <v>194.15</v>
      </c>
      <c r="F7123">
        <v>20140305</v>
      </c>
      <c r="G7123" t="s">
        <v>466</v>
      </c>
      <c r="H7123" t="s">
        <v>488</v>
      </c>
      <c r="I7123" t="s">
        <v>21</v>
      </c>
    </row>
    <row r="7124" spans="1:9" x14ac:dyDescent="0.25">
      <c r="A7124">
        <v>20140306</v>
      </c>
      <c r="B7124" t="str">
        <f t="shared" si="436"/>
        <v>114558</v>
      </c>
      <c r="C7124" t="str">
        <f t="shared" si="437"/>
        <v>18200</v>
      </c>
      <c r="D7124" t="s">
        <v>516</v>
      </c>
      <c r="E7124" s="1">
        <v>1092.3</v>
      </c>
      <c r="F7124">
        <v>20140305</v>
      </c>
      <c r="G7124" t="s">
        <v>466</v>
      </c>
      <c r="H7124" t="s">
        <v>488</v>
      </c>
      <c r="I7124" t="s">
        <v>21</v>
      </c>
    </row>
    <row r="7125" spans="1:9" x14ac:dyDescent="0.25">
      <c r="A7125">
        <v>20140306</v>
      </c>
      <c r="B7125" t="str">
        <f t="shared" si="436"/>
        <v>114558</v>
      </c>
      <c r="C7125" t="str">
        <f t="shared" si="437"/>
        <v>18200</v>
      </c>
      <c r="D7125" t="s">
        <v>516</v>
      </c>
      <c r="E7125">
        <v>47</v>
      </c>
      <c r="F7125">
        <v>20140305</v>
      </c>
      <c r="G7125" t="s">
        <v>467</v>
      </c>
      <c r="H7125" t="s">
        <v>488</v>
      </c>
      <c r="I7125" t="s">
        <v>21</v>
      </c>
    </row>
    <row r="7126" spans="1:9" x14ac:dyDescent="0.25">
      <c r="A7126">
        <v>20140306</v>
      </c>
      <c r="B7126" t="str">
        <f>"114559"</f>
        <v>114559</v>
      </c>
      <c r="C7126" t="str">
        <f>"19750"</f>
        <v>19750</v>
      </c>
      <c r="D7126" t="s">
        <v>2445</v>
      </c>
      <c r="E7126">
        <v>110</v>
      </c>
      <c r="F7126">
        <v>20140305</v>
      </c>
      <c r="G7126" t="s">
        <v>356</v>
      </c>
      <c r="H7126" t="s">
        <v>357</v>
      </c>
      <c r="I7126" t="s">
        <v>61</v>
      </c>
    </row>
    <row r="7127" spans="1:9" x14ac:dyDescent="0.25">
      <c r="A7127">
        <v>20140306</v>
      </c>
      <c r="B7127" t="str">
        <f>"114560"</f>
        <v>114560</v>
      </c>
      <c r="C7127" t="str">
        <f>"19750"</f>
        <v>19750</v>
      </c>
      <c r="D7127" t="s">
        <v>2445</v>
      </c>
      <c r="E7127">
        <v>110</v>
      </c>
      <c r="F7127">
        <v>20140305</v>
      </c>
      <c r="G7127" t="s">
        <v>356</v>
      </c>
      <c r="H7127" t="s">
        <v>357</v>
      </c>
      <c r="I7127" t="s">
        <v>61</v>
      </c>
    </row>
    <row r="7128" spans="1:9" x14ac:dyDescent="0.25">
      <c r="A7128">
        <v>20140306</v>
      </c>
      <c r="B7128" t="str">
        <f>"114561"</f>
        <v>114561</v>
      </c>
      <c r="C7128" t="str">
        <f>"19750"</f>
        <v>19750</v>
      </c>
      <c r="D7128" t="s">
        <v>2445</v>
      </c>
      <c r="E7128">
        <v>100</v>
      </c>
      <c r="F7128">
        <v>20140305</v>
      </c>
      <c r="G7128" t="s">
        <v>356</v>
      </c>
      <c r="H7128" t="s">
        <v>357</v>
      </c>
      <c r="I7128" t="s">
        <v>61</v>
      </c>
    </row>
    <row r="7129" spans="1:9" x14ac:dyDescent="0.25">
      <c r="A7129">
        <v>20140306</v>
      </c>
      <c r="B7129" t="str">
        <f>"114562"</f>
        <v>114562</v>
      </c>
      <c r="C7129" t="str">
        <f>"19750"</f>
        <v>19750</v>
      </c>
      <c r="D7129" t="s">
        <v>2445</v>
      </c>
      <c r="E7129">
        <v>90</v>
      </c>
      <c r="F7129">
        <v>20140305</v>
      </c>
      <c r="G7129" t="s">
        <v>356</v>
      </c>
      <c r="H7129" t="s">
        <v>357</v>
      </c>
      <c r="I7129" t="s">
        <v>61</v>
      </c>
    </row>
    <row r="7130" spans="1:9" x14ac:dyDescent="0.25">
      <c r="A7130">
        <v>20140306</v>
      </c>
      <c r="B7130" t="str">
        <f>"114563"</f>
        <v>114563</v>
      </c>
      <c r="C7130" t="str">
        <f>"19750"</f>
        <v>19750</v>
      </c>
      <c r="D7130" t="s">
        <v>2445</v>
      </c>
      <c r="E7130">
        <v>90</v>
      </c>
      <c r="F7130">
        <v>20140305</v>
      </c>
      <c r="G7130" t="s">
        <v>356</v>
      </c>
      <c r="H7130" t="s">
        <v>357</v>
      </c>
      <c r="I7130" t="s">
        <v>61</v>
      </c>
    </row>
    <row r="7131" spans="1:9" x14ac:dyDescent="0.25">
      <c r="A7131">
        <v>20140306</v>
      </c>
      <c r="B7131" t="str">
        <f>"114564"</f>
        <v>114564</v>
      </c>
      <c r="C7131" t="str">
        <f>"87220"</f>
        <v>87220</v>
      </c>
      <c r="D7131" t="s">
        <v>2834</v>
      </c>
      <c r="E7131">
        <v>17.260000000000002</v>
      </c>
      <c r="F7131">
        <v>20140304</v>
      </c>
      <c r="G7131" t="s">
        <v>1064</v>
      </c>
      <c r="H7131" t="s">
        <v>354</v>
      </c>
      <c r="I7131" t="s">
        <v>21</v>
      </c>
    </row>
    <row r="7132" spans="1:9" x14ac:dyDescent="0.25">
      <c r="A7132">
        <v>20140306</v>
      </c>
      <c r="B7132" t="str">
        <f>"114565"</f>
        <v>114565</v>
      </c>
      <c r="C7132" t="str">
        <f>"23122"</f>
        <v>23122</v>
      </c>
      <c r="D7132" t="s">
        <v>2337</v>
      </c>
      <c r="E7132">
        <v>7.8</v>
      </c>
      <c r="F7132">
        <v>20140304</v>
      </c>
      <c r="G7132" t="s">
        <v>1426</v>
      </c>
      <c r="H7132" t="s">
        <v>3537</v>
      </c>
      <c r="I7132" t="s">
        <v>38</v>
      </c>
    </row>
    <row r="7133" spans="1:9" x14ac:dyDescent="0.25">
      <c r="A7133">
        <v>20140306</v>
      </c>
      <c r="B7133" t="str">
        <f>"114566"</f>
        <v>114566</v>
      </c>
      <c r="C7133" t="str">
        <f>"23827"</f>
        <v>23827</v>
      </c>
      <c r="D7133" t="s">
        <v>528</v>
      </c>
      <c r="E7133" s="1">
        <v>1169.5999999999999</v>
      </c>
      <c r="F7133">
        <v>20140304</v>
      </c>
      <c r="G7133" t="s">
        <v>150</v>
      </c>
      <c r="H7133" t="s">
        <v>513</v>
      </c>
      <c r="I7133" t="s">
        <v>25</v>
      </c>
    </row>
    <row r="7134" spans="1:9" x14ac:dyDescent="0.25">
      <c r="A7134">
        <v>20140306</v>
      </c>
      <c r="B7134" t="str">
        <f>"114566"</f>
        <v>114566</v>
      </c>
      <c r="C7134" t="str">
        <f>"23827"</f>
        <v>23827</v>
      </c>
      <c r="D7134" t="s">
        <v>528</v>
      </c>
      <c r="E7134">
        <v>155.80000000000001</v>
      </c>
      <c r="F7134">
        <v>20140304</v>
      </c>
      <c r="G7134" t="s">
        <v>1052</v>
      </c>
      <c r="H7134" t="s">
        <v>513</v>
      </c>
      <c r="I7134" t="s">
        <v>25</v>
      </c>
    </row>
    <row r="7135" spans="1:9" x14ac:dyDescent="0.25">
      <c r="A7135">
        <v>20140306</v>
      </c>
      <c r="B7135" t="str">
        <f>"114566"</f>
        <v>114566</v>
      </c>
      <c r="C7135" t="str">
        <f>"23827"</f>
        <v>23827</v>
      </c>
      <c r="D7135" t="s">
        <v>528</v>
      </c>
      <c r="E7135">
        <v>416</v>
      </c>
      <c r="F7135">
        <v>20140304</v>
      </c>
      <c r="G7135" t="s">
        <v>271</v>
      </c>
      <c r="H7135" t="s">
        <v>513</v>
      </c>
      <c r="I7135" t="s">
        <v>25</v>
      </c>
    </row>
    <row r="7136" spans="1:9" x14ac:dyDescent="0.25">
      <c r="A7136">
        <v>20140306</v>
      </c>
      <c r="B7136" t="str">
        <f>"114567"</f>
        <v>114567</v>
      </c>
      <c r="C7136" t="str">
        <f>"23987"</f>
        <v>23987</v>
      </c>
      <c r="D7136" t="s">
        <v>3538</v>
      </c>
      <c r="E7136">
        <v>128</v>
      </c>
      <c r="F7136">
        <v>20140304</v>
      </c>
      <c r="G7136" t="s">
        <v>181</v>
      </c>
      <c r="H7136" t="s">
        <v>679</v>
      </c>
      <c r="I7136" t="s">
        <v>38</v>
      </c>
    </row>
    <row r="7137" spans="1:9" x14ac:dyDescent="0.25">
      <c r="A7137">
        <v>20140306</v>
      </c>
      <c r="B7137" t="str">
        <f>"114568"</f>
        <v>114568</v>
      </c>
      <c r="C7137" t="str">
        <f>"23979"</f>
        <v>23979</v>
      </c>
      <c r="D7137" t="s">
        <v>1856</v>
      </c>
      <c r="E7137">
        <v>45</v>
      </c>
      <c r="F7137">
        <v>20140305</v>
      </c>
      <c r="G7137" t="s">
        <v>442</v>
      </c>
      <c r="H7137" t="s">
        <v>954</v>
      </c>
      <c r="I7137" t="s">
        <v>66</v>
      </c>
    </row>
    <row r="7138" spans="1:9" x14ac:dyDescent="0.25">
      <c r="A7138">
        <v>20140306</v>
      </c>
      <c r="B7138" t="str">
        <f>"114569"</f>
        <v>114569</v>
      </c>
      <c r="C7138" t="str">
        <f>"87599"</f>
        <v>87599</v>
      </c>
      <c r="D7138" t="s">
        <v>2154</v>
      </c>
      <c r="E7138">
        <v>14.85</v>
      </c>
      <c r="F7138">
        <v>20140305</v>
      </c>
      <c r="G7138" t="s">
        <v>410</v>
      </c>
      <c r="H7138" t="s">
        <v>411</v>
      </c>
      <c r="I7138" t="s">
        <v>12</v>
      </c>
    </row>
    <row r="7139" spans="1:9" x14ac:dyDescent="0.25">
      <c r="A7139">
        <v>20140306</v>
      </c>
      <c r="B7139" t="str">
        <f t="shared" ref="B7139:B7144" si="438">"114570"</f>
        <v>114570</v>
      </c>
      <c r="C7139" t="str">
        <f t="shared" ref="C7139:C7144" si="439">"24530"</f>
        <v>24530</v>
      </c>
      <c r="D7139" t="s">
        <v>412</v>
      </c>
      <c r="E7139" s="1">
        <v>1536.28</v>
      </c>
      <c r="F7139">
        <v>20140305</v>
      </c>
      <c r="G7139" t="s">
        <v>415</v>
      </c>
      <c r="H7139" t="s">
        <v>414</v>
      </c>
      <c r="I7139" t="s">
        <v>21</v>
      </c>
    </row>
    <row r="7140" spans="1:9" x14ac:dyDescent="0.25">
      <c r="A7140">
        <v>20140306</v>
      </c>
      <c r="B7140" t="str">
        <f t="shared" si="438"/>
        <v>114570</v>
      </c>
      <c r="C7140" t="str">
        <f t="shared" si="439"/>
        <v>24530</v>
      </c>
      <c r="D7140" t="s">
        <v>412</v>
      </c>
      <c r="E7140">
        <v>389.07</v>
      </c>
      <c r="F7140">
        <v>20140305</v>
      </c>
      <c r="G7140" t="s">
        <v>627</v>
      </c>
      <c r="H7140" t="s">
        <v>414</v>
      </c>
      <c r="I7140" t="s">
        <v>21</v>
      </c>
    </row>
    <row r="7141" spans="1:9" x14ac:dyDescent="0.25">
      <c r="A7141">
        <v>20140306</v>
      </c>
      <c r="B7141" t="str">
        <f t="shared" si="438"/>
        <v>114570</v>
      </c>
      <c r="C7141" t="str">
        <f t="shared" si="439"/>
        <v>24530</v>
      </c>
      <c r="D7141" t="s">
        <v>412</v>
      </c>
      <c r="E7141">
        <v>48.9</v>
      </c>
      <c r="F7141">
        <v>20140305</v>
      </c>
      <c r="G7141" t="s">
        <v>628</v>
      </c>
      <c r="H7141" t="s">
        <v>414</v>
      </c>
      <c r="I7141" t="s">
        <v>21</v>
      </c>
    </row>
    <row r="7142" spans="1:9" x14ac:dyDescent="0.25">
      <c r="A7142">
        <v>20140306</v>
      </c>
      <c r="B7142" t="str">
        <f t="shared" si="438"/>
        <v>114570</v>
      </c>
      <c r="C7142" t="str">
        <f t="shared" si="439"/>
        <v>24530</v>
      </c>
      <c r="D7142" t="s">
        <v>412</v>
      </c>
      <c r="E7142">
        <v>530.09</v>
      </c>
      <c r="F7142">
        <v>20140305</v>
      </c>
      <c r="G7142" t="s">
        <v>392</v>
      </c>
      <c r="H7142" t="s">
        <v>414</v>
      </c>
      <c r="I7142" t="s">
        <v>21</v>
      </c>
    </row>
    <row r="7143" spans="1:9" x14ac:dyDescent="0.25">
      <c r="A7143">
        <v>20140306</v>
      </c>
      <c r="B7143" t="str">
        <f t="shared" si="438"/>
        <v>114570</v>
      </c>
      <c r="C7143" t="str">
        <f t="shared" si="439"/>
        <v>24530</v>
      </c>
      <c r="D7143" t="s">
        <v>412</v>
      </c>
      <c r="E7143">
        <v>-46.86</v>
      </c>
      <c r="F7143">
        <v>20140306</v>
      </c>
      <c r="G7143" t="s">
        <v>392</v>
      </c>
      <c r="H7143" t="s">
        <v>416</v>
      </c>
      <c r="I7143" t="s">
        <v>21</v>
      </c>
    </row>
    <row r="7144" spans="1:9" x14ac:dyDescent="0.25">
      <c r="A7144">
        <v>20140306</v>
      </c>
      <c r="B7144" t="str">
        <f t="shared" si="438"/>
        <v>114570</v>
      </c>
      <c r="C7144" t="str">
        <f t="shared" si="439"/>
        <v>24530</v>
      </c>
      <c r="D7144" t="s">
        <v>412</v>
      </c>
      <c r="E7144">
        <v>235.24</v>
      </c>
      <c r="F7144">
        <v>20140305</v>
      </c>
      <c r="G7144" t="s">
        <v>417</v>
      </c>
      <c r="H7144" t="s">
        <v>414</v>
      </c>
      <c r="I7144" t="s">
        <v>21</v>
      </c>
    </row>
    <row r="7145" spans="1:9" x14ac:dyDescent="0.25">
      <c r="A7145">
        <v>20140306</v>
      </c>
      <c r="B7145" t="str">
        <f>"114571"</f>
        <v>114571</v>
      </c>
      <c r="C7145" t="str">
        <f>"24700"</f>
        <v>24700</v>
      </c>
      <c r="D7145" t="s">
        <v>2157</v>
      </c>
      <c r="E7145">
        <v>250.39</v>
      </c>
      <c r="F7145">
        <v>20140305</v>
      </c>
      <c r="G7145" t="s">
        <v>1774</v>
      </c>
      <c r="H7145" t="s">
        <v>3539</v>
      </c>
      <c r="I7145" t="s">
        <v>21</v>
      </c>
    </row>
    <row r="7146" spans="1:9" x14ac:dyDescent="0.25">
      <c r="A7146">
        <v>20140306</v>
      </c>
      <c r="B7146" t="str">
        <f>"114571"</f>
        <v>114571</v>
      </c>
      <c r="C7146" t="str">
        <f>"24700"</f>
        <v>24700</v>
      </c>
      <c r="D7146" t="s">
        <v>2157</v>
      </c>
      <c r="E7146">
        <v>258.26</v>
      </c>
      <c r="F7146">
        <v>20140305</v>
      </c>
      <c r="G7146" t="s">
        <v>1618</v>
      </c>
      <c r="H7146" t="s">
        <v>3540</v>
      </c>
      <c r="I7146" t="s">
        <v>21</v>
      </c>
    </row>
    <row r="7147" spans="1:9" x14ac:dyDescent="0.25">
      <c r="A7147">
        <v>20140306</v>
      </c>
      <c r="B7147" t="str">
        <f>"114572"</f>
        <v>114572</v>
      </c>
      <c r="C7147" t="str">
        <f>"82961"</f>
        <v>82961</v>
      </c>
      <c r="D7147" t="s">
        <v>3541</v>
      </c>
      <c r="E7147">
        <v>85.7</v>
      </c>
      <c r="F7147">
        <v>20140305</v>
      </c>
      <c r="G7147" t="s">
        <v>1247</v>
      </c>
      <c r="H7147" t="s">
        <v>3542</v>
      </c>
      <c r="I7147" t="s">
        <v>66</v>
      </c>
    </row>
    <row r="7148" spans="1:9" x14ac:dyDescent="0.25">
      <c r="A7148">
        <v>20140306</v>
      </c>
      <c r="B7148" t="str">
        <f>"114573"</f>
        <v>114573</v>
      </c>
      <c r="C7148" t="str">
        <f>"00162"</f>
        <v>00162</v>
      </c>
      <c r="D7148" t="s">
        <v>3543</v>
      </c>
      <c r="E7148">
        <v>211.37</v>
      </c>
      <c r="F7148">
        <v>20140305</v>
      </c>
      <c r="G7148" t="s">
        <v>579</v>
      </c>
      <c r="H7148" t="s">
        <v>3544</v>
      </c>
      <c r="I7148" t="s">
        <v>21</v>
      </c>
    </row>
    <row r="7149" spans="1:9" x14ac:dyDescent="0.25">
      <c r="A7149">
        <v>20140306</v>
      </c>
      <c r="B7149" t="str">
        <f>"114573"</f>
        <v>114573</v>
      </c>
      <c r="C7149" t="str">
        <f>"00162"</f>
        <v>00162</v>
      </c>
      <c r="D7149" t="s">
        <v>3543</v>
      </c>
      <c r="E7149">
        <v>703.5</v>
      </c>
      <c r="F7149">
        <v>20140305</v>
      </c>
      <c r="G7149" t="s">
        <v>3065</v>
      </c>
      <c r="H7149" t="s">
        <v>3544</v>
      </c>
      <c r="I7149" t="s">
        <v>21</v>
      </c>
    </row>
    <row r="7150" spans="1:9" x14ac:dyDescent="0.25">
      <c r="A7150">
        <v>20140306</v>
      </c>
      <c r="B7150" t="str">
        <f>"114574"</f>
        <v>114574</v>
      </c>
      <c r="C7150" t="str">
        <f>"28100"</f>
        <v>28100</v>
      </c>
      <c r="D7150" t="s">
        <v>2936</v>
      </c>
      <c r="E7150">
        <v>80</v>
      </c>
      <c r="F7150">
        <v>20140304</v>
      </c>
      <c r="G7150" t="s">
        <v>356</v>
      </c>
      <c r="H7150" t="s">
        <v>357</v>
      </c>
      <c r="I7150" t="s">
        <v>61</v>
      </c>
    </row>
    <row r="7151" spans="1:9" x14ac:dyDescent="0.25">
      <c r="A7151">
        <v>20140306</v>
      </c>
      <c r="B7151" t="str">
        <f>"114575"</f>
        <v>114575</v>
      </c>
      <c r="C7151" t="str">
        <f>"87776"</f>
        <v>87776</v>
      </c>
      <c r="D7151" t="s">
        <v>3545</v>
      </c>
      <c r="E7151">
        <v>25</v>
      </c>
      <c r="F7151">
        <v>20140305</v>
      </c>
      <c r="G7151" t="s">
        <v>347</v>
      </c>
      <c r="H7151" t="s">
        <v>361</v>
      </c>
      <c r="I7151" t="s">
        <v>61</v>
      </c>
    </row>
    <row r="7152" spans="1:9" x14ac:dyDescent="0.25">
      <c r="A7152">
        <v>20140306</v>
      </c>
      <c r="B7152" t="str">
        <f>"114576"</f>
        <v>114576</v>
      </c>
      <c r="C7152" t="str">
        <f>"86945"</f>
        <v>86945</v>
      </c>
      <c r="D7152" t="s">
        <v>1589</v>
      </c>
      <c r="E7152">
        <v>55.44</v>
      </c>
      <c r="F7152">
        <v>20140304</v>
      </c>
      <c r="G7152" t="s">
        <v>1145</v>
      </c>
      <c r="H7152" t="s">
        <v>365</v>
      </c>
      <c r="I7152" t="s">
        <v>73</v>
      </c>
    </row>
    <row r="7153" spans="1:9" x14ac:dyDescent="0.25">
      <c r="A7153">
        <v>20140306</v>
      </c>
      <c r="B7153" t="str">
        <f>"114577"</f>
        <v>114577</v>
      </c>
      <c r="C7153" t="str">
        <f>"00695"</f>
        <v>00695</v>
      </c>
      <c r="D7153" t="s">
        <v>2353</v>
      </c>
      <c r="E7153">
        <v>286</v>
      </c>
      <c r="F7153">
        <v>20140305</v>
      </c>
      <c r="G7153" t="s">
        <v>982</v>
      </c>
      <c r="H7153" t="s">
        <v>954</v>
      </c>
      <c r="I7153" t="s">
        <v>21</v>
      </c>
    </row>
    <row r="7154" spans="1:9" x14ac:dyDescent="0.25">
      <c r="A7154">
        <v>20140306</v>
      </c>
      <c r="B7154" t="str">
        <f>"114578"</f>
        <v>114578</v>
      </c>
      <c r="C7154" t="str">
        <f>"87471"</f>
        <v>87471</v>
      </c>
      <c r="D7154" t="s">
        <v>1418</v>
      </c>
      <c r="E7154">
        <v>130</v>
      </c>
      <c r="F7154">
        <v>20140304</v>
      </c>
      <c r="G7154" t="s">
        <v>950</v>
      </c>
      <c r="H7154" t="s">
        <v>1355</v>
      </c>
      <c r="I7154" t="s">
        <v>21</v>
      </c>
    </row>
    <row r="7155" spans="1:9" x14ac:dyDescent="0.25">
      <c r="A7155">
        <v>20140306</v>
      </c>
      <c r="B7155" t="str">
        <f>"114579"</f>
        <v>114579</v>
      </c>
      <c r="C7155" t="str">
        <f>"30000"</f>
        <v>30000</v>
      </c>
      <c r="D7155" t="s">
        <v>556</v>
      </c>
      <c r="E7155">
        <v>561.42999999999995</v>
      </c>
      <c r="F7155">
        <v>20140305</v>
      </c>
      <c r="G7155" t="s">
        <v>2358</v>
      </c>
      <c r="H7155" t="s">
        <v>839</v>
      </c>
      <c r="I7155" t="s">
        <v>21</v>
      </c>
    </row>
    <row r="7156" spans="1:9" x14ac:dyDescent="0.25">
      <c r="A7156">
        <v>20140306</v>
      </c>
      <c r="B7156" t="str">
        <f>"114579"</f>
        <v>114579</v>
      </c>
      <c r="C7156" t="str">
        <f>"30000"</f>
        <v>30000</v>
      </c>
      <c r="D7156" t="s">
        <v>556</v>
      </c>
      <c r="E7156">
        <v>431.95</v>
      </c>
      <c r="F7156">
        <v>20140305</v>
      </c>
      <c r="G7156" t="s">
        <v>585</v>
      </c>
      <c r="H7156" t="s">
        <v>3546</v>
      </c>
      <c r="I7156" t="s">
        <v>21</v>
      </c>
    </row>
    <row r="7157" spans="1:9" x14ac:dyDescent="0.25">
      <c r="A7157">
        <v>20140306</v>
      </c>
      <c r="B7157" t="str">
        <f>"114579"</f>
        <v>114579</v>
      </c>
      <c r="C7157" t="str">
        <f>"30000"</f>
        <v>30000</v>
      </c>
      <c r="D7157" t="s">
        <v>556</v>
      </c>
      <c r="E7157">
        <v>159.99</v>
      </c>
      <c r="F7157">
        <v>20140305</v>
      </c>
      <c r="G7157" t="s">
        <v>137</v>
      </c>
      <c r="H7157" t="s">
        <v>3546</v>
      </c>
      <c r="I7157" t="s">
        <v>21</v>
      </c>
    </row>
    <row r="7158" spans="1:9" x14ac:dyDescent="0.25">
      <c r="A7158">
        <v>20140306</v>
      </c>
      <c r="B7158" t="str">
        <f>"114579"</f>
        <v>114579</v>
      </c>
      <c r="C7158" t="str">
        <f>"30000"</f>
        <v>30000</v>
      </c>
      <c r="D7158" t="s">
        <v>556</v>
      </c>
      <c r="E7158">
        <v>810</v>
      </c>
      <c r="F7158">
        <v>20140305</v>
      </c>
      <c r="G7158" t="s">
        <v>137</v>
      </c>
      <c r="H7158" t="s">
        <v>3547</v>
      </c>
      <c r="I7158" t="s">
        <v>21</v>
      </c>
    </row>
    <row r="7159" spans="1:9" x14ac:dyDescent="0.25">
      <c r="A7159">
        <v>20140306</v>
      </c>
      <c r="B7159" t="str">
        <f>"114579"</f>
        <v>114579</v>
      </c>
      <c r="C7159" t="str">
        <f>"30000"</f>
        <v>30000</v>
      </c>
      <c r="D7159" t="s">
        <v>556</v>
      </c>
      <c r="E7159">
        <v>240.5</v>
      </c>
      <c r="F7159">
        <v>20140305</v>
      </c>
      <c r="G7159" t="s">
        <v>840</v>
      </c>
      <c r="H7159" t="s">
        <v>3548</v>
      </c>
      <c r="I7159" t="s">
        <v>21</v>
      </c>
    </row>
    <row r="7160" spans="1:9" x14ac:dyDescent="0.25">
      <c r="A7160">
        <v>20140306</v>
      </c>
      <c r="B7160" t="str">
        <f>"114580"</f>
        <v>114580</v>
      </c>
      <c r="C7160" t="str">
        <f>"87037"</f>
        <v>87037</v>
      </c>
      <c r="D7160" t="s">
        <v>2184</v>
      </c>
      <c r="E7160">
        <v>19.309999999999999</v>
      </c>
      <c r="F7160">
        <v>20140304</v>
      </c>
      <c r="G7160" t="s">
        <v>562</v>
      </c>
      <c r="H7160" t="s">
        <v>563</v>
      </c>
      <c r="I7160" t="s">
        <v>21</v>
      </c>
    </row>
    <row r="7161" spans="1:9" x14ac:dyDescent="0.25">
      <c r="A7161">
        <v>20140306</v>
      </c>
      <c r="B7161" t="str">
        <f>"114581"</f>
        <v>114581</v>
      </c>
      <c r="C7161" t="str">
        <f>"83496"</f>
        <v>83496</v>
      </c>
      <c r="D7161" t="s">
        <v>567</v>
      </c>
      <c r="E7161">
        <v>81.96</v>
      </c>
      <c r="F7161">
        <v>20140304</v>
      </c>
      <c r="G7161" t="s">
        <v>568</v>
      </c>
      <c r="H7161" t="s">
        <v>3173</v>
      </c>
      <c r="I7161" t="s">
        <v>21</v>
      </c>
    </row>
    <row r="7162" spans="1:9" x14ac:dyDescent="0.25">
      <c r="A7162">
        <v>20140306</v>
      </c>
      <c r="B7162" t="str">
        <f>"114582"</f>
        <v>114582</v>
      </c>
      <c r="C7162" t="str">
        <f>"87031"</f>
        <v>87031</v>
      </c>
      <c r="D7162" t="s">
        <v>418</v>
      </c>
      <c r="E7162">
        <v>60.75</v>
      </c>
      <c r="F7162">
        <v>20140305</v>
      </c>
      <c r="G7162" t="s">
        <v>410</v>
      </c>
      <c r="H7162" t="s">
        <v>411</v>
      </c>
      <c r="I7162" t="s">
        <v>12</v>
      </c>
    </row>
    <row r="7163" spans="1:9" x14ac:dyDescent="0.25">
      <c r="A7163">
        <v>20140306</v>
      </c>
      <c r="B7163" t="str">
        <f>"114583"</f>
        <v>114583</v>
      </c>
      <c r="C7163" t="str">
        <f>"31570"</f>
        <v>31570</v>
      </c>
      <c r="D7163" t="s">
        <v>1244</v>
      </c>
      <c r="E7163">
        <v>254.18</v>
      </c>
      <c r="F7163">
        <v>20140305</v>
      </c>
      <c r="G7163" t="s">
        <v>1426</v>
      </c>
      <c r="H7163" t="s">
        <v>414</v>
      </c>
      <c r="I7163" t="s">
        <v>38</v>
      </c>
    </row>
    <row r="7164" spans="1:9" x14ac:dyDescent="0.25">
      <c r="A7164">
        <v>20140306</v>
      </c>
      <c r="B7164" t="str">
        <f>"114584"</f>
        <v>114584</v>
      </c>
      <c r="C7164" t="str">
        <f>"87456"</f>
        <v>87456</v>
      </c>
      <c r="D7164" t="s">
        <v>1434</v>
      </c>
      <c r="E7164" s="1">
        <v>1655.61</v>
      </c>
      <c r="F7164">
        <v>20140305</v>
      </c>
      <c r="G7164" t="s">
        <v>1281</v>
      </c>
      <c r="H7164" t="s">
        <v>3549</v>
      </c>
      <c r="I7164" t="s">
        <v>21</v>
      </c>
    </row>
    <row r="7165" spans="1:9" x14ac:dyDescent="0.25">
      <c r="A7165">
        <v>20140306</v>
      </c>
      <c r="B7165" t="str">
        <f>"114585"</f>
        <v>114585</v>
      </c>
      <c r="C7165" t="str">
        <f>"84980"</f>
        <v>84980</v>
      </c>
      <c r="D7165" t="s">
        <v>591</v>
      </c>
      <c r="E7165">
        <v>5.5</v>
      </c>
      <c r="F7165">
        <v>20140305</v>
      </c>
      <c r="G7165" t="s">
        <v>1299</v>
      </c>
      <c r="H7165" t="s">
        <v>3550</v>
      </c>
      <c r="I7165" t="s">
        <v>21</v>
      </c>
    </row>
    <row r="7166" spans="1:9" x14ac:dyDescent="0.25">
      <c r="A7166">
        <v>20140306</v>
      </c>
      <c r="B7166" t="str">
        <f>"114585"</f>
        <v>114585</v>
      </c>
      <c r="C7166" t="str">
        <f>"84980"</f>
        <v>84980</v>
      </c>
      <c r="D7166" t="s">
        <v>591</v>
      </c>
      <c r="E7166">
        <v>23</v>
      </c>
      <c r="F7166">
        <v>20140305</v>
      </c>
      <c r="G7166" t="s">
        <v>1071</v>
      </c>
      <c r="H7166" t="s">
        <v>3551</v>
      </c>
      <c r="I7166" t="s">
        <v>21</v>
      </c>
    </row>
    <row r="7167" spans="1:9" x14ac:dyDescent="0.25">
      <c r="A7167">
        <v>20140306</v>
      </c>
      <c r="B7167" t="str">
        <f>"114586"</f>
        <v>114586</v>
      </c>
      <c r="C7167" t="str">
        <f>"84038"</f>
        <v>84038</v>
      </c>
      <c r="D7167" t="s">
        <v>419</v>
      </c>
      <c r="E7167">
        <v>27.9</v>
      </c>
      <c r="F7167">
        <v>20140305</v>
      </c>
      <c r="G7167" t="s">
        <v>410</v>
      </c>
      <c r="H7167" t="s">
        <v>411</v>
      </c>
      <c r="I7167" t="s">
        <v>12</v>
      </c>
    </row>
    <row r="7168" spans="1:9" x14ac:dyDescent="0.25">
      <c r="A7168">
        <v>20140306</v>
      </c>
      <c r="B7168" t="str">
        <f>"114587"</f>
        <v>114587</v>
      </c>
      <c r="C7168" t="str">
        <f>"81525"</f>
        <v>81525</v>
      </c>
      <c r="D7168" t="s">
        <v>1252</v>
      </c>
      <c r="E7168">
        <v>15.53</v>
      </c>
      <c r="F7168">
        <v>20140304</v>
      </c>
      <c r="G7168" t="s">
        <v>601</v>
      </c>
      <c r="H7168" t="s">
        <v>563</v>
      </c>
      <c r="I7168" t="s">
        <v>21</v>
      </c>
    </row>
    <row r="7169" spans="1:9" x14ac:dyDescent="0.25">
      <c r="A7169">
        <v>20140306</v>
      </c>
      <c r="B7169" t="str">
        <f>"114588"</f>
        <v>114588</v>
      </c>
      <c r="C7169" t="str">
        <f>"35817"</f>
        <v>35817</v>
      </c>
      <c r="D7169" t="s">
        <v>600</v>
      </c>
      <c r="E7169">
        <v>22.64</v>
      </c>
      <c r="F7169">
        <v>20140305</v>
      </c>
      <c r="G7169" t="s">
        <v>601</v>
      </c>
      <c r="H7169" t="s">
        <v>563</v>
      </c>
      <c r="I7169" t="s">
        <v>21</v>
      </c>
    </row>
    <row r="7170" spans="1:9" x14ac:dyDescent="0.25">
      <c r="A7170">
        <v>20140306</v>
      </c>
      <c r="B7170" t="str">
        <f>"114589"</f>
        <v>114589</v>
      </c>
      <c r="C7170" t="str">
        <f>"36028"</f>
        <v>36028</v>
      </c>
      <c r="D7170" t="s">
        <v>1758</v>
      </c>
      <c r="E7170">
        <v>505.04</v>
      </c>
      <c r="F7170">
        <v>20140305</v>
      </c>
      <c r="G7170" t="s">
        <v>2495</v>
      </c>
      <c r="H7170" t="s">
        <v>921</v>
      </c>
      <c r="I7170" t="s">
        <v>21</v>
      </c>
    </row>
    <row r="7171" spans="1:9" x14ac:dyDescent="0.25">
      <c r="A7171">
        <v>20140306</v>
      </c>
      <c r="B7171" t="str">
        <f>"114590"</f>
        <v>114590</v>
      </c>
      <c r="C7171" t="str">
        <f>"00198"</f>
        <v>00198</v>
      </c>
      <c r="D7171" t="s">
        <v>605</v>
      </c>
      <c r="E7171" s="1">
        <v>2442.7199999999998</v>
      </c>
      <c r="F7171">
        <v>20140305</v>
      </c>
      <c r="G7171" t="s">
        <v>1247</v>
      </c>
      <c r="H7171" t="s">
        <v>3552</v>
      </c>
      <c r="I7171" t="s">
        <v>66</v>
      </c>
    </row>
    <row r="7172" spans="1:9" x14ac:dyDescent="0.25">
      <c r="A7172">
        <v>20140306</v>
      </c>
      <c r="B7172" t="str">
        <f>"114591"</f>
        <v>114591</v>
      </c>
      <c r="C7172" t="str">
        <f>"86459"</f>
        <v>86459</v>
      </c>
      <c r="D7172" t="s">
        <v>881</v>
      </c>
      <c r="E7172" s="1">
        <v>2110</v>
      </c>
      <c r="F7172">
        <v>20140304</v>
      </c>
      <c r="G7172" t="s">
        <v>271</v>
      </c>
      <c r="H7172" t="s">
        <v>2125</v>
      </c>
      <c r="I7172" t="s">
        <v>25</v>
      </c>
    </row>
    <row r="7173" spans="1:9" x14ac:dyDescent="0.25">
      <c r="A7173">
        <v>20140306</v>
      </c>
      <c r="B7173" t="str">
        <f>"114592"</f>
        <v>114592</v>
      </c>
      <c r="C7173" t="str">
        <f>"39315"</f>
        <v>39315</v>
      </c>
      <c r="D7173" t="s">
        <v>420</v>
      </c>
      <c r="E7173">
        <v>144.02000000000001</v>
      </c>
      <c r="F7173">
        <v>20140305</v>
      </c>
      <c r="G7173" t="s">
        <v>410</v>
      </c>
      <c r="H7173" t="s">
        <v>365</v>
      </c>
      <c r="I7173" t="s">
        <v>12</v>
      </c>
    </row>
    <row r="7174" spans="1:9" x14ac:dyDescent="0.25">
      <c r="A7174">
        <v>20140306</v>
      </c>
      <c r="B7174" t="str">
        <f>"114593"</f>
        <v>114593</v>
      </c>
      <c r="C7174" t="str">
        <f>"00115"</f>
        <v>00115</v>
      </c>
      <c r="D7174" t="s">
        <v>3553</v>
      </c>
      <c r="E7174">
        <v>20</v>
      </c>
      <c r="F7174">
        <v>20140305</v>
      </c>
      <c r="G7174" t="s">
        <v>347</v>
      </c>
      <c r="H7174" t="s">
        <v>361</v>
      </c>
      <c r="I7174" t="s">
        <v>61</v>
      </c>
    </row>
    <row r="7175" spans="1:9" x14ac:dyDescent="0.25">
      <c r="A7175">
        <v>20140306</v>
      </c>
      <c r="B7175" t="str">
        <f>"114594"</f>
        <v>114594</v>
      </c>
      <c r="C7175" t="str">
        <f>"85122"</f>
        <v>85122</v>
      </c>
      <c r="D7175" t="s">
        <v>1103</v>
      </c>
      <c r="E7175">
        <v>57.57</v>
      </c>
      <c r="F7175">
        <v>20140305</v>
      </c>
      <c r="G7175" t="s">
        <v>364</v>
      </c>
      <c r="H7175" t="s">
        <v>365</v>
      </c>
      <c r="I7175" t="s">
        <v>21</v>
      </c>
    </row>
    <row r="7176" spans="1:9" x14ac:dyDescent="0.25">
      <c r="A7176">
        <v>20140306</v>
      </c>
      <c r="B7176" t="str">
        <f>"114595"</f>
        <v>114595</v>
      </c>
      <c r="C7176" t="str">
        <f>"40910"</f>
        <v>40910</v>
      </c>
      <c r="D7176" t="s">
        <v>1886</v>
      </c>
      <c r="E7176" s="1">
        <v>2656.5</v>
      </c>
      <c r="F7176">
        <v>20140305</v>
      </c>
      <c r="G7176" t="s">
        <v>331</v>
      </c>
      <c r="H7176" t="s">
        <v>3554</v>
      </c>
      <c r="I7176" t="s">
        <v>12</v>
      </c>
    </row>
    <row r="7177" spans="1:9" x14ac:dyDescent="0.25">
      <c r="A7177">
        <v>20140306</v>
      </c>
      <c r="B7177" t="str">
        <f>"114595"</f>
        <v>114595</v>
      </c>
      <c r="C7177" t="str">
        <f>"40910"</f>
        <v>40910</v>
      </c>
      <c r="D7177" t="s">
        <v>1886</v>
      </c>
      <c r="E7177" s="1">
        <v>8343.75</v>
      </c>
      <c r="F7177">
        <v>20140305</v>
      </c>
      <c r="G7177" t="s">
        <v>3555</v>
      </c>
      <c r="H7177" t="s">
        <v>3556</v>
      </c>
      <c r="I7177" t="s">
        <v>12</v>
      </c>
    </row>
    <row r="7178" spans="1:9" x14ac:dyDescent="0.25">
      <c r="A7178">
        <v>20140306</v>
      </c>
      <c r="B7178" t="str">
        <f>"114595"</f>
        <v>114595</v>
      </c>
      <c r="C7178" t="str">
        <f>"40910"</f>
        <v>40910</v>
      </c>
      <c r="D7178" t="s">
        <v>1886</v>
      </c>
      <c r="E7178" s="1">
        <v>8343.75</v>
      </c>
      <c r="F7178">
        <v>20140305</v>
      </c>
      <c r="G7178" t="s">
        <v>3555</v>
      </c>
      <c r="H7178" t="s">
        <v>3557</v>
      </c>
      <c r="I7178" t="s">
        <v>12</v>
      </c>
    </row>
    <row r="7179" spans="1:9" x14ac:dyDescent="0.25">
      <c r="A7179">
        <v>20140306</v>
      </c>
      <c r="B7179" t="str">
        <f>"114596"</f>
        <v>114596</v>
      </c>
      <c r="C7179" t="str">
        <f>"41375"</f>
        <v>41375</v>
      </c>
      <c r="D7179" t="s">
        <v>616</v>
      </c>
      <c r="E7179">
        <v>870.1</v>
      </c>
      <c r="F7179">
        <v>20140305</v>
      </c>
      <c r="G7179" t="s">
        <v>582</v>
      </c>
      <c r="H7179" t="s">
        <v>3558</v>
      </c>
      <c r="I7179" t="s">
        <v>21</v>
      </c>
    </row>
    <row r="7180" spans="1:9" x14ac:dyDescent="0.25">
      <c r="A7180">
        <v>20140306</v>
      </c>
      <c r="B7180" t="str">
        <f>"114597"</f>
        <v>114597</v>
      </c>
      <c r="C7180" t="str">
        <f>"86871"</f>
        <v>86871</v>
      </c>
      <c r="D7180" t="s">
        <v>3410</v>
      </c>
      <c r="E7180" s="1">
        <v>5300</v>
      </c>
      <c r="F7180">
        <v>20140304</v>
      </c>
      <c r="G7180" t="s">
        <v>2966</v>
      </c>
      <c r="H7180" t="s">
        <v>743</v>
      </c>
      <c r="I7180" t="s">
        <v>73</v>
      </c>
    </row>
    <row r="7181" spans="1:9" x14ac:dyDescent="0.25">
      <c r="A7181">
        <v>20140306</v>
      </c>
      <c r="B7181" t="str">
        <f>"114597"</f>
        <v>114597</v>
      </c>
      <c r="C7181" t="str">
        <f>"86871"</f>
        <v>86871</v>
      </c>
      <c r="D7181" t="s">
        <v>3410</v>
      </c>
      <c r="E7181" s="1">
        <v>9000</v>
      </c>
      <c r="F7181">
        <v>20140304</v>
      </c>
      <c r="G7181" t="s">
        <v>2966</v>
      </c>
      <c r="H7181" t="s">
        <v>743</v>
      </c>
      <c r="I7181" t="s">
        <v>73</v>
      </c>
    </row>
    <row r="7182" spans="1:9" x14ac:dyDescent="0.25">
      <c r="A7182">
        <v>20140306</v>
      </c>
      <c r="B7182" t="str">
        <f>"114598"</f>
        <v>114598</v>
      </c>
      <c r="C7182" t="str">
        <f>"42750"</f>
        <v>42750</v>
      </c>
      <c r="D7182" t="s">
        <v>888</v>
      </c>
      <c r="E7182">
        <v>17.07</v>
      </c>
      <c r="F7182">
        <v>20140304</v>
      </c>
      <c r="G7182" t="s">
        <v>181</v>
      </c>
      <c r="H7182" t="s">
        <v>354</v>
      </c>
      <c r="I7182" t="s">
        <v>38</v>
      </c>
    </row>
    <row r="7183" spans="1:9" x14ac:dyDescent="0.25">
      <c r="A7183">
        <v>20140306</v>
      </c>
      <c r="B7183" t="str">
        <f>"114599"</f>
        <v>114599</v>
      </c>
      <c r="C7183" t="str">
        <f>"87775"</f>
        <v>87775</v>
      </c>
      <c r="D7183" t="s">
        <v>3559</v>
      </c>
      <c r="E7183">
        <v>90</v>
      </c>
      <c r="F7183">
        <v>20140305</v>
      </c>
      <c r="G7183" t="s">
        <v>347</v>
      </c>
      <c r="H7183" t="s">
        <v>361</v>
      </c>
      <c r="I7183" t="s">
        <v>61</v>
      </c>
    </row>
    <row r="7184" spans="1:9" x14ac:dyDescent="0.25">
      <c r="A7184">
        <v>20140306</v>
      </c>
      <c r="B7184" t="str">
        <f>"114600"</f>
        <v>114600</v>
      </c>
      <c r="C7184" t="str">
        <f>"87775"</f>
        <v>87775</v>
      </c>
      <c r="D7184" t="s">
        <v>3559</v>
      </c>
      <c r="E7184">
        <v>24</v>
      </c>
      <c r="F7184">
        <v>20140305</v>
      </c>
      <c r="G7184" t="s">
        <v>356</v>
      </c>
      <c r="H7184" t="s">
        <v>357</v>
      </c>
      <c r="I7184" t="s">
        <v>61</v>
      </c>
    </row>
    <row r="7185" spans="1:9" x14ac:dyDescent="0.25">
      <c r="A7185">
        <v>20140306</v>
      </c>
      <c r="B7185" t="str">
        <f>"114601"</f>
        <v>114601</v>
      </c>
      <c r="C7185" t="str">
        <f>"43193"</f>
        <v>43193</v>
      </c>
      <c r="D7185" t="s">
        <v>1889</v>
      </c>
      <c r="E7185" s="1">
        <v>3500</v>
      </c>
      <c r="F7185">
        <v>20140304</v>
      </c>
      <c r="G7185" t="s">
        <v>965</v>
      </c>
      <c r="H7185" t="s">
        <v>3560</v>
      </c>
      <c r="I7185" t="s">
        <v>21</v>
      </c>
    </row>
    <row r="7186" spans="1:9" x14ac:dyDescent="0.25">
      <c r="A7186">
        <v>20140306</v>
      </c>
      <c r="B7186" t="str">
        <f>"114602"</f>
        <v>114602</v>
      </c>
      <c r="C7186" t="str">
        <f>"83430"</f>
        <v>83430</v>
      </c>
      <c r="D7186" t="s">
        <v>423</v>
      </c>
      <c r="E7186">
        <v>43.2</v>
      </c>
      <c r="F7186">
        <v>20140305</v>
      </c>
      <c r="G7186" t="s">
        <v>410</v>
      </c>
      <c r="H7186" t="s">
        <v>411</v>
      </c>
      <c r="I7186" t="s">
        <v>12</v>
      </c>
    </row>
    <row r="7187" spans="1:9" x14ac:dyDescent="0.25">
      <c r="A7187">
        <v>20140306</v>
      </c>
      <c r="B7187" t="str">
        <f>"114603"</f>
        <v>114603</v>
      </c>
      <c r="C7187" t="str">
        <f>"84521"</f>
        <v>84521</v>
      </c>
      <c r="D7187" t="s">
        <v>3561</v>
      </c>
      <c r="E7187">
        <v>13.77</v>
      </c>
      <c r="F7187">
        <v>20140304</v>
      </c>
      <c r="G7187" t="s">
        <v>2292</v>
      </c>
      <c r="H7187" t="s">
        <v>3562</v>
      </c>
      <c r="I7187" t="s">
        <v>63</v>
      </c>
    </row>
    <row r="7188" spans="1:9" x14ac:dyDescent="0.25">
      <c r="A7188">
        <v>20140306</v>
      </c>
      <c r="B7188" t="str">
        <f>"114604"</f>
        <v>114604</v>
      </c>
      <c r="C7188" t="str">
        <f>"87299"</f>
        <v>87299</v>
      </c>
      <c r="D7188" t="s">
        <v>3563</v>
      </c>
      <c r="E7188">
        <v>13.77</v>
      </c>
      <c r="F7188">
        <v>20140304</v>
      </c>
      <c r="G7188" t="s">
        <v>2292</v>
      </c>
      <c r="H7188" t="s">
        <v>3562</v>
      </c>
      <c r="I7188" t="s">
        <v>63</v>
      </c>
    </row>
    <row r="7189" spans="1:9" x14ac:dyDescent="0.25">
      <c r="A7189">
        <v>20140306</v>
      </c>
      <c r="B7189" t="str">
        <f>"114605"</f>
        <v>114605</v>
      </c>
      <c r="C7189" t="str">
        <f>"87756"</f>
        <v>87756</v>
      </c>
      <c r="D7189" t="s">
        <v>3564</v>
      </c>
      <c r="E7189">
        <v>157.85</v>
      </c>
      <c r="F7189">
        <v>20140305</v>
      </c>
      <c r="G7189" t="s">
        <v>1711</v>
      </c>
      <c r="H7189" t="s">
        <v>839</v>
      </c>
      <c r="I7189" t="s">
        <v>21</v>
      </c>
    </row>
    <row r="7190" spans="1:9" x14ac:dyDescent="0.25">
      <c r="A7190">
        <v>20140306</v>
      </c>
      <c r="B7190" t="str">
        <f>"114606"</f>
        <v>114606</v>
      </c>
      <c r="C7190" t="str">
        <f>"82185"</f>
        <v>82185</v>
      </c>
      <c r="D7190" t="s">
        <v>3565</v>
      </c>
      <c r="E7190">
        <v>206.55</v>
      </c>
      <c r="F7190">
        <v>20140304</v>
      </c>
      <c r="G7190" t="s">
        <v>356</v>
      </c>
      <c r="H7190" t="s">
        <v>357</v>
      </c>
      <c r="I7190" t="s">
        <v>61</v>
      </c>
    </row>
    <row r="7191" spans="1:9" x14ac:dyDescent="0.25">
      <c r="A7191">
        <v>20140306</v>
      </c>
      <c r="B7191" t="str">
        <f>"114607"</f>
        <v>114607</v>
      </c>
      <c r="C7191" t="str">
        <f>"46225"</f>
        <v>46225</v>
      </c>
      <c r="D7191" t="s">
        <v>3566</v>
      </c>
      <c r="E7191">
        <v>807.5</v>
      </c>
      <c r="F7191">
        <v>20140305</v>
      </c>
      <c r="G7191" t="s">
        <v>3567</v>
      </c>
      <c r="H7191" t="s">
        <v>3568</v>
      </c>
      <c r="I7191" t="s">
        <v>75</v>
      </c>
    </row>
    <row r="7192" spans="1:9" x14ac:dyDescent="0.25">
      <c r="A7192">
        <v>20140306</v>
      </c>
      <c r="B7192" t="str">
        <f>"114608"</f>
        <v>114608</v>
      </c>
      <c r="C7192" t="str">
        <f>"46500"</f>
        <v>46500</v>
      </c>
      <c r="D7192" t="s">
        <v>626</v>
      </c>
      <c r="E7192" s="1">
        <v>2143.54</v>
      </c>
      <c r="F7192">
        <v>20140305</v>
      </c>
      <c r="G7192" t="s">
        <v>415</v>
      </c>
      <c r="H7192" t="s">
        <v>414</v>
      </c>
      <c r="I7192" t="s">
        <v>21</v>
      </c>
    </row>
    <row r="7193" spans="1:9" x14ac:dyDescent="0.25">
      <c r="A7193">
        <v>20140306</v>
      </c>
      <c r="B7193" t="str">
        <f>"114608"</f>
        <v>114608</v>
      </c>
      <c r="C7193" t="str">
        <f>"46500"</f>
        <v>46500</v>
      </c>
      <c r="D7193" t="s">
        <v>626</v>
      </c>
      <c r="E7193">
        <v>28.97</v>
      </c>
      <c r="F7193">
        <v>20140305</v>
      </c>
      <c r="G7193" t="s">
        <v>628</v>
      </c>
      <c r="H7193" t="s">
        <v>414</v>
      </c>
      <c r="I7193" t="s">
        <v>21</v>
      </c>
    </row>
    <row r="7194" spans="1:9" x14ac:dyDescent="0.25">
      <c r="A7194">
        <v>20140306</v>
      </c>
      <c r="B7194" t="str">
        <f>"114608"</f>
        <v>114608</v>
      </c>
      <c r="C7194" t="str">
        <f>"46500"</f>
        <v>46500</v>
      </c>
      <c r="D7194" t="s">
        <v>626</v>
      </c>
      <c r="E7194">
        <v>59.9</v>
      </c>
      <c r="F7194">
        <v>20140305</v>
      </c>
      <c r="G7194" t="s">
        <v>530</v>
      </c>
      <c r="H7194" t="s">
        <v>414</v>
      </c>
      <c r="I7194" t="s">
        <v>21</v>
      </c>
    </row>
    <row r="7195" spans="1:9" x14ac:dyDescent="0.25">
      <c r="A7195">
        <v>20140306</v>
      </c>
      <c r="B7195" t="str">
        <f>"114608"</f>
        <v>114608</v>
      </c>
      <c r="C7195" t="str">
        <f>"46500"</f>
        <v>46500</v>
      </c>
      <c r="D7195" t="s">
        <v>626</v>
      </c>
      <c r="E7195">
        <v>78.959999999999994</v>
      </c>
      <c r="F7195">
        <v>20140305</v>
      </c>
      <c r="G7195" t="s">
        <v>392</v>
      </c>
      <c r="H7195" t="s">
        <v>414</v>
      </c>
      <c r="I7195" t="s">
        <v>21</v>
      </c>
    </row>
    <row r="7196" spans="1:9" x14ac:dyDescent="0.25">
      <c r="A7196">
        <v>20140306</v>
      </c>
      <c r="B7196" t="str">
        <f>"114608"</f>
        <v>114608</v>
      </c>
      <c r="C7196" t="str">
        <f>"46500"</f>
        <v>46500</v>
      </c>
      <c r="D7196" t="s">
        <v>626</v>
      </c>
      <c r="E7196">
        <v>5.56</v>
      </c>
      <c r="F7196">
        <v>20140305</v>
      </c>
      <c r="G7196" t="s">
        <v>531</v>
      </c>
      <c r="H7196" t="s">
        <v>414</v>
      </c>
      <c r="I7196" t="s">
        <v>21</v>
      </c>
    </row>
    <row r="7197" spans="1:9" x14ac:dyDescent="0.25">
      <c r="A7197">
        <v>20140306</v>
      </c>
      <c r="B7197" t="str">
        <f>"114609"</f>
        <v>114609</v>
      </c>
      <c r="C7197" t="str">
        <f>"82726"</f>
        <v>82726</v>
      </c>
      <c r="D7197" t="s">
        <v>638</v>
      </c>
      <c r="E7197">
        <v>154.80000000000001</v>
      </c>
      <c r="F7197">
        <v>20140304</v>
      </c>
      <c r="G7197" t="s">
        <v>23</v>
      </c>
      <c r="H7197" t="s">
        <v>354</v>
      </c>
      <c r="I7197" t="s">
        <v>25</v>
      </c>
    </row>
    <row r="7198" spans="1:9" x14ac:dyDescent="0.25">
      <c r="A7198">
        <v>20140306</v>
      </c>
      <c r="B7198" t="str">
        <f>"114610"</f>
        <v>114610</v>
      </c>
      <c r="C7198" t="str">
        <f>"87404"</f>
        <v>87404</v>
      </c>
      <c r="D7198" t="s">
        <v>1108</v>
      </c>
      <c r="E7198">
        <v>16.46</v>
      </c>
      <c r="F7198">
        <v>20140305</v>
      </c>
      <c r="G7198" t="s">
        <v>426</v>
      </c>
      <c r="H7198" t="s">
        <v>968</v>
      </c>
      <c r="I7198" t="s">
        <v>21</v>
      </c>
    </row>
    <row r="7199" spans="1:9" x14ac:dyDescent="0.25">
      <c r="A7199">
        <v>20140306</v>
      </c>
      <c r="B7199" t="str">
        <f>"114611"</f>
        <v>114611</v>
      </c>
      <c r="C7199" t="str">
        <f>"87404"</f>
        <v>87404</v>
      </c>
      <c r="D7199" t="s">
        <v>1108</v>
      </c>
      <c r="E7199">
        <v>15.66</v>
      </c>
      <c r="F7199">
        <v>20140305</v>
      </c>
      <c r="G7199" t="s">
        <v>426</v>
      </c>
      <c r="H7199" t="s">
        <v>968</v>
      </c>
      <c r="I7199" t="s">
        <v>21</v>
      </c>
    </row>
    <row r="7200" spans="1:9" x14ac:dyDescent="0.25">
      <c r="A7200">
        <v>20140306</v>
      </c>
      <c r="B7200" t="str">
        <f>"114612"</f>
        <v>114612</v>
      </c>
      <c r="C7200" t="str">
        <f>"87404"</f>
        <v>87404</v>
      </c>
      <c r="D7200" t="s">
        <v>1108</v>
      </c>
      <c r="E7200">
        <v>5.58</v>
      </c>
      <c r="F7200">
        <v>20140305</v>
      </c>
      <c r="G7200" t="s">
        <v>426</v>
      </c>
      <c r="H7200" t="s">
        <v>968</v>
      </c>
      <c r="I7200" t="s">
        <v>21</v>
      </c>
    </row>
    <row r="7201" spans="1:9" x14ac:dyDescent="0.25">
      <c r="A7201">
        <v>20140306</v>
      </c>
      <c r="B7201" t="str">
        <f>"114613"</f>
        <v>114613</v>
      </c>
      <c r="C7201" t="str">
        <f>"49833"</f>
        <v>49833</v>
      </c>
      <c r="D7201" t="s">
        <v>2010</v>
      </c>
      <c r="E7201" s="1">
        <v>1030</v>
      </c>
      <c r="F7201">
        <v>20140304</v>
      </c>
      <c r="G7201" t="s">
        <v>870</v>
      </c>
      <c r="H7201" t="s">
        <v>3054</v>
      </c>
      <c r="I7201" t="s">
        <v>21</v>
      </c>
    </row>
    <row r="7202" spans="1:9" x14ac:dyDescent="0.25">
      <c r="A7202">
        <v>20140306</v>
      </c>
      <c r="B7202" t="str">
        <f>"114613"</f>
        <v>114613</v>
      </c>
      <c r="C7202" t="str">
        <f>"49833"</f>
        <v>49833</v>
      </c>
      <c r="D7202" t="s">
        <v>2010</v>
      </c>
      <c r="E7202" s="1">
        <v>1030</v>
      </c>
      <c r="F7202">
        <v>20140304</v>
      </c>
      <c r="G7202" t="s">
        <v>870</v>
      </c>
      <c r="H7202" t="s">
        <v>3054</v>
      </c>
      <c r="I7202" t="s">
        <v>21</v>
      </c>
    </row>
    <row r="7203" spans="1:9" x14ac:dyDescent="0.25">
      <c r="A7203">
        <v>20140306</v>
      </c>
      <c r="B7203" t="str">
        <f>"114614"</f>
        <v>114614</v>
      </c>
      <c r="C7203" t="str">
        <f>"82192"</f>
        <v>82192</v>
      </c>
      <c r="D7203" t="s">
        <v>642</v>
      </c>
      <c r="E7203" s="1">
        <v>5956</v>
      </c>
      <c r="F7203">
        <v>20140305</v>
      </c>
      <c r="G7203" t="s">
        <v>643</v>
      </c>
      <c r="H7203" t="s">
        <v>488</v>
      </c>
      <c r="I7203" t="s">
        <v>21</v>
      </c>
    </row>
    <row r="7204" spans="1:9" x14ac:dyDescent="0.25">
      <c r="A7204">
        <v>20140306</v>
      </c>
      <c r="B7204" t="str">
        <f>"114615"</f>
        <v>114615</v>
      </c>
      <c r="C7204" t="str">
        <f>"86598"</f>
        <v>86598</v>
      </c>
      <c r="D7204" t="s">
        <v>1633</v>
      </c>
      <c r="E7204">
        <v>225</v>
      </c>
      <c r="F7204">
        <v>20140305</v>
      </c>
      <c r="G7204" t="s">
        <v>982</v>
      </c>
      <c r="H7204" t="s">
        <v>357</v>
      </c>
      <c r="I7204" t="s">
        <v>21</v>
      </c>
    </row>
    <row r="7205" spans="1:9" x14ac:dyDescent="0.25">
      <c r="A7205">
        <v>20140306</v>
      </c>
      <c r="B7205" t="str">
        <f>"114616"</f>
        <v>114616</v>
      </c>
      <c r="C7205" t="str">
        <f>"85770"</f>
        <v>85770</v>
      </c>
      <c r="D7205" t="s">
        <v>363</v>
      </c>
      <c r="E7205">
        <v>42.89</v>
      </c>
      <c r="F7205">
        <v>20140305</v>
      </c>
      <c r="G7205" t="s">
        <v>364</v>
      </c>
      <c r="H7205" t="s">
        <v>563</v>
      </c>
      <c r="I7205" t="s">
        <v>21</v>
      </c>
    </row>
    <row r="7206" spans="1:9" x14ac:dyDescent="0.25">
      <c r="A7206">
        <v>20140306</v>
      </c>
      <c r="B7206" t="str">
        <f>"114617"</f>
        <v>114617</v>
      </c>
      <c r="C7206" t="str">
        <f>"50950"</f>
        <v>50950</v>
      </c>
      <c r="D7206" t="s">
        <v>2240</v>
      </c>
      <c r="E7206">
        <v>-197.2</v>
      </c>
      <c r="F7206">
        <v>20140306</v>
      </c>
      <c r="G7206" t="s">
        <v>415</v>
      </c>
      <c r="H7206" t="s">
        <v>3569</v>
      </c>
      <c r="I7206" t="s">
        <v>21</v>
      </c>
    </row>
    <row r="7207" spans="1:9" x14ac:dyDescent="0.25">
      <c r="A7207">
        <v>20140306</v>
      </c>
      <c r="B7207" t="str">
        <f>"114617"</f>
        <v>114617</v>
      </c>
      <c r="C7207" t="str">
        <f>"50950"</f>
        <v>50950</v>
      </c>
      <c r="D7207" t="s">
        <v>2240</v>
      </c>
      <c r="E7207">
        <v>479</v>
      </c>
      <c r="F7207">
        <v>20140305</v>
      </c>
      <c r="G7207" t="s">
        <v>159</v>
      </c>
      <c r="H7207" t="s">
        <v>3570</v>
      </c>
      <c r="I7207" t="s">
        <v>25</v>
      </c>
    </row>
    <row r="7208" spans="1:9" x14ac:dyDescent="0.25">
      <c r="A7208">
        <v>20140306</v>
      </c>
      <c r="B7208" t="str">
        <f>"114618"</f>
        <v>114618</v>
      </c>
      <c r="C7208" t="str">
        <f>"53300"</f>
        <v>53300</v>
      </c>
      <c r="D7208" t="s">
        <v>1491</v>
      </c>
      <c r="E7208">
        <v>11.99</v>
      </c>
      <c r="F7208">
        <v>20140305</v>
      </c>
      <c r="G7208" t="s">
        <v>482</v>
      </c>
      <c r="H7208" t="s">
        <v>414</v>
      </c>
      <c r="I7208" t="s">
        <v>21</v>
      </c>
    </row>
    <row r="7209" spans="1:9" x14ac:dyDescent="0.25">
      <c r="A7209">
        <v>20140306</v>
      </c>
      <c r="B7209" t="str">
        <f>"114618"</f>
        <v>114618</v>
      </c>
      <c r="C7209" t="str">
        <f>"53300"</f>
        <v>53300</v>
      </c>
      <c r="D7209" t="s">
        <v>1491</v>
      </c>
      <c r="E7209">
        <v>101.81</v>
      </c>
      <c r="F7209">
        <v>20140305</v>
      </c>
      <c r="G7209" t="s">
        <v>415</v>
      </c>
      <c r="H7209" t="s">
        <v>414</v>
      </c>
      <c r="I7209" t="s">
        <v>21</v>
      </c>
    </row>
    <row r="7210" spans="1:9" x14ac:dyDescent="0.25">
      <c r="A7210">
        <v>20140306</v>
      </c>
      <c r="B7210" t="str">
        <f>"114618"</f>
        <v>114618</v>
      </c>
      <c r="C7210" t="str">
        <f>"53300"</f>
        <v>53300</v>
      </c>
      <c r="D7210" t="s">
        <v>1491</v>
      </c>
      <c r="E7210">
        <v>25.15</v>
      </c>
      <c r="F7210">
        <v>20140305</v>
      </c>
      <c r="G7210" t="s">
        <v>392</v>
      </c>
      <c r="H7210" t="s">
        <v>414</v>
      </c>
      <c r="I7210" t="s">
        <v>21</v>
      </c>
    </row>
    <row r="7211" spans="1:9" x14ac:dyDescent="0.25">
      <c r="A7211">
        <v>20140306</v>
      </c>
      <c r="B7211" t="str">
        <f>"114618"</f>
        <v>114618</v>
      </c>
      <c r="C7211" t="str">
        <f>"53300"</f>
        <v>53300</v>
      </c>
      <c r="D7211" t="s">
        <v>1491</v>
      </c>
      <c r="E7211">
        <v>0.69</v>
      </c>
      <c r="F7211">
        <v>20140305</v>
      </c>
      <c r="G7211" t="s">
        <v>531</v>
      </c>
      <c r="H7211" t="s">
        <v>414</v>
      </c>
      <c r="I7211" t="s">
        <v>21</v>
      </c>
    </row>
    <row r="7212" spans="1:9" x14ac:dyDescent="0.25">
      <c r="A7212">
        <v>20140306</v>
      </c>
      <c r="B7212" t="str">
        <f>"114619"</f>
        <v>114619</v>
      </c>
      <c r="C7212" t="str">
        <f>"86968"</f>
        <v>86968</v>
      </c>
      <c r="D7212" t="s">
        <v>927</v>
      </c>
      <c r="E7212">
        <v>158.4</v>
      </c>
      <c r="F7212">
        <v>20140305</v>
      </c>
      <c r="G7212" t="s">
        <v>584</v>
      </c>
      <c r="H7212" t="s">
        <v>3571</v>
      </c>
      <c r="I7212" t="s">
        <v>21</v>
      </c>
    </row>
    <row r="7213" spans="1:9" x14ac:dyDescent="0.25">
      <c r="A7213">
        <v>20140306</v>
      </c>
      <c r="B7213" t="str">
        <f>"114620"</f>
        <v>114620</v>
      </c>
      <c r="C7213" t="str">
        <f>"82978"</f>
        <v>82978</v>
      </c>
      <c r="D7213" t="s">
        <v>2245</v>
      </c>
      <c r="E7213" s="1">
        <v>3334.96</v>
      </c>
      <c r="F7213">
        <v>20140305</v>
      </c>
      <c r="G7213" t="s">
        <v>1064</v>
      </c>
      <c r="H7213" t="s">
        <v>3572</v>
      </c>
      <c r="I7213" t="s">
        <v>21</v>
      </c>
    </row>
    <row r="7214" spans="1:9" x14ac:dyDescent="0.25">
      <c r="A7214">
        <v>20140306</v>
      </c>
      <c r="B7214" t="str">
        <f>"114620"</f>
        <v>114620</v>
      </c>
      <c r="C7214" t="str">
        <f>"82978"</f>
        <v>82978</v>
      </c>
      <c r="D7214" t="s">
        <v>2245</v>
      </c>
      <c r="E7214">
        <v>87.01</v>
      </c>
      <c r="F7214">
        <v>20140305</v>
      </c>
      <c r="G7214" t="s">
        <v>840</v>
      </c>
      <c r="H7214" t="s">
        <v>3573</v>
      </c>
      <c r="I7214" t="s">
        <v>21</v>
      </c>
    </row>
    <row r="7215" spans="1:9" x14ac:dyDescent="0.25">
      <c r="A7215">
        <v>20140306</v>
      </c>
      <c r="B7215" t="str">
        <f>"114621"</f>
        <v>114621</v>
      </c>
      <c r="C7215" t="str">
        <f>"55625"</f>
        <v>55625</v>
      </c>
      <c r="D7215" t="s">
        <v>1639</v>
      </c>
      <c r="E7215">
        <v>75.489999999999995</v>
      </c>
      <c r="F7215">
        <v>20140304</v>
      </c>
      <c r="G7215" t="s">
        <v>154</v>
      </c>
      <c r="H7215" t="s">
        <v>414</v>
      </c>
      <c r="I7215" t="s">
        <v>25</v>
      </c>
    </row>
    <row r="7216" spans="1:9" x14ac:dyDescent="0.25">
      <c r="A7216">
        <v>20140306</v>
      </c>
      <c r="B7216" t="str">
        <f>"114622"</f>
        <v>114622</v>
      </c>
      <c r="C7216" t="str">
        <f>"55675"</f>
        <v>55675</v>
      </c>
      <c r="D7216" t="s">
        <v>1114</v>
      </c>
      <c r="E7216">
        <v>73.739999999999995</v>
      </c>
      <c r="F7216">
        <v>20140304</v>
      </c>
      <c r="G7216" t="s">
        <v>1910</v>
      </c>
      <c r="H7216" t="s">
        <v>414</v>
      </c>
      <c r="I7216" t="s">
        <v>21</v>
      </c>
    </row>
    <row r="7217" spans="1:9" x14ac:dyDescent="0.25">
      <c r="A7217">
        <v>20140306</v>
      </c>
      <c r="B7217" t="str">
        <f>"114622"</f>
        <v>114622</v>
      </c>
      <c r="C7217" t="str">
        <f>"55675"</f>
        <v>55675</v>
      </c>
      <c r="D7217" t="s">
        <v>1114</v>
      </c>
      <c r="E7217">
        <v>25.99</v>
      </c>
      <c r="F7217">
        <v>20140304</v>
      </c>
      <c r="G7217" t="s">
        <v>154</v>
      </c>
      <c r="H7217" t="s">
        <v>414</v>
      </c>
      <c r="I7217" t="s">
        <v>25</v>
      </c>
    </row>
    <row r="7218" spans="1:9" x14ac:dyDescent="0.25">
      <c r="A7218">
        <v>20140306</v>
      </c>
      <c r="B7218" t="str">
        <f>"114622"</f>
        <v>114622</v>
      </c>
      <c r="C7218" t="str">
        <f>"55675"</f>
        <v>55675</v>
      </c>
      <c r="D7218" t="s">
        <v>1114</v>
      </c>
      <c r="E7218">
        <v>90.99</v>
      </c>
      <c r="F7218">
        <v>20140304</v>
      </c>
      <c r="G7218" t="s">
        <v>154</v>
      </c>
      <c r="H7218" t="s">
        <v>414</v>
      </c>
      <c r="I7218" t="s">
        <v>25</v>
      </c>
    </row>
    <row r="7219" spans="1:9" x14ac:dyDescent="0.25">
      <c r="A7219">
        <v>20140306</v>
      </c>
      <c r="B7219" t="str">
        <f>"114623"</f>
        <v>114623</v>
      </c>
      <c r="C7219" t="str">
        <f>"83263"</f>
        <v>83263</v>
      </c>
      <c r="D7219" t="s">
        <v>2876</v>
      </c>
      <c r="E7219">
        <v>40.5</v>
      </c>
      <c r="F7219">
        <v>20140305</v>
      </c>
      <c r="G7219" t="s">
        <v>410</v>
      </c>
      <c r="H7219" t="s">
        <v>411</v>
      </c>
      <c r="I7219" t="s">
        <v>12</v>
      </c>
    </row>
    <row r="7220" spans="1:9" x14ac:dyDescent="0.25">
      <c r="A7220">
        <v>20140306</v>
      </c>
      <c r="B7220" t="str">
        <f>"114624"</f>
        <v>114624</v>
      </c>
      <c r="C7220" t="str">
        <f>"86964"</f>
        <v>86964</v>
      </c>
      <c r="D7220" t="s">
        <v>1280</v>
      </c>
      <c r="E7220" s="1">
        <v>2386.88</v>
      </c>
      <c r="F7220">
        <v>20140304</v>
      </c>
      <c r="G7220" t="s">
        <v>2147</v>
      </c>
      <c r="H7220" t="s">
        <v>3574</v>
      </c>
      <c r="I7220" t="s">
        <v>21</v>
      </c>
    </row>
    <row r="7221" spans="1:9" x14ac:dyDescent="0.25">
      <c r="A7221">
        <v>20140306</v>
      </c>
      <c r="B7221" t="str">
        <f>"114624"</f>
        <v>114624</v>
      </c>
      <c r="C7221" t="str">
        <f>"86964"</f>
        <v>86964</v>
      </c>
      <c r="D7221" t="s">
        <v>1280</v>
      </c>
      <c r="E7221" s="1">
        <v>4120.5</v>
      </c>
      <c r="F7221">
        <v>20140304</v>
      </c>
      <c r="G7221" t="s">
        <v>2147</v>
      </c>
      <c r="H7221" t="s">
        <v>3574</v>
      </c>
      <c r="I7221" t="s">
        <v>21</v>
      </c>
    </row>
    <row r="7222" spans="1:9" x14ac:dyDescent="0.25">
      <c r="A7222">
        <v>20140306</v>
      </c>
      <c r="B7222" t="str">
        <f>"114624"</f>
        <v>114624</v>
      </c>
      <c r="C7222" t="str">
        <f>"86964"</f>
        <v>86964</v>
      </c>
      <c r="D7222" t="s">
        <v>1280</v>
      </c>
      <c r="E7222" s="1">
        <v>31850</v>
      </c>
      <c r="F7222">
        <v>20140304</v>
      </c>
      <c r="G7222" t="s">
        <v>2147</v>
      </c>
      <c r="H7222" t="s">
        <v>3574</v>
      </c>
      <c r="I7222" t="s">
        <v>21</v>
      </c>
    </row>
    <row r="7223" spans="1:9" x14ac:dyDescent="0.25">
      <c r="A7223">
        <v>20140306</v>
      </c>
      <c r="B7223" t="str">
        <f>"114625"</f>
        <v>114625</v>
      </c>
      <c r="C7223" t="str">
        <f>"86795"</f>
        <v>86795</v>
      </c>
      <c r="D7223" t="s">
        <v>430</v>
      </c>
      <c r="E7223">
        <v>27.45</v>
      </c>
      <c r="F7223">
        <v>20140305</v>
      </c>
      <c r="G7223" t="s">
        <v>410</v>
      </c>
      <c r="H7223" t="s">
        <v>411</v>
      </c>
      <c r="I7223" t="s">
        <v>12</v>
      </c>
    </row>
    <row r="7224" spans="1:9" x14ac:dyDescent="0.25">
      <c r="A7224">
        <v>20140306</v>
      </c>
      <c r="B7224" t="str">
        <f>"114626"</f>
        <v>114626</v>
      </c>
      <c r="C7224" t="str">
        <f>"81651"</f>
        <v>81651</v>
      </c>
      <c r="D7224" t="s">
        <v>3575</v>
      </c>
      <c r="E7224">
        <v>440</v>
      </c>
      <c r="F7224">
        <v>20140304</v>
      </c>
      <c r="G7224" t="s">
        <v>3576</v>
      </c>
      <c r="H7224" t="s">
        <v>679</v>
      </c>
      <c r="I7224" t="s">
        <v>21</v>
      </c>
    </row>
    <row r="7225" spans="1:9" x14ac:dyDescent="0.25">
      <c r="A7225">
        <v>20140306</v>
      </c>
      <c r="B7225" t="str">
        <f>"114627"</f>
        <v>114627</v>
      </c>
      <c r="C7225" t="str">
        <f>"60450"</f>
        <v>60450</v>
      </c>
      <c r="D7225" t="s">
        <v>1917</v>
      </c>
      <c r="E7225">
        <v>361.51</v>
      </c>
      <c r="F7225">
        <v>20140305</v>
      </c>
      <c r="G7225" t="s">
        <v>582</v>
      </c>
      <c r="H7225" t="s">
        <v>3577</v>
      </c>
      <c r="I7225" t="s">
        <v>21</v>
      </c>
    </row>
    <row r="7226" spans="1:9" x14ac:dyDescent="0.25">
      <c r="A7226">
        <v>20140306</v>
      </c>
      <c r="B7226" t="str">
        <f>"114628"</f>
        <v>114628</v>
      </c>
      <c r="C7226" t="str">
        <f>"87771"</f>
        <v>87771</v>
      </c>
      <c r="D7226" t="s">
        <v>3578</v>
      </c>
      <c r="E7226">
        <v>143.85</v>
      </c>
      <c r="F7226">
        <v>20140304</v>
      </c>
      <c r="G7226" t="s">
        <v>23</v>
      </c>
      <c r="H7226" t="s">
        <v>3579</v>
      </c>
      <c r="I7226" t="s">
        <v>25</v>
      </c>
    </row>
    <row r="7227" spans="1:9" x14ac:dyDescent="0.25">
      <c r="A7227">
        <v>20140306</v>
      </c>
      <c r="B7227" t="str">
        <f>"114629"</f>
        <v>114629</v>
      </c>
      <c r="C7227" t="str">
        <f>"84214"</f>
        <v>84214</v>
      </c>
      <c r="D7227" t="s">
        <v>431</v>
      </c>
      <c r="E7227">
        <v>37.799999999999997</v>
      </c>
      <c r="F7227">
        <v>20140305</v>
      </c>
      <c r="G7227" t="s">
        <v>410</v>
      </c>
      <c r="H7227" t="s">
        <v>411</v>
      </c>
      <c r="I7227" t="s">
        <v>12</v>
      </c>
    </row>
    <row r="7228" spans="1:9" x14ac:dyDescent="0.25">
      <c r="A7228">
        <v>20140306</v>
      </c>
      <c r="B7228" t="str">
        <f>"114630"</f>
        <v>114630</v>
      </c>
      <c r="C7228" t="str">
        <f>"62420"</f>
        <v>62420</v>
      </c>
      <c r="D7228" t="s">
        <v>1124</v>
      </c>
      <c r="E7228">
        <v>133.96</v>
      </c>
      <c r="F7228">
        <v>20140305</v>
      </c>
      <c r="G7228" t="s">
        <v>1067</v>
      </c>
      <c r="H7228" t="s">
        <v>3580</v>
      </c>
      <c r="I7228" t="s">
        <v>21</v>
      </c>
    </row>
    <row r="7229" spans="1:9" x14ac:dyDescent="0.25">
      <c r="A7229">
        <v>20140306</v>
      </c>
      <c r="B7229" t="str">
        <f>"114631"</f>
        <v>114631</v>
      </c>
      <c r="C7229" t="str">
        <f>"86761"</f>
        <v>86761</v>
      </c>
      <c r="D7229" t="s">
        <v>3581</v>
      </c>
      <c r="E7229" s="1">
        <v>1015.66</v>
      </c>
      <c r="F7229">
        <v>20140305</v>
      </c>
      <c r="G7229" t="s">
        <v>1087</v>
      </c>
      <c r="H7229" t="s">
        <v>3582</v>
      </c>
      <c r="I7229" t="s">
        <v>38</v>
      </c>
    </row>
    <row r="7230" spans="1:9" x14ac:dyDescent="0.25">
      <c r="A7230">
        <v>20140306</v>
      </c>
      <c r="B7230" t="str">
        <f>"114632"</f>
        <v>114632</v>
      </c>
      <c r="C7230" t="str">
        <f>"87463"</f>
        <v>87463</v>
      </c>
      <c r="D7230" t="s">
        <v>3433</v>
      </c>
      <c r="E7230">
        <v>61.83</v>
      </c>
      <c r="F7230">
        <v>20140304</v>
      </c>
      <c r="G7230" t="s">
        <v>1721</v>
      </c>
      <c r="H7230" t="s">
        <v>365</v>
      </c>
      <c r="I7230" t="s">
        <v>21</v>
      </c>
    </row>
    <row r="7231" spans="1:9" x14ac:dyDescent="0.25">
      <c r="A7231">
        <v>20140306</v>
      </c>
      <c r="B7231" t="str">
        <f>"114633"</f>
        <v>114633</v>
      </c>
      <c r="C7231" t="str">
        <f>"81162"</f>
        <v>81162</v>
      </c>
      <c r="D7231" t="s">
        <v>1802</v>
      </c>
      <c r="E7231" s="1">
        <v>1473.68</v>
      </c>
      <c r="F7231">
        <v>20140305</v>
      </c>
      <c r="G7231" t="s">
        <v>910</v>
      </c>
      <c r="H7231" t="s">
        <v>921</v>
      </c>
      <c r="I7231" t="s">
        <v>25</v>
      </c>
    </row>
    <row r="7232" spans="1:9" x14ac:dyDescent="0.25">
      <c r="A7232">
        <v>20140306</v>
      </c>
      <c r="B7232" t="str">
        <f>"114634"</f>
        <v>114634</v>
      </c>
      <c r="C7232" t="str">
        <f>"87773"</f>
        <v>87773</v>
      </c>
      <c r="D7232" t="s">
        <v>3583</v>
      </c>
      <c r="E7232">
        <v>71.98</v>
      </c>
      <c r="F7232">
        <v>20140304</v>
      </c>
      <c r="G7232" t="s">
        <v>1635</v>
      </c>
      <c r="H7232" t="s">
        <v>354</v>
      </c>
      <c r="I7232" t="s">
        <v>21</v>
      </c>
    </row>
    <row r="7233" spans="1:9" x14ac:dyDescent="0.25">
      <c r="A7233">
        <v>20140306</v>
      </c>
      <c r="B7233" t="str">
        <f>"114635"</f>
        <v>114635</v>
      </c>
      <c r="C7233" t="str">
        <f>"85004"</f>
        <v>85004</v>
      </c>
      <c r="D7233" t="s">
        <v>3584</v>
      </c>
      <c r="E7233">
        <v>13.3</v>
      </c>
      <c r="F7233">
        <v>20140304</v>
      </c>
      <c r="G7233" t="s">
        <v>39</v>
      </c>
      <c r="H7233" t="s">
        <v>354</v>
      </c>
      <c r="I7233" t="s">
        <v>38</v>
      </c>
    </row>
    <row r="7234" spans="1:9" x14ac:dyDescent="0.25">
      <c r="A7234">
        <v>20140306</v>
      </c>
      <c r="B7234" t="str">
        <f>"114636"</f>
        <v>114636</v>
      </c>
      <c r="C7234" t="str">
        <f>"82312"</f>
        <v>82312</v>
      </c>
      <c r="D7234" t="s">
        <v>3585</v>
      </c>
      <c r="E7234">
        <v>410</v>
      </c>
      <c r="F7234">
        <v>20140304</v>
      </c>
      <c r="G7234" t="s">
        <v>3586</v>
      </c>
      <c r="H7234" t="s">
        <v>3587</v>
      </c>
      <c r="I7234" t="s">
        <v>21</v>
      </c>
    </row>
    <row r="7235" spans="1:9" x14ac:dyDescent="0.25">
      <c r="A7235">
        <v>20140306</v>
      </c>
      <c r="B7235" t="str">
        <f>"114637"</f>
        <v>114637</v>
      </c>
      <c r="C7235" t="str">
        <f>"68960"</f>
        <v>68960</v>
      </c>
      <c r="D7235" t="s">
        <v>689</v>
      </c>
      <c r="E7235">
        <v>88</v>
      </c>
      <c r="F7235">
        <v>20140304</v>
      </c>
      <c r="G7235" t="s">
        <v>356</v>
      </c>
      <c r="H7235" t="s">
        <v>357</v>
      </c>
      <c r="I7235" t="s">
        <v>61</v>
      </c>
    </row>
    <row r="7236" spans="1:9" x14ac:dyDescent="0.25">
      <c r="A7236">
        <v>20140306</v>
      </c>
      <c r="B7236" t="str">
        <f>"114637"</f>
        <v>114637</v>
      </c>
      <c r="C7236" t="str">
        <f>"68960"</f>
        <v>68960</v>
      </c>
      <c r="D7236" t="s">
        <v>689</v>
      </c>
      <c r="E7236">
        <v>168</v>
      </c>
      <c r="F7236">
        <v>20140305</v>
      </c>
      <c r="G7236" t="s">
        <v>356</v>
      </c>
      <c r="H7236" t="s">
        <v>357</v>
      </c>
      <c r="I7236" t="s">
        <v>61</v>
      </c>
    </row>
    <row r="7237" spans="1:9" x14ac:dyDescent="0.25">
      <c r="A7237">
        <v>20140306</v>
      </c>
      <c r="B7237" t="str">
        <f>"114637"</f>
        <v>114637</v>
      </c>
      <c r="C7237" t="str">
        <f>"68960"</f>
        <v>68960</v>
      </c>
      <c r="D7237" t="s">
        <v>689</v>
      </c>
      <c r="E7237">
        <v>162.5</v>
      </c>
      <c r="F7237">
        <v>20140305</v>
      </c>
      <c r="G7237" t="s">
        <v>356</v>
      </c>
      <c r="H7237" t="s">
        <v>357</v>
      </c>
      <c r="I7237" t="s">
        <v>61</v>
      </c>
    </row>
    <row r="7238" spans="1:9" x14ac:dyDescent="0.25">
      <c r="A7238">
        <v>20140306</v>
      </c>
      <c r="B7238" t="str">
        <f>"114638"</f>
        <v>114638</v>
      </c>
      <c r="C7238" t="str">
        <f>"86376"</f>
        <v>86376</v>
      </c>
      <c r="D7238" t="s">
        <v>1661</v>
      </c>
      <c r="E7238" s="1">
        <v>5958</v>
      </c>
      <c r="F7238">
        <v>20140305</v>
      </c>
      <c r="G7238" t="s">
        <v>1399</v>
      </c>
      <c r="H7238" t="s">
        <v>3588</v>
      </c>
      <c r="I7238" t="s">
        <v>21</v>
      </c>
    </row>
    <row r="7239" spans="1:9" x14ac:dyDescent="0.25">
      <c r="A7239">
        <v>20140306</v>
      </c>
      <c r="B7239" t="str">
        <f>"114638"</f>
        <v>114638</v>
      </c>
      <c r="C7239" t="str">
        <f>"86376"</f>
        <v>86376</v>
      </c>
      <c r="D7239" t="s">
        <v>1661</v>
      </c>
      <c r="E7239">
        <v>599</v>
      </c>
      <c r="F7239">
        <v>20140305</v>
      </c>
      <c r="G7239" t="s">
        <v>1399</v>
      </c>
      <c r="H7239" t="s">
        <v>3589</v>
      </c>
      <c r="I7239" t="s">
        <v>21</v>
      </c>
    </row>
    <row r="7240" spans="1:9" x14ac:dyDescent="0.25">
      <c r="A7240">
        <v>20140306</v>
      </c>
      <c r="B7240" t="str">
        <f>"114639"</f>
        <v>114639</v>
      </c>
      <c r="C7240" t="str">
        <f>"83166"</f>
        <v>83166</v>
      </c>
      <c r="D7240" t="s">
        <v>3249</v>
      </c>
      <c r="E7240">
        <v>900</v>
      </c>
      <c r="F7240">
        <v>20140305</v>
      </c>
      <c r="G7240" t="s">
        <v>3250</v>
      </c>
      <c r="H7240" t="s">
        <v>3590</v>
      </c>
      <c r="I7240" t="s">
        <v>21</v>
      </c>
    </row>
    <row r="7241" spans="1:9" x14ac:dyDescent="0.25">
      <c r="A7241">
        <v>20140306</v>
      </c>
      <c r="B7241" t="str">
        <f>"114640"</f>
        <v>114640</v>
      </c>
      <c r="C7241" t="str">
        <f>"00753"</f>
        <v>00753</v>
      </c>
      <c r="D7241" t="s">
        <v>1941</v>
      </c>
      <c r="E7241">
        <v>255</v>
      </c>
      <c r="F7241">
        <v>20140305</v>
      </c>
      <c r="G7241" t="s">
        <v>347</v>
      </c>
      <c r="H7241" t="s">
        <v>361</v>
      </c>
      <c r="I7241" t="s">
        <v>61</v>
      </c>
    </row>
    <row r="7242" spans="1:9" x14ac:dyDescent="0.25">
      <c r="A7242">
        <v>20140306</v>
      </c>
      <c r="B7242" t="str">
        <f>"114640"</f>
        <v>114640</v>
      </c>
      <c r="C7242" t="str">
        <f>"00753"</f>
        <v>00753</v>
      </c>
      <c r="D7242" t="s">
        <v>1941</v>
      </c>
      <c r="E7242">
        <v>-255</v>
      </c>
      <c r="F7242">
        <v>20140320</v>
      </c>
      <c r="G7242" t="s">
        <v>347</v>
      </c>
      <c r="H7242" t="s">
        <v>3257</v>
      </c>
      <c r="I7242" t="s">
        <v>61</v>
      </c>
    </row>
    <row r="7243" spans="1:9" x14ac:dyDescent="0.25">
      <c r="A7243">
        <v>20140306</v>
      </c>
      <c r="B7243" t="str">
        <f>"114641"</f>
        <v>114641</v>
      </c>
      <c r="C7243" t="str">
        <f>"86254"</f>
        <v>86254</v>
      </c>
      <c r="D7243" t="s">
        <v>3445</v>
      </c>
      <c r="E7243">
        <v>350</v>
      </c>
      <c r="F7243">
        <v>20140305</v>
      </c>
      <c r="G7243" t="s">
        <v>2354</v>
      </c>
      <c r="H7243" t="s">
        <v>954</v>
      </c>
      <c r="I7243" t="s">
        <v>21</v>
      </c>
    </row>
    <row r="7244" spans="1:9" x14ac:dyDescent="0.25">
      <c r="A7244">
        <v>20140306</v>
      </c>
      <c r="B7244" t="str">
        <f>"114642"</f>
        <v>114642</v>
      </c>
      <c r="C7244" t="str">
        <f>"81527"</f>
        <v>81527</v>
      </c>
      <c r="D7244" t="s">
        <v>3591</v>
      </c>
      <c r="E7244">
        <v>352.01</v>
      </c>
      <c r="F7244">
        <v>20140305</v>
      </c>
      <c r="G7244" t="s">
        <v>347</v>
      </c>
      <c r="H7244" t="s">
        <v>1360</v>
      </c>
      <c r="I7244" t="s">
        <v>61</v>
      </c>
    </row>
    <row r="7245" spans="1:9" x14ac:dyDescent="0.25">
      <c r="A7245">
        <v>20140306</v>
      </c>
      <c r="B7245" t="str">
        <f>"114643"</f>
        <v>114643</v>
      </c>
      <c r="C7245" t="str">
        <f>"87616"</f>
        <v>87616</v>
      </c>
      <c r="D7245" t="s">
        <v>711</v>
      </c>
      <c r="E7245">
        <v>75</v>
      </c>
      <c r="F7245">
        <v>20140305</v>
      </c>
      <c r="G7245" t="s">
        <v>1030</v>
      </c>
      <c r="H7245" t="s">
        <v>2418</v>
      </c>
      <c r="I7245" t="s">
        <v>63</v>
      </c>
    </row>
    <row r="7246" spans="1:9" x14ac:dyDescent="0.25">
      <c r="A7246">
        <v>20140306</v>
      </c>
      <c r="B7246" t="str">
        <f>"114643"</f>
        <v>114643</v>
      </c>
      <c r="C7246" t="str">
        <f>"87616"</f>
        <v>87616</v>
      </c>
      <c r="D7246" t="s">
        <v>711</v>
      </c>
      <c r="E7246">
        <v>114</v>
      </c>
      <c r="F7246">
        <v>20140305</v>
      </c>
      <c r="G7246" t="s">
        <v>271</v>
      </c>
      <c r="H7246" t="s">
        <v>2418</v>
      </c>
      <c r="I7246" t="s">
        <v>25</v>
      </c>
    </row>
    <row r="7247" spans="1:9" x14ac:dyDescent="0.25">
      <c r="A7247">
        <v>20140306</v>
      </c>
      <c r="B7247" t="str">
        <f>"114643"</f>
        <v>114643</v>
      </c>
      <c r="C7247" t="str">
        <f>"87616"</f>
        <v>87616</v>
      </c>
      <c r="D7247" t="s">
        <v>711</v>
      </c>
      <c r="E7247">
        <v>596</v>
      </c>
      <c r="F7247">
        <v>20140305</v>
      </c>
      <c r="G7247" t="s">
        <v>184</v>
      </c>
      <c r="H7247" t="s">
        <v>2418</v>
      </c>
      <c r="I7247" t="s">
        <v>25</v>
      </c>
    </row>
    <row r="7248" spans="1:9" x14ac:dyDescent="0.25">
      <c r="A7248">
        <v>20140306</v>
      </c>
      <c r="B7248" t="str">
        <f>"114644"</f>
        <v>114644</v>
      </c>
      <c r="C7248" t="str">
        <f>"69310"</f>
        <v>69310</v>
      </c>
      <c r="D7248" t="s">
        <v>716</v>
      </c>
      <c r="E7248">
        <v>69.290000000000006</v>
      </c>
      <c r="F7248">
        <v>20140305</v>
      </c>
      <c r="G7248" t="s">
        <v>718</v>
      </c>
      <c r="H7248" t="s">
        <v>488</v>
      </c>
      <c r="I7248" t="s">
        <v>21</v>
      </c>
    </row>
    <row r="7249" spans="1:9" x14ac:dyDescent="0.25">
      <c r="A7249">
        <v>20140306</v>
      </c>
      <c r="B7249" t="str">
        <f>"114644"</f>
        <v>114644</v>
      </c>
      <c r="C7249" t="str">
        <f>"69310"</f>
        <v>69310</v>
      </c>
      <c r="D7249" t="s">
        <v>716</v>
      </c>
      <c r="E7249" s="1">
        <v>3021.7</v>
      </c>
      <c r="F7249">
        <v>20140305</v>
      </c>
      <c r="G7249" t="s">
        <v>724</v>
      </c>
      <c r="H7249" t="s">
        <v>488</v>
      </c>
      <c r="I7249" t="s">
        <v>21</v>
      </c>
    </row>
    <row r="7250" spans="1:9" x14ac:dyDescent="0.25">
      <c r="A7250">
        <v>20140306</v>
      </c>
      <c r="B7250" t="str">
        <f>"114644"</f>
        <v>114644</v>
      </c>
      <c r="C7250" t="str">
        <f>"69310"</f>
        <v>69310</v>
      </c>
      <c r="D7250" t="s">
        <v>716</v>
      </c>
      <c r="E7250">
        <v>98.03</v>
      </c>
      <c r="F7250">
        <v>20140305</v>
      </c>
      <c r="G7250" t="s">
        <v>725</v>
      </c>
      <c r="H7250" t="s">
        <v>488</v>
      </c>
      <c r="I7250" t="s">
        <v>21</v>
      </c>
    </row>
    <row r="7251" spans="1:9" x14ac:dyDescent="0.25">
      <c r="A7251">
        <v>20140306</v>
      </c>
      <c r="B7251" t="str">
        <f>"114644"</f>
        <v>114644</v>
      </c>
      <c r="C7251" t="str">
        <f>"69310"</f>
        <v>69310</v>
      </c>
      <c r="D7251" t="s">
        <v>716</v>
      </c>
      <c r="E7251" s="1">
        <v>3095.51</v>
      </c>
      <c r="F7251">
        <v>20140305</v>
      </c>
      <c r="G7251" t="s">
        <v>728</v>
      </c>
      <c r="H7251" t="s">
        <v>488</v>
      </c>
      <c r="I7251" t="s">
        <v>21</v>
      </c>
    </row>
    <row r="7252" spans="1:9" x14ac:dyDescent="0.25">
      <c r="A7252">
        <v>20140306</v>
      </c>
      <c r="B7252" t="str">
        <f>"114644"</f>
        <v>114644</v>
      </c>
      <c r="C7252" t="str">
        <f>"69310"</f>
        <v>69310</v>
      </c>
      <c r="D7252" t="s">
        <v>716</v>
      </c>
      <c r="E7252">
        <v>236.33</v>
      </c>
      <c r="F7252">
        <v>20140305</v>
      </c>
      <c r="G7252" t="s">
        <v>729</v>
      </c>
      <c r="H7252" t="s">
        <v>488</v>
      </c>
      <c r="I7252" t="s">
        <v>21</v>
      </c>
    </row>
    <row r="7253" spans="1:9" x14ac:dyDescent="0.25">
      <c r="A7253">
        <v>20140306</v>
      </c>
      <c r="B7253" t="str">
        <f>"114645"</f>
        <v>114645</v>
      </c>
      <c r="C7253" t="str">
        <f>"00372"</f>
        <v>00372</v>
      </c>
      <c r="D7253" t="s">
        <v>979</v>
      </c>
      <c r="E7253">
        <v>470</v>
      </c>
      <c r="F7253">
        <v>20140305</v>
      </c>
      <c r="G7253" t="s">
        <v>965</v>
      </c>
      <c r="H7253" t="s">
        <v>3592</v>
      </c>
      <c r="I7253" t="s">
        <v>21</v>
      </c>
    </row>
    <row r="7254" spans="1:9" x14ac:dyDescent="0.25">
      <c r="A7254">
        <v>20140306</v>
      </c>
      <c r="B7254" t="str">
        <f>"114646"</f>
        <v>114646</v>
      </c>
      <c r="C7254" t="str">
        <f>"76915"</f>
        <v>76915</v>
      </c>
      <c r="D7254" t="s">
        <v>1324</v>
      </c>
      <c r="E7254">
        <v>25.65</v>
      </c>
      <c r="F7254">
        <v>20140305</v>
      </c>
      <c r="G7254" t="s">
        <v>413</v>
      </c>
      <c r="H7254" t="s">
        <v>414</v>
      </c>
      <c r="I7254" t="s">
        <v>21</v>
      </c>
    </row>
    <row r="7255" spans="1:9" x14ac:dyDescent="0.25">
      <c r="A7255">
        <v>20140306</v>
      </c>
      <c r="B7255" t="str">
        <f>"114647"</f>
        <v>114647</v>
      </c>
      <c r="C7255" t="str">
        <f>"77126"</f>
        <v>77126</v>
      </c>
      <c r="D7255" t="s">
        <v>3454</v>
      </c>
      <c r="E7255" s="1">
        <v>3190</v>
      </c>
      <c r="F7255">
        <v>20140305</v>
      </c>
      <c r="G7255" t="s">
        <v>3430</v>
      </c>
      <c r="H7255" t="s">
        <v>3593</v>
      </c>
      <c r="I7255" t="s">
        <v>61</v>
      </c>
    </row>
    <row r="7256" spans="1:9" x14ac:dyDescent="0.25">
      <c r="A7256">
        <v>20140306</v>
      </c>
      <c r="B7256" t="str">
        <f>"114648"</f>
        <v>114648</v>
      </c>
      <c r="C7256" t="str">
        <f>"77173"</f>
        <v>77173</v>
      </c>
      <c r="D7256" t="s">
        <v>741</v>
      </c>
      <c r="E7256" s="1">
        <v>1000</v>
      </c>
      <c r="F7256">
        <v>20140305</v>
      </c>
      <c r="G7256" t="s">
        <v>742</v>
      </c>
      <c r="H7256" t="s">
        <v>743</v>
      </c>
      <c r="I7256" t="s">
        <v>21</v>
      </c>
    </row>
    <row r="7257" spans="1:9" x14ac:dyDescent="0.25">
      <c r="A7257">
        <v>20140306</v>
      </c>
      <c r="B7257" t="str">
        <f>"114648"</f>
        <v>114648</v>
      </c>
      <c r="C7257" t="str">
        <f>"77173"</f>
        <v>77173</v>
      </c>
      <c r="D7257" t="s">
        <v>741</v>
      </c>
      <c r="E7257" s="1">
        <v>1313.5</v>
      </c>
      <c r="F7257">
        <v>20140305</v>
      </c>
      <c r="G7257" t="s">
        <v>742</v>
      </c>
      <c r="H7257" t="s">
        <v>743</v>
      </c>
      <c r="I7257" t="s">
        <v>21</v>
      </c>
    </row>
    <row r="7258" spans="1:9" x14ac:dyDescent="0.25">
      <c r="A7258">
        <v>20140306</v>
      </c>
      <c r="B7258" t="str">
        <f>"114649"</f>
        <v>114649</v>
      </c>
      <c r="C7258" t="str">
        <f>"00109"</f>
        <v>00109</v>
      </c>
      <c r="D7258" t="s">
        <v>3256</v>
      </c>
      <c r="E7258">
        <v>150</v>
      </c>
      <c r="F7258">
        <v>20140305</v>
      </c>
      <c r="G7258" t="s">
        <v>347</v>
      </c>
      <c r="H7258" t="s">
        <v>361</v>
      </c>
      <c r="I7258" t="s">
        <v>61</v>
      </c>
    </row>
    <row r="7259" spans="1:9" x14ac:dyDescent="0.25">
      <c r="A7259">
        <v>20140306</v>
      </c>
      <c r="B7259" t="str">
        <f>"114650"</f>
        <v>114650</v>
      </c>
      <c r="C7259" t="str">
        <f>"84982"</f>
        <v>84982</v>
      </c>
      <c r="D7259" t="s">
        <v>1951</v>
      </c>
      <c r="E7259">
        <v>60.95</v>
      </c>
      <c r="F7259">
        <v>20140305</v>
      </c>
      <c r="G7259" t="s">
        <v>789</v>
      </c>
      <c r="H7259" t="s">
        <v>790</v>
      </c>
      <c r="I7259" t="s">
        <v>61</v>
      </c>
    </row>
    <row r="7260" spans="1:9" x14ac:dyDescent="0.25">
      <c r="A7260">
        <v>20140306</v>
      </c>
      <c r="B7260" t="str">
        <f>"114651"</f>
        <v>114651</v>
      </c>
      <c r="C7260" t="str">
        <f>"00067"</f>
        <v>00067</v>
      </c>
      <c r="D7260" t="s">
        <v>1327</v>
      </c>
      <c r="E7260">
        <v>231.14</v>
      </c>
      <c r="F7260">
        <v>20140305</v>
      </c>
      <c r="G7260" t="s">
        <v>356</v>
      </c>
      <c r="H7260" t="s">
        <v>357</v>
      </c>
      <c r="I7260" t="s">
        <v>61</v>
      </c>
    </row>
    <row r="7261" spans="1:9" x14ac:dyDescent="0.25">
      <c r="A7261">
        <v>20140306</v>
      </c>
      <c r="B7261" t="str">
        <f>"114651"</f>
        <v>114651</v>
      </c>
      <c r="C7261" t="str">
        <f>"00067"</f>
        <v>00067</v>
      </c>
      <c r="D7261" t="s">
        <v>1327</v>
      </c>
      <c r="E7261">
        <v>305.92</v>
      </c>
      <c r="F7261">
        <v>20140305</v>
      </c>
      <c r="G7261" t="s">
        <v>356</v>
      </c>
      <c r="H7261" t="s">
        <v>357</v>
      </c>
      <c r="I7261" t="s">
        <v>61</v>
      </c>
    </row>
    <row r="7262" spans="1:9" x14ac:dyDescent="0.25">
      <c r="A7262">
        <v>20140306</v>
      </c>
      <c r="B7262" t="str">
        <f>"114652"</f>
        <v>114652</v>
      </c>
      <c r="C7262" t="str">
        <f>"00072"</f>
        <v>00072</v>
      </c>
      <c r="D7262" t="s">
        <v>3594</v>
      </c>
      <c r="E7262">
        <v>256.19</v>
      </c>
      <c r="F7262">
        <v>20140305</v>
      </c>
      <c r="G7262" t="s">
        <v>356</v>
      </c>
      <c r="H7262" t="s">
        <v>357</v>
      </c>
      <c r="I7262" t="s">
        <v>61</v>
      </c>
    </row>
    <row r="7263" spans="1:9" x14ac:dyDescent="0.25">
      <c r="A7263">
        <v>20140306</v>
      </c>
      <c r="B7263" t="str">
        <f>"114653"</f>
        <v>114653</v>
      </c>
      <c r="C7263" t="str">
        <f>"85780"</f>
        <v>85780</v>
      </c>
      <c r="D7263" t="s">
        <v>402</v>
      </c>
      <c r="E7263">
        <v>540</v>
      </c>
      <c r="F7263">
        <v>20140305</v>
      </c>
      <c r="G7263" t="s">
        <v>356</v>
      </c>
      <c r="H7263" t="s">
        <v>357</v>
      </c>
      <c r="I7263" t="s">
        <v>61</v>
      </c>
    </row>
    <row r="7264" spans="1:9" x14ac:dyDescent="0.25">
      <c r="A7264">
        <v>20140306</v>
      </c>
      <c r="B7264" t="str">
        <f>"114654"</f>
        <v>114654</v>
      </c>
      <c r="C7264" t="str">
        <f>"85780"</f>
        <v>85780</v>
      </c>
      <c r="D7264" t="s">
        <v>402</v>
      </c>
      <c r="E7264">
        <v>420</v>
      </c>
      <c r="F7264">
        <v>20140305</v>
      </c>
      <c r="G7264" t="s">
        <v>356</v>
      </c>
      <c r="H7264" t="s">
        <v>357</v>
      </c>
      <c r="I7264" t="s">
        <v>61</v>
      </c>
    </row>
    <row r="7265" spans="1:9" x14ac:dyDescent="0.25">
      <c r="A7265">
        <v>20140306</v>
      </c>
      <c r="B7265" t="str">
        <f>"114655"</f>
        <v>114655</v>
      </c>
      <c r="C7265" t="str">
        <f>"85780"</f>
        <v>85780</v>
      </c>
      <c r="D7265" t="s">
        <v>402</v>
      </c>
      <c r="E7265">
        <v>360</v>
      </c>
      <c r="F7265">
        <v>20140305</v>
      </c>
      <c r="G7265" t="s">
        <v>356</v>
      </c>
      <c r="H7265" t="s">
        <v>357</v>
      </c>
      <c r="I7265" t="s">
        <v>61</v>
      </c>
    </row>
    <row r="7266" spans="1:9" x14ac:dyDescent="0.25">
      <c r="A7266">
        <v>20140306</v>
      </c>
      <c r="B7266" t="str">
        <f>"114656"</f>
        <v>114656</v>
      </c>
      <c r="C7266" t="str">
        <f>"79400"</f>
        <v>79400</v>
      </c>
      <c r="D7266" t="s">
        <v>1328</v>
      </c>
      <c r="E7266">
        <v>277.75</v>
      </c>
      <c r="F7266">
        <v>20140305</v>
      </c>
      <c r="G7266" t="s">
        <v>340</v>
      </c>
      <c r="H7266" t="s">
        <v>656</v>
      </c>
      <c r="I7266" t="s">
        <v>21</v>
      </c>
    </row>
    <row r="7267" spans="1:9" x14ac:dyDescent="0.25">
      <c r="A7267">
        <v>20140306</v>
      </c>
      <c r="B7267" t="str">
        <f>"114656"</f>
        <v>114656</v>
      </c>
      <c r="C7267" t="str">
        <f>"79400"</f>
        <v>79400</v>
      </c>
      <c r="D7267" t="s">
        <v>1328</v>
      </c>
      <c r="E7267" s="1">
        <v>26900.51</v>
      </c>
      <c r="F7267">
        <v>20140305</v>
      </c>
      <c r="G7267" t="s">
        <v>1329</v>
      </c>
      <c r="H7267" t="s">
        <v>1330</v>
      </c>
      <c r="I7267" t="s">
        <v>21</v>
      </c>
    </row>
    <row r="7268" spans="1:9" x14ac:dyDescent="0.25">
      <c r="A7268">
        <v>20140306</v>
      </c>
      <c r="B7268" t="str">
        <f>"114656"</f>
        <v>114656</v>
      </c>
      <c r="C7268" t="str">
        <f>"79400"</f>
        <v>79400</v>
      </c>
      <c r="D7268" t="s">
        <v>1328</v>
      </c>
      <c r="E7268">
        <v>501.6</v>
      </c>
      <c r="F7268">
        <v>20140305</v>
      </c>
      <c r="G7268" t="s">
        <v>496</v>
      </c>
      <c r="H7268" t="s">
        <v>414</v>
      </c>
      <c r="I7268" t="s">
        <v>21</v>
      </c>
    </row>
    <row r="7269" spans="1:9" x14ac:dyDescent="0.25">
      <c r="A7269">
        <v>20140306</v>
      </c>
      <c r="B7269" t="str">
        <f>"114657"</f>
        <v>114657</v>
      </c>
      <c r="C7269" t="str">
        <f>"19200"</f>
        <v>19200</v>
      </c>
      <c r="D7269" t="s">
        <v>436</v>
      </c>
      <c r="E7269">
        <v>44.1</v>
      </c>
      <c r="F7269">
        <v>20140305</v>
      </c>
      <c r="G7269" t="s">
        <v>410</v>
      </c>
      <c r="H7269" t="s">
        <v>411</v>
      </c>
      <c r="I7269" t="s">
        <v>12</v>
      </c>
    </row>
    <row r="7270" spans="1:9" x14ac:dyDescent="0.25">
      <c r="A7270">
        <v>20140306</v>
      </c>
      <c r="B7270" t="str">
        <f t="shared" ref="B7270:B7306" si="440">"114658"</f>
        <v>114658</v>
      </c>
      <c r="C7270" t="str">
        <f t="shared" ref="C7270:C7306" si="441">"80825"</f>
        <v>80825</v>
      </c>
      <c r="D7270" t="s">
        <v>747</v>
      </c>
      <c r="E7270">
        <v>276.89999999999998</v>
      </c>
      <c r="F7270">
        <v>20140305</v>
      </c>
      <c r="G7270" t="s">
        <v>748</v>
      </c>
      <c r="H7270" t="s">
        <v>749</v>
      </c>
      <c r="I7270" t="s">
        <v>21</v>
      </c>
    </row>
    <row r="7271" spans="1:9" x14ac:dyDescent="0.25">
      <c r="A7271">
        <v>20140306</v>
      </c>
      <c r="B7271" t="str">
        <f t="shared" si="440"/>
        <v>114658</v>
      </c>
      <c r="C7271" t="str">
        <f t="shared" si="441"/>
        <v>80825</v>
      </c>
      <c r="D7271" t="s">
        <v>747</v>
      </c>
      <c r="E7271" s="1">
        <v>2093.38</v>
      </c>
      <c r="F7271">
        <v>20140305</v>
      </c>
      <c r="G7271" t="s">
        <v>748</v>
      </c>
      <c r="H7271" t="s">
        <v>749</v>
      </c>
      <c r="I7271" t="s">
        <v>21</v>
      </c>
    </row>
    <row r="7272" spans="1:9" x14ac:dyDescent="0.25">
      <c r="A7272">
        <v>20140306</v>
      </c>
      <c r="B7272" t="str">
        <f t="shared" si="440"/>
        <v>114658</v>
      </c>
      <c r="C7272" t="str">
        <f t="shared" si="441"/>
        <v>80825</v>
      </c>
      <c r="D7272" t="s">
        <v>747</v>
      </c>
      <c r="E7272">
        <v>468.47</v>
      </c>
      <c r="F7272">
        <v>20140305</v>
      </c>
      <c r="G7272" t="s">
        <v>748</v>
      </c>
      <c r="H7272" t="s">
        <v>760</v>
      </c>
      <c r="I7272" t="s">
        <v>21</v>
      </c>
    </row>
    <row r="7273" spans="1:9" x14ac:dyDescent="0.25">
      <c r="A7273">
        <v>20140306</v>
      </c>
      <c r="B7273" t="str">
        <f t="shared" si="440"/>
        <v>114658</v>
      </c>
      <c r="C7273" t="str">
        <f t="shared" si="441"/>
        <v>80825</v>
      </c>
      <c r="D7273" t="s">
        <v>747</v>
      </c>
      <c r="E7273">
        <v>641.76</v>
      </c>
      <c r="F7273">
        <v>20140305</v>
      </c>
      <c r="G7273" t="s">
        <v>748</v>
      </c>
      <c r="H7273" t="s">
        <v>749</v>
      </c>
      <c r="I7273" t="s">
        <v>21</v>
      </c>
    </row>
    <row r="7274" spans="1:9" x14ac:dyDescent="0.25">
      <c r="A7274">
        <v>20140306</v>
      </c>
      <c r="B7274" t="str">
        <f t="shared" si="440"/>
        <v>114658</v>
      </c>
      <c r="C7274" t="str">
        <f t="shared" si="441"/>
        <v>80825</v>
      </c>
      <c r="D7274" t="s">
        <v>747</v>
      </c>
      <c r="E7274">
        <v>196.46</v>
      </c>
      <c r="F7274">
        <v>20140305</v>
      </c>
      <c r="G7274" t="s">
        <v>1551</v>
      </c>
      <c r="H7274" t="s">
        <v>749</v>
      </c>
      <c r="I7274" t="s">
        <v>21</v>
      </c>
    </row>
    <row r="7275" spans="1:9" x14ac:dyDescent="0.25">
      <c r="A7275">
        <v>20140306</v>
      </c>
      <c r="B7275" t="str">
        <f t="shared" si="440"/>
        <v>114658</v>
      </c>
      <c r="C7275" t="str">
        <f t="shared" si="441"/>
        <v>80825</v>
      </c>
      <c r="D7275" t="s">
        <v>747</v>
      </c>
      <c r="E7275">
        <v>670.6</v>
      </c>
      <c r="F7275">
        <v>20140305</v>
      </c>
      <c r="G7275" t="s">
        <v>750</v>
      </c>
      <c r="H7275" t="s">
        <v>749</v>
      </c>
      <c r="I7275" t="s">
        <v>21</v>
      </c>
    </row>
    <row r="7276" spans="1:9" x14ac:dyDescent="0.25">
      <c r="A7276">
        <v>20140306</v>
      </c>
      <c r="B7276" t="str">
        <f t="shared" si="440"/>
        <v>114658</v>
      </c>
      <c r="C7276" t="str">
        <f t="shared" si="441"/>
        <v>80825</v>
      </c>
      <c r="D7276" t="s">
        <v>747</v>
      </c>
      <c r="E7276">
        <v>670.6</v>
      </c>
      <c r="F7276">
        <v>20140305</v>
      </c>
      <c r="G7276" t="s">
        <v>750</v>
      </c>
      <c r="H7276" t="s">
        <v>749</v>
      </c>
      <c r="I7276" t="s">
        <v>21</v>
      </c>
    </row>
    <row r="7277" spans="1:9" x14ac:dyDescent="0.25">
      <c r="A7277">
        <v>20140306</v>
      </c>
      <c r="B7277" t="str">
        <f t="shared" si="440"/>
        <v>114658</v>
      </c>
      <c r="C7277" t="str">
        <f t="shared" si="441"/>
        <v>80825</v>
      </c>
      <c r="D7277" t="s">
        <v>747</v>
      </c>
      <c r="E7277">
        <v>320.88</v>
      </c>
      <c r="F7277">
        <v>20140305</v>
      </c>
      <c r="G7277" t="s">
        <v>750</v>
      </c>
      <c r="H7277" t="s">
        <v>749</v>
      </c>
      <c r="I7277" t="s">
        <v>21</v>
      </c>
    </row>
    <row r="7278" spans="1:9" x14ac:dyDescent="0.25">
      <c r="A7278">
        <v>20140306</v>
      </c>
      <c r="B7278" t="str">
        <f t="shared" si="440"/>
        <v>114658</v>
      </c>
      <c r="C7278" t="str">
        <f t="shared" si="441"/>
        <v>80825</v>
      </c>
      <c r="D7278" t="s">
        <v>747</v>
      </c>
      <c r="E7278">
        <v>670.6</v>
      </c>
      <c r="F7278">
        <v>20140305</v>
      </c>
      <c r="G7278" t="s">
        <v>752</v>
      </c>
      <c r="H7278" t="s">
        <v>749</v>
      </c>
      <c r="I7278" t="s">
        <v>21</v>
      </c>
    </row>
    <row r="7279" spans="1:9" x14ac:dyDescent="0.25">
      <c r="A7279">
        <v>20140306</v>
      </c>
      <c r="B7279" t="str">
        <f t="shared" si="440"/>
        <v>114658</v>
      </c>
      <c r="C7279" t="str">
        <f t="shared" si="441"/>
        <v>80825</v>
      </c>
      <c r="D7279" t="s">
        <v>747</v>
      </c>
      <c r="E7279">
        <v>320.88</v>
      </c>
      <c r="F7279">
        <v>20140305</v>
      </c>
      <c r="G7279" t="s">
        <v>752</v>
      </c>
      <c r="H7279" t="s">
        <v>749</v>
      </c>
      <c r="I7279" t="s">
        <v>21</v>
      </c>
    </row>
    <row r="7280" spans="1:9" x14ac:dyDescent="0.25">
      <c r="A7280">
        <v>20140306</v>
      </c>
      <c r="B7280" t="str">
        <f t="shared" si="440"/>
        <v>114658</v>
      </c>
      <c r="C7280" t="str">
        <f t="shared" si="441"/>
        <v>80825</v>
      </c>
      <c r="D7280" t="s">
        <v>747</v>
      </c>
      <c r="E7280">
        <v>582.95000000000005</v>
      </c>
      <c r="F7280">
        <v>20140305</v>
      </c>
      <c r="G7280" t="s">
        <v>753</v>
      </c>
      <c r="H7280" t="s">
        <v>749</v>
      </c>
      <c r="I7280" t="s">
        <v>21</v>
      </c>
    </row>
    <row r="7281" spans="1:9" x14ac:dyDescent="0.25">
      <c r="A7281">
        <v>20140306</v>
      </c>
      <c r="B7281" t="str">
        <f t="shared" si="440"/>
        <v>114658</v>
      </c>
      <c r="C7281" t="str">
        <f t="shared" si="441"/>
        <v>80825</v>
      </c>
      <c r="D7281" t="s">
        <v>747</v>
      </c>
      <c r="E7281">
        <v>582.95000000000005</v>
      </c>
      <c r="F7281">
        <v>20140305</v>
      </c>
      <c r="G7281" t="s">
        <v>753</v>
      </c>
      <c r="H7281" t="s">
        <v>749</v>
      </c>
      <c r="I7281" t="s">
        <v>21</v>
      </c>
    </row>
    <row r="7282" spans="1:9" x14ac:dyDescent="0.25">
      <c r="A7282">
        <v>20140306</v>
      </c>
      <c r="B7282" t="str">
        <f t="shared" si="440"/>
        <v>114658</v>
      </c>
      <c r="C7282" t="str">
        <f t="shared" si="441"/>
        <v>80825</v>
      </c>
      <c r="D7282" t="s">
        <v>747</v>
      </c>
      <c r="E7282">
        <v>320.88</v>
      </c>
      <c r="F7282">
        <v>20140305</v>
      </c>
      <c r="G7282" t="s">
        <v>753</v>
      </c>
      <c r="H7282" t="s">
        <v>749</v>
      </c>
      <c r="I7282" t="s">
        <v>21</v>
      </c>
    </row>
    <row r="7283" spans="1:9" x14ac:dyDescent="0.25">
      <c r="A7283">
        <v>20140306</v>
      </c>
      <c r="B7283" t="str">
        <f t="shared" si="440"/>
        <v>114658</v>
      </c>
      <c r="C7283" t="str">
        <f t="shared" si="441"/>
        <v>80825</v>
      </c>
      <c r="D7283" t="s">
        <v>747</v>
      </c>
      <c r="E7283">
        <v>582.95000000000005</v>
      </c>
      <c r="F7283">
        <v>20140305</v>
      </c>
      <c r="G7283" t="s">
        <v>754</v>
      </c>
      <c r="H7283" t="s">
        <v>749</v>
      </c>
      <c r="I7283" t="s">
        <v>21</v>
      </c>
    </row>
    <row r="7284" spans="1:9" x14ac:dyDescent="0.25">
      <c r="A7284">
        <v>20140306</v>
      </c>
      <c r="B7284" t="str">
        <f t="shared" si="440"/>
        <v>114658</v>
      </c>
      <c r="C7284" t="str">
        <f t="shared" si="441"/>
        <v>80825</v>
      </c>
      <c r="D7284" t="s">
        <v>747</v>
      </c>
      <c r="E7284">
        <v>582.95000000000005</v>
      </c>
      <c r="F7284">
        <v>20140305</v>
      </c>
      <c r="G7284" t="s">
        <v>754</v>
      </c>
      <c r="H7284" t="s">
        <v>749</v>
      </c>
      <c r="I7284" t="s">
        <v>21</v>
      </c>
    </row>
    <row r="7285" spans="1:9" x14ac:dyDescent="0.25">
      <c r="A7285">
        <v>20140306</v>
      </c>
      <c r="B7285" t="str">
        <f t="shared" si="440"/>
        <v>114658</v>
      </c>
      <c r="C7285" t="str">
        <f t="shared" si="441"/>
        <v>80825</v>
      </c>
      <c r="D7285" t="s">
        <v>747</v>
      </c>
      <c r="E7285">
        <v>320.88</v>
      </c>
      <c r="F7285">
        <v>20140305</v>
      </c>
      <c r="G7285" t="s">
        <v>754</v>
      </c>
      <c r="H7285" t="s">
        <v>749</v>
      </c>
      <c r="I7285" t="s">
        <v>21</v>
      </c>
    </row>
    <row r="7286" spans="1:9" x14ac:dyDescent="0.25">
      <c r="A7286">
        <v>20140306</v>
      </c>
      <c r="B7286" t="str">
        <f t="shared" si="440"/>
        <v>114658</v>
      </c>
      <c r="C7286" t="str">
        <f t="shared" si="441"/>
        <v>80825</v>
      </c>
      <c r="D7286" t="s">
        <v>747</v>
      </c>
      <c r="E7286">
        <v>582.95000000000005</v>
      </c>
      <c r="F7286">
        <v>20140305</v>
      </c>
      <c r="G7286" t="s">
        <v>990</v>
      </c>
      <c r="H7286" t="s">
        <v>749</v>
      </c>
      <c r="I7286" t="s">
        <v>21</v>
      </c>
    </row>
    <row r="7287" spans="1:9" x14ac:dyDescent="0.25">
      <c r="A7287">
        <v>20140306</v>
      </c>
      <c r="B7287" t="str">
        <f t="shared" si="440"/>
        <v>114658</v>
      </c>
      <c r="C7287" t="str">
        <f t="shared" si="441"/>
        <v>80825</v>
      </c>
      <c r="D7287" t="s">
        <v>747</v>
      </c>
      <c r="E7287">
        <v>582.95000000000005</v>
      </c>
      <c r="F7287">
        <v>20140305</v>
      </c>
      <c r="G7287" t="s">
        <v>990</v>
      </c>
      <c r="H7287" t="s">
        <v>749</v>
      </c>
      <c r="I7287" t="s">
        <v>21</v>
      </c>
    </row>
    <row r="7288" spans="1:9" x14ac:dyDescent="0.25">
      <c r="A7288">
        <v>20140306</v>
      </c>
      <c r="B7288" t="str">
        <f t="shared" si="440"/>
        <v>114658</v>
      </c>
      <c r="C7288" t="str">
        <f t="shared" si="441"/>
        <v>80825</v>
      </c>
      <c r="D7288" t="s">
        <v>747</v>
      </c>
      <c r="E7288">
        <v>320.88</v>
      </c>
      <c r="F7288">
        <v>20140305</v>
      </c>
      <c r="G7288" t="s">
        <v>990</v>
      </c>
      <c r="H7288" t="s">
        <v>749</v>
      </c>
      <c r="I7288" t="s">
        <v>21</v>
      </c>
    </row>
    <row r="7289" spans="1:9" x14ac:dyDescent="0.25">
      <c r="A7289">
        <v>20140306</v>
      </c>
      <c r="B7289" t="str">
        <f t="shared" si="440"/>
        <v>114658</v>
      </c>
      <c r="C7289" t="str">
        <f t="shared" si="441"/>
        <v>80825</v>
      </c>
      <c r="D7289" t="s">
        <v>747</v>
      </c>
      <c r="E7289">
        <v>582.95000000000005</v>
      </c>
      <c r="F7289">
        <v>20140305</v>
      </c>
      <c r="G7289" t="s">
        <v>755</v>
      </c>
      <c r="H7289" t="s">
        <v>749</v>
      </c>
      <c r="I7289" t="s">
        <v>21</v>
      </c>
    </row>
    <row r="7290" spans="1:9" x14ac:dyDescent="0.25">
      <c r="A7290">
        <v>20140306</v>
      </c>
      <c r="B7290" t="str">
        <f t="shared" si="440"/>
        <v>114658</v>
      </c>
      <c r="C7290" t="str">
        <f t="shared" si="441"/>
        <v>80825</v>
      </c>
      <c r="D7290" t="s">
        <v>747</v>
      </c>
      <c r="E7290">
        <v>320.88</v>
      </c>
      <c r="F7290">
        <v>20140305</v>
      </c>
      <c r="G7290" t="s">
        <v>755</v>
      </c>
      <c r="H7290" t="s">
        <v>749</v>
      </c>
      <c r="I7290" t="s">
        <v>21</v>
      </c>
    </row>
    <row r="7291" spans="1:9" x14ac:dyDescent="0.25">
      <c r="A7291">
        <v>20140306</v>
      </c>
      <c r="B7291" t="str">
        <f t="shared" si="440"/>
        <v>114658</v>
      </c>
      <c r="C7291" t="str">
        <f t="shared" si="441"/>
        <v>80825</v>
      </c>
      <c r="D7291" t="s">
        <v>747</v>
      </c>
      <c r="E7291">
        <v>582.95000000000005</v>
      </c>
      <c r="F7291">
        <v>20140305</v>
      </c>
      <c r="G7291" t="s">
        <v>756</v>
      </c>
      <c r="H7291" t="s">
        <v>749</v>
      </c>
      <c r="I7291" t="s">
        <v>21</v>
      </c>
    </row>
    <row r="7292" spans="1:9" x14ac:dyDescent="0.25">
      <c r="A7292">
        <v>20140306</v>
      </c>
      <c r="B7292" t="str">
        <f t="shared" si="440"/>
        <v>114658</v>
      </c>
      <c r="C7292" t="str">
        <f t="shared" si="441"/>
        <v>80825</v>
      </c>
      <c r="D7292" t="s">
        <v>747</v>
      </c>
      <c r="E7292">
        <v>582.95000000000005</v>
      </c>
      <c r="F7292">
        <v>20140305</v>
      </c>
      <c r="G7292" t="s">
        <v>756</v>
      </c>
      <c r="H7292" t="s">
        <v>749</v>
      </c>
      <c r="I7292" t="s">
        <v>21</v>
      </c>
    </row>
    <row r="7293" spans="1:9" x14ac:dyDescent="0.25">
      <c r="A7293">
        <v>20140306</v>
      </c>
      <c r="B7293" t="str">
        <f t="shared" si="440"/>
        <v>114658</v>
      </c>
      <c r="C7293" t="str">
        <f t="shared" si="441"/>
        <v>80825</v>
      </c>
      <c r="D7293" t="s">
        <v>747</v>
      </c>
      <c r="E7293">
        <v>320.88</v>
      </c>
      <c r="F7293">
        <v>20140305</v>
      </c>
      <c r="G7293" t="s">
        <v>756</v>
      </c>
      <c r="H7293" t="s">
        <v>749</v>
      </c>
      <c r="I7293" t="s">
        <v>21</v>
      </c>
    </row>
    <row r="7294" spans="1:9" x14ac:dyDescent="0.25">
      <c r="A7294">
        <v>20140306</v>
      </c>
      <c r="B7294" t="str">
        <f t="shared" si="440"/>
        <v>114658</v>
      </c>
      <c r="C7294" t="str">
        <f t="shared" si="441"/>
        <v>80825</v>
      </c>
      <c r="D7294" t="s">
        <v>747</v>
      </c>
      <c r="E7294">
        <v>65.5</v>
      </c>
      <c r="F7294">
        <v>20140305</v>
      </c>
      <c r="G7294" t="s">
        <v>757</v>
      </c>
      <c r="H7294" t="s">
        <v>749</v>
      </c>
      <c r="I7294" t="s">
        <v>21</v>
      </c>
    </row>
    <row r="7295" spans="1:9" x14ac:dyDescent="0.25">
      <c r="A7295">
        <v>20140306</v>
      </c>
      <c r="B7295" t="str">
        <f t="shared" si="440"/>
        <v>114658</v>
      </c>
      <c r="C7295" t="str">
        <f t="shared" si="441"/>
        <v>80825</v>
      </c>
      <c r="D7295" t="s">
        <v>747</v>
      </c>
      <c r="E7295">
        <v>133.9</v>
      </c>
      <c r="F7295">
        <v>20140305</v>
      </c>
      <c r="G7295" t="s">
        <v>757</v>
      </c>
      <c r="H7295" t="s">
        <v>749</v>
      </c>
      <c r="I7295" t="s">
        <v>21</v>
      </c>
    </row>
    <row r="7296" spans="1:9" x14ac:dyDescent="0.25">
      <c r="A7296">
        <v>20140306</v>
      </c>
      <c r="B7296" t="str">
        <f t="shared" si="440"/>
        <v>114658</v>
      </c>
      <c r="C7296" t="str">
        <f t="shared" si="441"/>
        <v>80825</v>
      </c>
      <c r="D7296" t="s">
        <v>747</v>
      </c>
      <c r="E7296">
        <v>106.95</v>
      </c>
      <c r="F7296">
        <v>20140305</v>
      </c>
      <c r="G7296" t="s">
        <v>757</v>
      </c>
      <c r="H7296" t="s">
        <v>749</v>
      </c>
      <c r="I7296" t="s">
        <v>21</v>
      </c>
    </row>
    <row r="7297" spans="1:9" x14ac:dyDescent="0.25">
      <c r="A7297">
        <v>20140306</v>
      </c>
      <c r="B7297" t="str">
        <f t="shared" si="440"/>
        <v>114658</v>
      </c>
      <c r="C7297" t="str">
        <f t="shared" si="441"/>
        <v>80825</v>
      </c>
      <c r="D7297" t="s">
        <v>747</v>
      </c>
      <c r="E7297">
        <v>424.58</v>
      </c>
      <c r="F7297">
        <v>20140305</v>
      </c>
      <c r="G7297" t="s">
        <v>1175</v>
      </c>
      <c r="H7297" t="s">
        <v>749</v>
      </c>
      <c r="I7297" t="s">
        <v>21</v>
      </c>
    </row>
    <row r="7298" spans="1:9" x14ac:dyDescent="0.25">
      <c r="A7298">
        <v>20140306</v>
      </c>
      <c r="B7298" t="str">
        <f t="shared" si="440"/>
        <v>114658</v>
      </c>
      <c r="C7298" t="str">
        <f t="shared" si="441"/>
        <v>80825</v>
      </c>
      <c r="D7298" t="s">
        <v>747</v>
      </c>
      <c r="E7298">
        <v>82.75</v>
      </c>
      <c r="F7298">
        <v>20140305</v>
      </c>
      <c r="G7298" t="s">
        <v>758</v>
      </c>
      <c r="H7298" t="s">
        <v>749</v>
      </c>
      <c r="I7298" t="s">
        <v>21</v>
      </c>
    </row>
    <row r="7299" spans="1:9" x14ac:dyDescent="0.25">
      <c r="A7299">
        <v>20140306</v>
      </c>
      <c r="B7299" t="str">
        <f t="shared" si="440"/>
        <v>114658</v>
      </c>
      <c r="C7299" t="str">
        <f t="shared" si="441"/>
        <v>80825</v>
      </c>
      <c r="D7299" t="s">
        <v>747</v>
      </c>
      <c r="E7299">
        <v>65.48</v>
      </c>
      <c r="F7299">
        <v>20140305</v>
      </c>
      <c r="G7299" t="s">
        <v>544</v>
      </c>
      <c r="H7299" t="s">
        <v>749</v>
      </c>
      <c r="I7299" t="s">
        <v>21</v>
      </c>
    </row>
    <row r="7300" spans="1:9" x14ac:dyDescent="0.25">
      <c r="A7300">
        <v>20140306</v>
      </c>
      <c r="B7300" t="str">
        <f t="shared" si="440"/>
        <v>114658</v>
      </c>
      <c r="C7300" t="str">
        <f t="shared" si="441"/>
        <v>80825</v>
      </c>
      <c r="D7300" t="s">
        <v>747</v>
      </c>
      <c r="E7300">
        <v>133.9</v>
      </c>
      <c r="F7300">
        <v>20140305</v>
      </c>
      <c r="G7300" t="s">
        <v>544</v>
      </c>
      <c r="H7300" t="s">
        <v>749</v>
      </c>
      <c r="I7300" t="s">
        <v>21</v>
      </c>
    </row>
    <row r="7301" spans="1:9" x14ac:dyDescent="0.25">
      <c r="A7301">
        <v>20140306</v>
      </c>
      <c r="B7301" t="str">
        <f t="shared" si="440"/>
        <v>114658</v>
      </c>
      <c r="C7301" t="str">
        <f t="shared" si="441"/>
        <v>80825</v>
      </c>
      <c r="D7301" t="s">
        <v>747</v>
      </c>
      <c r="E7301">
        <v>106.95</v>
      </c>
      <c r="F7301">
        <v>20140305</v>
      </c>
      <c r="G7301" t="s">
        <v>544</v>
      </c>
      <c r="H7301" t="s">
        <v>749</v>
      </c>
      <c r="I7301" t="s">
        <v>21</v>
      </c>
    </row>
    <row r="7302" spans="1:9" x14ac:dyDescent="0.25">
      <c r="A7302">
        <v>20140306</v>
      </c>
      <c r="B7302" t="str">
        <f t="shared" si="440"/>
        <v>114658</v>
      </c>
      <c r="C7302" t="str">
        <f t="shared" si="441"/>
        <v>80825</v>
      </c>
      <c r="D7302" t="s">
        <v>747</v>
      </c>
      <c r="E7302">
        <v>65.48</v>
      </c>
      <c r="F7302">
        <v>20140305</v>
      </c>
      <c r="G7302" t="s">
        <v>545</v>
      </c>
      <c r="H7302" t="s">
        <v>749</v>
      </c>
      <c r="I7302" t="s">
        <v>21</v>
      </c>
    </row>
    <row r="7303" spans="1:9" x14ac:dyDescent="0.25">
      <c r="A7303">
        <v>20140306</v>
      </c>
      <c r="B7303" t="str">
        <f t="shared" si="440"/>
        <v>114658</v>
      </c>
      <c r="C7303" t="str">
        <f t="shared" si="441"/>
        <v>80825</v>
      </c>
      <c r="D7303" t="s">
        <v>747</v>
      </c>
      <c r="E7303">
        <v>133.91</v>
      </c>
      <c r="F7303">
        <v>20140305</v>
      </c>
      <c r="G7303" t="s">
        <v>545</v>
      </c>
      <c r="H7303" t="s">
        <v>749</v>
      </c>
      <c r="I7303" t="s">
        <v>21</v>
      </c>
    </row>
    <row r="7304" spans="1:9" x14ac:dyDescent="0.25">
      <c r="A7304">
        <v>20140306</v>
      </c>
      <c r="B7304" t="str">
        <f t="shared" si="440"/>
        <v>114658</v>
      </c>
      <c r="C7304" t="str">
        <f t="shared" si="441"/>
        <v>80825</v>
      </c>
      <c r="D7304" t="s">
        <v>747</v>
      </c>
      <c r="E7304">
        <v>106.95</v>
      </c>
      <c r="F7304">
        <v>20140305</v>
      </c>
      <c r="G7304" t="s">
        <v>545</v>
      </c>
      <c r="H7304" t="s">
        <v>749</v>
      </c>
      <c r="I7304" t="s">
        <v>21</v>
      </c>
    </row>
    <row r="7305" spans="1:9" x14ac:dyDescent="0.25">
      <c r="A7305">
        <v>20140306</v>
      </c>
      <c r="B7305" t="str">
        <f t="shared" si="440"/>
        <v>114658</v>
      </c>
      <c r="C7305" t="str">
        <f t="shared" si="441"/>
        <v>80825</v>
      </c>
      <c r="D7305" t="s">
        <v>747</v>
      </c>
      <c r="E7305">
        <v>345.9</v>
      </c>
      <c r="F7305">
        <v>20140305</v>
      </c>
      <c r="G7305" t="s">
        <v>1176</v>
      </c>
      <c r="H7305" t="s">
        <v>749</v>
      </c>
      <c r="I7305" t="s">
        <v>21</v>
      </c>
    </row>
    <row r="7306" spans="1:9" x14ac:dyDescent="0.25">
      <c r="A7306">
        <v>20140306</v>
      </c>
      <c r="B7306" t="str">
        <f t="shared" si="440"/>
        <v>114658</v>
      </c>
      <c r="C7306" t="str">
        <f t="shared" si="441"/>
        <v>80825</v>
      </c>
      <c r="D7306" t="s">
        <v>747</v>
      </c>
      <c r="E7306">
        <v>196.46</v>
      </c>
      <c r="F7306">
        <v>20140305</v>
      </c>
      <c r="G7306" t="s">
        <v>759</v>
      </c>
      <c r="H7306" t="s">
        <v>749</v>
      </c>
      <c r="I7306" t="s">
        <v>12</v>
      </c>
    </row>
    <row r="7307" spans="1:9" x14ac:dyDescent="0.25">
      <c r="A7307">
        <v>20140306</v>
      </c>
      <c r="B7307" t="str">
        <f>"114662"</f>
        <v>114662</v>
      </c>
      <c r="C7307" t="str">
        <f>"84426"</f>
        <v>84426</v>
      </c>
      <c r="D7307" t="s">
        <v>3595</v>
      </c>
      <c r="E7307">
        <v>200</v>
      </c>
      <c r="F7307">
        <v>20140306</v>
      </c>
      <c r="G7307" t="s">
        <v>2736</v>
      </c>
      <c r="H7307" t="s">
        <v>654</v>
      </c>
      <c r="I7307" t="s">
        <v>21</v>
      </c>
    </row>
    <row r="7308" spans="1:9" x14ac:dyDescent="0.25">
      <c r="A7308">
        <v>20140306</v>
      </c>
      <c r="B7308" t="str">
        <f>"114663"</f>
        <v>114663</v>
      </c>
      <c r="C7308" t="str">
        <f>"87473"</f>
        <v>87473</v>
      </c>
      <c r="D7308" t="s">
        <v>160</v>
      </c>
      <c r="E7308">
        <v>50</v>
      </c>
      <c r="F7308">
        <v>20140306</v>
      </c>
      <c r="G7308" t="s">
        <v>1533</v>
      </c>
      <c r="H7308" t="s">
        <v>357</v>
      </c>
      <c r="I7308" t="s">
        <v>21</v>
      </c>
    </row>
    <row r="7309" spans="1:9" x14ac:dyDescent="0.25">
      <c r="A7309">
        <v>20140306</v>
      </c>
      <c r="B7309" t="str">
        <f>"114663"</f>
        <v>114663</v>
      </c>
      <c r="C7309" t="str">
        <f>"87473"</f>
        <v>87473</v>
      </c>
      <c r="D7309" t="s">
        <v>160</v>
      </c>
      <c r="E7309">
        <v>550</v>
      </c>
      <c r="F7309">
        <v>20140306</v>
      </c>
      <c r="G7309" t="s">
        <v>1264</v>
      </c>
      <c r="H7309" t="s">
        <v>357</v>
      </c>
      <c r="I7309" t="s">
        <v>21</v>
      </c>
    </row>
    <row r="7310" spans="1:9" x14ac:dyDescent="0.25">
      <c r="A7310">
        <v>20140306</v>
      </c>
      <c r="B7310" t="str">
        <f>"114664"</f>
        <v>114664</v>
      </c>
      <c r="C7310" t="str">
        <f>"87473"</f>
        <v>87473</v>
      </c>
      <c r="D7310" t="s">
        <v>160</v>
      </c>
      <c r="E7310">
        <v>400</v>
      </c>
      <c r="F7310">
        <v>20140306</v>
      </c>
      <c r="G7310" t="s">
        <v>2009</v>
      </c>
      <c r="H7310" t="s">
        <v>357</v>
      </c>
      <c r="I7310" t="s">
        <v>21</v>
      </c>
    </row>
    <row r="7311" spans="1:9" x14ac:dyDescent="0.25">
      <c r="A7311">
        <v>20140307</v>
      </c>
      <c r="B7311" t="str">
        <f>"114665"</f>
        <v>114665</v>
      </c>
      <c r="C7311" t="str">
        <f>"86997"</f>
        <v>86997</v>
      </c>
      <c r="D7311" t="s">
        <v>2098</v>
      </c>
      <c r="E7311">
        <v>556.53</v>
      </c>
      <c r="F7311">
        <v>20140306</v>
      </c>
      <c r="G7311" t="s">
        <v>531</v>
      </c>
      <c r="H7311" t="s">
        <v>414</v>
      </c>
      <c r="I7311" t="s">
        <v>21</v>
      </c>
    </row>
    <row r="7312" spans="1:9" x14ac:dyDescent="0.25">
      <c r="A7312">
        <v>20140307</v>
      </c>
      <c r="B7312" t="str">
        <f>"114665"</f>
        <v>114665</v>
      </c>
      <c r="C7312" t="str">
        <f>"86997"</f>
        <v>86997</v>
      </c>
      <c r="D7312" t="s">
        <v>2098</v>
      </c>
      <c r="E7312" s="1">
        <v>1208.54</v>
      </c>
      <c r="F7312">
        <v>20140306</v>
      </c>
      <c r="G7312" t="s">
        <v>531</v>
      </c>
      <c r="H7312" t="s">
        <v>414</v>
      </c>
      <c r="I7312" t="s">
        <v>21</v>
      </c>
    </row>
    <row r="7313" spans="1:9" x14ac:dyDescent="0.25">
      <c r="A7313">
        <v>20140307</v>
      </c>
      <c r="B7313" t="str">
        <f>"114665"</f>
        <v>114665</v>
      </c>
      <c r="C7313" t="str">
        <f>"86997"</f>
        <v>86997</v>
      </c>
      <c r="D7313" t="s">
        <v>2098</v>
      </c>
      <c r="E7313">
        <v>558</v>
      </c>
      <c r="F7313">
        <v>20140306</v>
      </c>
      <c r="G7313" t="s">
        <v>531</v>
      </c>
      <c r="H7313" t="s">
        <v>414</v>
      </c>
      <c r="I7313" t="s">
        <v>21</v>
      </c>
    </row>
    <row r="7314" spans="1:9" x14ac:dyDescent="0.25">
      <c r="A7314">
        <v>20140307</v>
      </c>
      <c r="B7314" t="str">
        <f>"114666"</f>
        <v>114666</v>
      </c>
      <c r="C7314" t="str">
        <f>"00500"</f>
        <v>00500</v>
      </c>
      <c r="D7314" t="s">
        <v>486</v>
      </c>
      <c r="E7314" s="1">
        <v>3797.26</v>
      </c>
      <c r="F7314">
        <v>20140306</v>
      </c>
      <c r="G7314" t="s">
        <v>1705</v>
      </c>
      <c r="H7314" t="s">
        <v>488</v>
      </c>
      <c r="I7314" t="s">
        <v>21</v>
      </c>
    </row>
    <row r="7315" spans="1:9" x14ac:dyDescent="0.25">
      <c r="A7315">
        <v>20140307</v>
      </c>
      <c r="B7315" t="str">
        <f>"114667"</f>
        <v>114667</v>
      </c>
      <c r="C7315" t="str">
        <f>"00500"</f>
        <v>00500</v>
      </c>
      <c r="D7315" t="s">
        <v>486</v>
      </c>
      <c r="E7315" s="1">
        <v>2832</v>
      </c>
      <c r="F7315">
        <v>20140306</v>
      </c>
      <c r="G7315" t="s">
        <v>1705</v>
      </c>
      <c r="H7315" t="s">
        <v>488</v>
      </c>
      <c r="I7315" t="s">
        <v>21</v>
      </c>
    </row>
    <row r="7316" spans="1:9" x14ac:dyDescent="0.25">
      <c r="A7316">
        <v>20140307</v>
      </c>
      <c r="B7316" t="str">
        <f>"114668"</f>
        <v>114668</v>
      </c>
      <c r="C7316" t="str">
        <f>"81453"</f>
        <v>81453</v>
      </c>
      <c r="D7316" t="s">
        <v>3596</v>
      </c>
      <c r="E7316" s="1">
        <v>1727.04</v>
      </c>
      <c r="F7316">
        <v>20140306</v>
      </c>
      <c r="G7316" t="s">
        <v>3597</v>
      </c>
      <c r="H7316" t="s">
        <v>921</v>
      </c>
      <c r="I7316" t="s">
        <v>66</v>
      </c>
    </row>
    <row r="7317" spans="1:9" x14ac:dyDescent="0.25">
      <c r="A7317">
        <v>20140307</v>
      </c>
      <c r="B7317" t="str">
        <f>"114669"</f>
        <v>114669</v>
      </c>
      <c r="C7317" t="str">
        <f>"81923"</f>
        <v>81923</v>
      </c>
      <c r="D7317" t="s">
        <v>344</v>
      </c>
      <c r="E7317">
        <v>229.52</v>
      </c>
      <c r="F7317">
        <v>20140306</v>
      </c>
      <c r="G7317" t="s">
        <v>1120</v>
      </c>
      <c r="H7317" t="s">
        <v>365</v>
      </c>
      <c r="I7317" t="s">
        <v>66</v>
      </c>
    </row>
    <row r="7318" spans="1:9" x14ac:dyDescent="0.25">
      <c r="A7318">
        <v>20140307</v>
      </c>
      <c r="B7318" t="str">
        <f>"114670"</f>
        <v>114670</v>
      </c>
      <c r="C7318" t="str">
        <f>"18150"</f>
        <v>18150</v>
      </c>
      <c r="D7318" t="s">
        <v>3535</v>
      </c>
      <c r="E7318">
        <v>37.5</v>
      </c>
      <c r="F7318">
        <v>20140306</v>
      </c>
      <c r="G7318" t="s">
        <v>413</v>
      </c>
      <c r="H7318" t="s">
        <v>3598</v>
      </c>
      <c r="I7318" t="s">
        <v>21</v>
      </c>
    </row>
    <row r="7319" spans="1:9" x14ac:dyDescent="0.25">
      <c r="A7319">
        <v>20140307</v>
      </c>
      <c r="B7319" t="str">
        <f>"114671"</f>
        <v>114671</v>
      </c>
      <c r="C7319" t="str">
        <f>"81663"</f>
        <v>81663</v>
      </c>
      <c r="D7319" t="s">
        <v>2494</v>
      </c>
      <c r="E7319">
        <v>120</v>
      </c>
      <c r="F7319">
        <v>20140306</v>
      </c>
      <c r="G7319" t="s">
        <v>2495</v>
      </c>
      <c r="H7319" t="s">
        <v>3599</v>
      </c>
      <c r="I7319" t="s">
        <v>21</v>
      </c>
    </row>
    <row r="7320" spans="1:9" x14ac:dyDescent="0.25">
      <c r="A7320">
        <v>20140307</v>
      </c>
      <c r="B7320" t="str">
        <f>"114672"</f>
        <v>114672</v>
      </c>
      <c r="C7320" t="str">
        <f>"87778"</f>
        <v>87778</v>
      </c>
      <c r="D7320" t="s">
        <v>3600</v>
      </c>
      <c r="E7320">
        <v>50</v>
      </c>
      <c r="F7320">
        <v>20140306</v>
      </c>
      <c r="G7320" t="s">
        <v>135</v>
      </c>
      <c r="H7320" t="s">
        <v>354</v>
      </c>
      <c r="I7320" t="s">
        <v>25</v>
      </c>
    </row>
    <row r="7321" spans="1:9" x14ac:dyDescent="0.25">
      <c r="A7321">
        <v>20140307</v>
      </c>
      <c r="B7321" t="str">
        <f>"114673"</f>
        <v>114673</v>
      </c>
      <c r="C7321" t="str">
        <f>"22220"</f>
        <v>22220</v>
      </c>
      <c r="D7321" t="s">
        <v>521</v>
      </c>
      <c r="E7321">
        <v>75</v>
      </c>
      <c r="F7321">
        <v>20140306</v>
      </c>
      <c r="G7321" t="s">
        <v>3601</v>
      </c>
      <c r="H7321" t="s">
        <v>3602</v>
      </c>
      <c r="I7321" t="s">
        <v>21</v>
      </c>
    </row>
    <row r="7322" spans="1:9" x14ac:dyDescent="0.25">
      <c r="A7322">
        <v>20140307</v>
      </c>
      <c r="B7322" t="str">
        <f>"114674"</f>
        <v>114674</v>
      </c>
      <c r="C7322" t="str">
        <f>"22500"</f>
        <v>22500</v>
      </c>
      <c r="D7322" t="s">
        <v>523</v>
      </c>
      <c r="E7322">
        <v>79.5</v>
      </c>
      <c r="F7322">
        <v>20140306</v>
      </c>
      <c r="G7322" t="s">
        <v>1272</v>
      </c>
      <c r="H7322" t="s">
        <v>656</v>
      </c>
      <c r="I7322" t="s">
        <v>21</v>
      </c>
    </row>
    <row r="7323" spans="1:9" x14ac:dyDescent="0.25">
      <c r="A7323">
        <v>20140307</v>
      </c>
      <c r="B7323" t="str">
        <f>"114674"</f>
        <v>114674</v>
      </c>
      <c r="C7323" t="str">
        <f>"22500"</f>
        <v>22500</v>
      </c>
      <c r="D7323" t="s">
        <v>523</v>
      </c>
      <c r="E7323">
        <v>226</v>
      </c>
      <c r="F7323">
        <v>20140306</v>
      </c>
      <c r="G7323" t="s">
        <v>415</v>
      </c>
      <c r="H7323" t="s">
        <v>414</v>
      </c>
      <c r="I7323" t="s">
        <v>21</v>
      </c>
    </row>
    <row r="7324" spans="1:9" x14ac:dyDescent="0.25">
      <c r="A7324">
        <v>20140307</v>
      </c>
      <c r="B7324" t="str">
        <f>"114674"</f>
        <v>114674</v>
      </c>
      <c r="C7324" t="str">
        <f>"22500"</f>
        <v>22500</v>
      </c>
      <c r="D7324" t="s">
        <v>523</v>
      </c>
      <c r="E7324">
        <v>488.96</v>
      </c>
      <c r="F7324">
        <v>20140306</v>
      </c>
      <c r="G7324" t="s">
        <v>1222</v>
      </c>
      <c r="H7324" t="s">
        <v>414</v>
      </c>
      <c r="I7324" t="s">
        <v>21</v>
      </c>
    </row>
    <row r="7325" spans="1:9" x14ac:dyDescent="0.25">
      <c r="A7325">
        <v>20140307</v>
      </c>
      <c r="B7325" t="str">
        <f>"114674"</f>
        <v>114674</v>
      </c>
      <c r="C7325" t="str">
        <f>"22500"</f>
        <v>22500</v>
      </c>
      <c r="D7325" t="s">
        <v>523</v>
      </c>
      <c r="E7325">
        <v>170</v>
      </c>
      <c r="F7325">
        <v>20140306</v>
      </c>
      <c r="G7325" t="s">
        <v>530</v>
      </c>
      <c r="H7325" t="s">
        <v>414</v>
      </c>
      <c r="I7325" t="s">
        <v>21</v>
      </c>
    </row>
    <row r="7326" spans="1:9" x14ac:dyDescent="0.25">
      <c r="A7326">
        <v>20140307</v>
      </c>
      <c r="B7326" t="str">
        <f>"114675"</f>
        <v>114675</v>
      </c>
      <c r="C7326" t="str">
        <f>"82613"</f>
        <v>82613</v>
      </c>
      <c r="D7326" t="s">
        <v>546</v>
      </c>
      <c r="E7326">
        <v>198</v>
      </c>
      <c r="F7326">
        <v>20140306</v>
      </c>
      <c r="G7326" t="s">
        <v>337</v>
      </c>
      <c r="H7326" t="s">
        <v>547</v>
      </c>
      <c r="I7326" t="s">
        <v>21</v>
      </c>
    </row>
    <row r="7327" spans="1:9" x14ac:dyDescent="0.25">
      <c r="A7327">
        <v>20140307</v>
      </c>
      <c r="B7327" t="str">
        <f>"114676"</f>
        <v>114676</v>
      </c>
      <c r="C7327" t="str">
        <f>"27981"</f>
        <v>27981</v>
      </c>
      <c r="D7327" t="s">
        <v>551</v>
      </c>
      <c r="E7327">
        <v>104.78</v>
      </c>
      <c r="F7327">
        <v>20140306</v>
      </c>
      <c r="G7327" t="s">
        <v>530</v>
      </c>
      <c r="H7327" t="s">
        <v>414</v>
      </c>
      <c r="I7327" t="s">
        <v>21</v>
      </c>
    </row>
    <row r="7328" spans="1:9" x14ac:dyDescent="0.25">
      <c r="A7328">
        <v>20140307</v>
      </c>
      <c r="B7328" t="str">
        <f>"114677"</f>
        <v>114677</v>
      </c>
      <c r="C7328" t="str">
        <f>"28070"</f>
        <v>28070</v>
      </c>
      <c r="D7328" t="s">
        <v>1416</v>
      </c>
      <c r="E7328">
        <v>300</v>
      </c>
      <c r="F7328">
        <v>20140306</v>
      </c>
      <c r="G7328" t="s">
        <v>498</v>
      </c>
      <c r="H7328" t="s">
        <v>499</v>
      </c>
      <c r="I7328" t="s">
        <v>21</v>
      </c>
    </row>
    <row r="7329" spans="1:9" x14ac:dyDescent="0.25">
      <c r="A7329">
        <v>20140307</v>
      </c>
      <c r="B7329" t="str">
        <f>"114677"</f>
        <v>114677</v>
      </c>
      <c r="C7329" t="str">
        <f>"28070"</f>
        <v>28070</v>
      </c>
      <c r="D7329" t="s">
        <v>1416</v>
      </c>
      <c r="E7329">
        <v>35</v>
      </c>
      <c r="F7329">
        <v>20140306</v>
      </c>
      <c r="G7329" t="s">
        <v>498</v>
      </c>
      <c r="H7329" t="s">
        <v>499</v>
      </c>
      <c r="I7329" t="s">
        <v>21</v>
      </c>
    </row>
    <row r="7330" spans="1:9" x14ac:dyDescent="0.25">
      <c r="A7330">
        <v>20140307</v>
      </c>
      <c r="B7330" t="str">
        <f>"114678"</f>
        <v>114678</v>
      </c>
      <c r="C7330" t="str">
        <f>"30480"</f>
        <v>30480</v>
      </c>
      <c r="D7330" t="s">
        <v>570</v>
      </c>
      <c r="E7330" s="1">
        <v>5442</v>
      </c>
      <c r="F7330">
        <v>20140306</v>
      </c>
      <c r="G7330" t="s">
        <v>571</v>
      </c>
      <c r="H7330" t="s">
        <v>572</v>
      </c>
      <c r="I7330" t="s">
        <v>21</v>
      </c>
    </row>
    <row r="7331" spans="1:9" x14ac:dyDescent="0.25">
      <c r="A7331">
        <v>20140307</v>
      </c>
      <c r="B7331" t="str">
        <f>"114679"</f>
        <v>114679</v>
      </c>
      <c r="C7331" t="str">
        <f>"87484"</f>
        <v>87484</v>
      </c>
      <c r="D7331" t="s">
        <v>588</v>
      </c>
      <c r="E7331" s="1">
        <v>5200</v>
      </c>
      <c r="F7331">
        <v>20140306</v>
      </c>
      <c r="G7331" t="s">
        <v>589</v>
      </c>
      <c r="H7331" t="s">
        <v>590</v>
      </c>
      <c r="I7331" t="s">
        <v>68</v>
      </c>
    </row>
    <row r="7332" spans="1:9" x14ac:dyDescent="0.25">
      <c r="A7332">
        <v>20140307</v>
      </c>
      <c r="B7332" t="str">
        <f>"114680"</f>
        <v>114680</v>
      </c>
      <c r="C7332" t="str">
        <f>"81072"</f>
        <v>81072</v>
      </c>
      <c r="D7332" t="s">
        <v>598</v>
      </c>
      <c r="E7332">
        <v>950</v>
      </c>
      <c r="F7332">
        <v>20140306</v>
      </c>
      <c r="G7332" t="s">
        <v>746</v>
      </c>
      <c r="H7332" t="s">
        <v>555</v>
      </c>
      <c r="I7332" t="s">
        <v>21</v>
      </c>
    </row>
    <row r="7333" spans="1:9" x14ac:dyDescent="0.25">
      <c r="A7333">
        <v>20140307</v>
      </c>
      <c r="B7333" t="str">
        <f>"114681"</f>
        <v>114681</v>
      </c>
      <c r="C7333" t="str">
        <f>"36028"</f>
        <v>36028</v>
      </c>
      <c r="D7333" t="s">
        <v>1758</v>
      </c>
      <c r="E7333">
        <v>107.7</v>
      </c>
      <c r="F7333">
        <v>20140306</v>
      </c>
      <c r="G7333" t="s">
        <v>1145</v>
      </c>
      <c r="H7333" t="s">
        <v>921</v>
      </c>
      <c r="I7333" t="s">
        <v>73</v>
      </c>
    </row>
    <row r="7334" spans="1:9" x14ac:dyDescent="0.25">
      <c r="A7334">
        <v>20140307</v>
      </c>
      <c r="B7334" t="str">
        <f>"114682"</f>
        <v>114682</v>
      </c>
      <c r="C7334" t="str">
        <f>"83064"</f>
        <v>83064</v>
      </c>
      <c r="D7334" t="s">
        <v>1760</v>
      </c>
      <c r="E7334">
        <v>89.46</v>
      </c>
      <c r="F7334">
        <v>20140306</v>
      </c>
      <c r="G7334" t="s">
        <v>637</v>
      </c>
      <c r="H7334" t="s">
        <v>354</v>
      </c>
      <c r="I7334" t="s">
        <v>38</v>
      </c>
    </row>
    <row r="7335" spans="1:9" x14ac:dyDescent="0.25">
      <c r="A7335">
        <v>20140307</v>
      </c>
      <c r="B7335" t="str">
        <f>"114683"</f>
        <v>114683</v>
      </c>
      <c r="C7335" t="str">
        <f>"40448"</f>
        <v>40448</v>
      </c>
      <c r="D7335" t="s">
        <v>613</v>
      </c>
      <c r="E7335">
        <v>368</v>
      </c>
      <c r="F7335">
        <v>20140306</v>
      </c>
      <c r="G7335" t="s">
        <v>340</v>
      </c>
      <c r="H7335" t="s">
        <v>1452</v>
      </c>
      <c r="I7335" t="s">
        <v>21</v>
      </c>
    </row>
    <row r="7336" spans="1:9" x14ac:dyDescent="0.25">
      <c r="A7336">
        <v>20140307</v>
      </c>
      <c r="B7336" t="str">
        <f>"114683"</f>
        <v>114683</v>
      </c>
      <c r="C7336" t="str">
        <f>"40448"</f>
        <v>40448</v>
      </c>
      <c r="D7336" t="s">
        <v>613</v>
      </c>
      <c r="E7336">
        <v>368</v>
      </c>
      <c r="F7336">
        <v>20140306</v>
      </c>
      <c r="G7336" t="s">
        <v>340</v>
      </c>
      <c r="H7336" t="s">
        <v>1452</v>
      </c>
      <c r="I7336" t="s">
        <v>21</v>
      </c>
    </row>
    <row r="7337" spans="1:9" x14ac:dyDescent="0.25">
      <c r="A7337">
        <v>20140307</v>
      </c>
      <c r="B7337" t="str">
        <f>"114684"</f>
        <v>114684</v>
      </c>
      <c r="C7337" t="str">
        <f>"45465"</f>
        <v>45465</v>
      </c>
      <c r="D7337" t="s">
        <v>1473</v>
      </c>
      <c r="E7337">
        <v>515.1</v>
      </c>
      <c r="F7337">
        <v>20140306</v>
      </c>
      <c r="G7337" t="s">
        <v>415</v>
      </c>
      <c r="H7337" t="s">
        <v>414</v>
      </c>
      <c r="I7337" t="s">
        <v>21</v>
      </c>
    </row>
    <row r="7338" spans="1:9" x14ac:dyDescent="0.25">
      <c r="A7338">
        <v>20140307</v>
      </c>
      <c r="B7338" t="str">
        <f>"114685"</f>
        <v>114685</v>
      </c>
      <c r="C7338" t="str">
        <f>"87473"</f>
        <v>87473</v>
      </c>
      <c r="D7338" t="s">
        <v>160</v>
      </c>
      <c r="E7338">
        <v>281.64</v>
      </c>
      <c r="F7338">
        <v>20140306</v>
      </c>
      <c r="G7338" t="s">
        <v>159</v>
      </c>
      <c r="H7338" t="s">
        <v>354</v>
      </c>
      <c r="I7338" t="s">
        <v>25</v>
      </c>
    </row>
    <row r="7339" spans="1:9" x14ac:dyDescent="0.25">
      <c r="A7339">
        <v>20140307</v>
      </c>
      <c r="B7339" t="str">
        <f>"114686"</f>
        <v>114686</v>
      </c>
      <c r="C7339" t="str">
        <f>"82365"</f>
        <v>82365</v>
      </c>
      <c r="D7339" t="s">
        <v>1477</v>
      </c>
      <c r="E7339">
        <v>809.29</v>
      </c>
      <c r="F7339">
        <v>20140306</v>
      </c>
      <c r="G7339" t="s">
        <v>1478</v>
      </c>
      <c r="H7339" t="s">
        <v>1479</v>
      </c>
      <c r="I7339" t="s">
        <v>21</v>
      </c>
    </row>
    <row r="7340" spans="1:9" x14ac:dyDescent="0.25">
      <c r="A7340">
        <v>20140307</v>
      </c>
      <c r="B7340" t="str">
        <f>"114687"</f>
        <v>114687</v>
      </c>
      <c r="C7340" t="str">
        <f>"85434"</f>
        <v>85434</v>
      </c>
      <c r="D7340" t="s">
        <v>2235</v>
      </c>
      <c r="E7340" s="1">
        <v>1210</v>
      </c>
      <c r="F7340">
        <v>20140306</v>
      </c>
      <c r="G7340" t="s">
        <v>2138</v>
      </c>
      <c r="H7340" t="s">
        <v>679</v>
      </c>
      <c r="I7340" t="s">
        <v>21</v>
      </c>
    </row>
    <row r="7341" spans="1:9" x14ac:dyDescent="0.25">
      <c r="A7341">
        <v>20140307</v>
      </c>
      <c r="B7341" t="str">
        <f>"114688"</f>
        <v>114688</v>
      </c>
      <c r="C7341" t="str">
        <f>"48820"</f>
        <v>48820</v>
      </c>
      <c r="D7341" t="s">
        <v>1106</v>
      </c>
      <c r="E7341">
        <v>99.72</v>
      </c>
      <c r="F7341">
        <v>20140306</v>
      </c>
      <c r="G7341" t="s">
        <v>1067</v>
      </c>
      <c r="H7341" t="s">
        <v>354</v>
      </c>
      <c r="I7341" t="s">
        <v>21</v>
      </c>
    </row>
    <row r="7342" spans="1:9" x14ac:dyDescent="0.25">
      <c r="A7342">
        <v>20140307</v>
      </c>
      <c r="B7342" t="str">
        <f>"114688"</f>
        <v>114688</v>
      </c>
      <c r="C7342" t="str">
        <f>"48820"</f>
        <v>48820</v>
      </c>
      <c r="D7342" t="s">
        <v>1106</v>
      </c>
      <c r="E7342">
        <v>412.13</v>
      </c>
      <c r="F7342">
        <v>20140306</v>
      </c>
      <c r="G7342" t="s">
        <v>209</v>
      </c>
      <c r="H7342" t="s">
        <v>354</v>
      </c>
      <c r="I7342" t="s">
        <v>25</v>
      </c>
    </row>
    <row r="7343" spans="1:9" x14ac:dyDescent="0.25">
      <c r="A7343">
        <v>20140307</v>
      </c>
      <c r="B7343" t="str">
        <f>"114688"</f>
        <v>114688</v>
      </c>
      <c r="C7343" t="str">
        <f>"48820"</f>
        <v>48820</v>
      </c>
      <c r="D7343" t="s">
        <v>1106</v>
      </c>
      <c r="E7343">
        <v>67.52</v>
      </c>
      <c r="F7343">
        <v>20140306</v>
      </c>
      <c r="G7343" t="s">
        <v>209</v>
      </c>
      <c r="H7343" t="s">
        <v>354</v>
      </c>
      <c r="I7343" t="s">
        <v>25</v>
      </c>
    </row>
    <row r="7344" spans="1:9" x14ac:dyDescent="0.25">
      <c r="A7344">
        <v>20140307</v>
      </c>
      <c r="B7344" t="str">
        <f>"114689"</f>
        <v>114689</v>
      </c>
      <c r="C7344" t="str">
        <f>"84734"</f>
        <v>84734</v>
      </c>
      <c r="D7344" t="s">
        <v>3422</v>
      </c>
      <c r="E7344" s="1">
        <v>2842.5</v>
      </c>
      <c r="F7344">
        <v>20140306</v>
      </c>
      <c r="G7344" t="s">
        <v>1591</v>
      </c>
      <c r="H7344" t="s">
        <v>553</v>
      </c>
      <c r="I7344" t="s">
        <v>25</v>
      </c>
    </row>
    <row r="7345" spans="1:9" x14ac:dyDescent="0.25">
      <c r="A7345">
        <v>20140307</v>
      </c>
      <c r="B7345" t="str">
        <f>"114690"</f>
        <v>114690</v>
      </c>
      <c r="C7345" t="str">
        <f>"00505"</f>
        <v>00505</v>
      </c>
      <c r="D7345" t="s">
        <v>3603</v>
      </c>
      <c r="E7345">
        <v>200</v>
      </c>
      <c r="F7345">
        <v>20140306</v>
      </c>
      <c r="G7345" t="s">
        <v>1145</v>
      </c>
      <c r="H7345" t="s">
        <v>3604</v>
      </c>
      <c r="I7345" t="s">
        <v>73</v>
      </c>
    </row>
    <row r="7346" spans="1:9" x14ac:dyDescent="0.25">
      <c r="A7346">
        <v>20140307</v>
      </c>
      <c r="B7346" t="str">
        <f>"114691"</f>
        <v>114691</v>
      </c>
      <c r="C7346" t="str">
        <f>"58570"</f>
        <v>58570</v>
      </c>
      <c r="D7346" t="s">
        <v>655</v>
      </c>
      <c r="E7346">
        <v>484.72</v>
      </c>
      <c r="F7346">
        <v>20140306</v>
      </c>
      <c r="G7346" t="s">
        <v>340</v>
      </c>
      <c r="H7346" t="s">
        <v>656</v>
      </c>
      <c r="I7346" t="s">
        <v>21</v>
      </c>
    </row>
    <row r="7347" spans="1:9" x14ac:dyDescent="0.25">
      <c r="A7347">
        <v>20140307</v>
      </c>
      <c r="B7347" t="str">
        <f>"114691"</f>
        <v>114691</v>
      </c>
      <c r="C7347" t="str">
        <f>"58570"</f>
        <v>58570</v>
      </c>
      <c r="D7347" t="s">
        <v>655</v>
      </c>
      <c r="E7347">
        <v>160</v>
      </c>
      <c r="F7347">
        <v>20140306</v>
      </c>
      <c r="G7347" t="s">
        <v>340</v>
      </c>
      <c r="H7347" t="s">
        <v>656</v>
      </c>
      <c r="I7347" t="s">
        <v>21</v>
      </c>
    </row>
    <row r="7348" spans="1:9" x14ac:dyDescent="0.25">
      <c r="A7348">
        <v>20140307</v>
      </c>
      <c r="B7348" t="str">
        <f>"114691"</f>
        <v>114691</v>
      </c>
      <c r="C7348" t="str">
        <f>"58570"</f>
        <v>58570</v>
      </c>
      <c r="D7348" t="s">
        <v>655</v>
      </c>
      <c r="E7348">
        <v>160</v>
      </c>
      <c r="F7348">
        <v>20140306</v>
      </c>
      <c r="G7348" t="s">
        <v>340</v>
      </c>
      <c r="H7348" t="s">
        <v>656</v>
      </c>
      <c r="I7348" t="s">
        <v>21</v>
      </c>
    </row>
    <row r="7349" spans="1:9" x14ac:dyDescent="0.25">
      <c r="A7349">
        <v>20140307</v>
      </c>
      <c r="B7349" t="str">
        <f>"114692"</f>
        <v>114692</v>
      </c>
      <c r="C7349" t="str">
        <f>"87330"</f>
        <v>87330</v>
      </c>
      <c r="D7349" t="s">
        <v>671</v>
      </c>
      <c r="E7349" s="1">
        <v>1050</v>
      </c>
      <c r="F7349">
        <v>20140306</v>
      </c>
      <c r="G7349" t="s">
        <v>672</v>
      </c>
      <c r="H7349" t="s">
        <v>2264</v>
      </c>
      <c r="I7349" t="s">
        <v>21</v>
      </c>
    </row>
    <row r="7350" spans="1:9" x14ac:dyDescent="0.25">
      <c r="A7350">
        <v>20140307</v>
      </c>
      <c r="B7350" t="str">
        <f>"114693"</f>
        <v>114693</v>
      </c>
      <c r="C7350" t="str">
        <f>"59695"</f>
        <v>59695</v>
      </c>
      <c r="D7350" t="s">
        <v>371</v>
      </c>
      <c r="E7350">
        <v>810</v>
      </c>
      <c r="F7350">
        <v>20140306</v>
      </c>
      <c r="G7350" t="s">
        <v>372</v>
      </c>
      <c r="H7350" t="s">
        <v>373</v>
      </c>
      <c r="I7350" t="s">
        <v>21</v>
      </c>
    </row>
    <row r="7351" spans="1:9" x14ac:dyDescent="0.25">
      <c r="A7351">
        <v>20140307</v>
      </c>
      <c r="B7351" t="str">
        <f>"114693"</f>
        <v>114693</v>
      </c>
      <c r="C7351" t="str">
        <f>"59695"</f>
        <v>59695</v>
      </c>
      <c r="D7351" t="s">
        <v>371</v>
      </c>
      <c r="E7351">
        <v>405</v>
      </c>
      <c r="F7351">
        <v>20140306</v>
      </c>
      <c r="G7351" t="s">
        <v>374</v>
      </c>
      <c r="H7351" t="s">
        <v>373</v>
      </c>
      <c r="I7351" t="s">
        <v>21</v>
      </c>
    </row>
    <row r="7352" spans="1:9" x14ac:dyDescent="0.25">
      <c r="A7352">
        <v>20140307</v>
      </c>
      <c r="B7352" t="str">
        <f>"114693"</f>
        <v>114693</v>
      </c>
      <c r="C7352" t="str">
        <f>"59695"</f>
        <v>59695</v>
      </c>
      <c r="D7352" t="s">
        <v>371</v>
      </c>
      <c r="E7352">
        <v>100</v>
      </c>
      <c r="F7352">
        <v>20140306</v>
      </c>
      <c r="G7352" t="s">
        <v>375</v>
      </c>
      <c r="H7352" t="s">
        <v>373</v>
      </c>
      <c r="I7352" t="s">
        <v>21</v>
      </c>
    </row>
    <row r="7353" spans="1:9" x14ac:dyDescent="0.25">
      <c r="A7353">
        <v>20140307</v>
      </c>
      <c r="B7353" t="str">
        <f>"114693"</f>
        <v>114693</v>
      </c>
      <c r="C7353" t="str">
        <f>"59695"</f>
        <v>59695</v>
      </c>
      <c r="D7353" t="s">
        <v>371</v>
      </c>
      <c r="E7353">
        <v>620</v>
      </c>
      <c r="F7353">
        <v>20140306</v>
      </c>
      <c r="G7353" t="s">
        <v>376</v>
      </c>
      <c r="H7353" t="s">
        <v>373</v>
      </c>
      <c r="I7353" t="s">
        <v>21</v>
      </c>
    </row>
    <row r="7354" spans="1:9" x14ac:dyDescent="0.25">
      <c r="A7354">
        <v>20140307</v>
      </c>
      <c r="B7354" t="str">
        <f>"114694"</f>
        <v>114694</v>
      </c>
      <c r="C7354" t="str">
        <f>"86959"</f>
        <v>86959</v>
      </c>
      <c r="D7354" t="s">
        <v>3434</v>
      </c>
      <c r="E7354">
        <v>66.77</v>
      </c>
      <c r="F7354">
        <v>20140306</v>
      </c>
      <c r="G7354" t="s">
        <v>2495</v>
      </c>
      <c r="H7354" t="s">
        <v>365</v>
      </c>
      <c r="I7354" t="s">
        <v>21</v>
      </c>
    </row>
    <row r="7355" spans="1:9" x14ac:dyDescent="0.25">
      <c r="A7355">
        <v>20140307</v>
      </c>
      <c r="B7355" t="str">
        <f>"114695"</f>
        <v>114695</v>
      </c>
      <c r="C7355" t="str">
        <f>"81411"</f>
        <v>81411</v>
      </c>
      <c r="D7355" t="s">
        <v>687</v>
      </c>
      <c r="E7355">
        <v>740</v>
      </c>
      <c r="F7355">
        <v>20140306</v>
      </c>
      <c r="G7355" t="s">
        <v>496</v>
      </c>
      <c r="H7355" t="s">
        <v>688</v>
      </c>
      <c r="I7355" t="s">
        <v>21</v>
      </c>
    </row>
    <row r="7356" spans="1:9" x14ac:dyDescent="0.25">
      <c r="A7356">
        <v>20140307</v>
      </c>
      <c r="B7356" t="str">
        <f>"114696"</f>
        <v>114696</v>
      </c>
      <c r="C7356" t="str">
        <f>"86597"</f>
        <v>86597</v>
      </c>
      <c r="D7356" t="s">
        <v>3435</v>
      </c>
      <c r="E7356">
        <v>350</v>
      </c>
      <c r="F7356">
        <v>20140306</v>
      </c>
      <c r="G7356" t="s">
        <v>3597</v>
      </c>
      <c r="H7356" t="s">
        <v>357</v>
      </c>
      <c r="I7356" t="s">
        <v>66</v>
      </c>
    </row>
    <row r="7357" spans="1:9" x14ac:dyDescent="0.25">
      <c r="A7357">
        <v>20140307</v>
      </c>
      <c r="B7357" t="str">
        <f>"114697"</f>
        <v>114697</v>
      </c>
      <c r="C7357" t="str">
        <f>"81886"</f>
        <v>81886</v>
      </c>
      <c r="D7357" t="s">
        <v>1527</v>
      </c>
      <c r="E7357" s="1">
        <v>2080</v>
      </c>
      <c r="F7357">
        <v>20140306</v>
      </c>
      <c r="G7357" t="s">
        <v>746</v>
      </c>
      <c r="H7357" t="s">
        <v>555</v>
      </c>
      <c r="I7357" t="s">
        <v>21</v>
      </c>
    </row>
    <row r="7358" spans="1:9" x14ac:dyDescent="0.25">
      <c r="A7358">
        <v>20140307</v>
      </c>
      <c r="B7358" t="str">
        <f>"114698"</f>
        <v>114698</v>
      </c>
      <c r="C7358" t="str">
        <f>"70760"</f>
        <v>70760</v>
      </c>
      <c r="D7358" t="s">
        <v>963</v>
      </c>
      <c r="E7358">
        <v>367</v>
      </c>
      <c r="F7358">
        <v>20140306</v>
      </c>
      <c r="G7358" t="s">
        <v>1178</v>
      </c>
      <c r="H7358" t="s">
        <v>388</v>
      </c>
      <c r="I7358" t="s">
        <v>21</v>
      </c>
    </row>
    <row r="7359" spans="1:9" x14ac:dyDescent="0.25">
      <c r="A7359">
        <v>20140307</v>
      </c>
      <c r="B7359" t="str">
        <f>"114699"</f>
        <v>114699</v>
      </c>
      <c r="C7359" t="str">
        <f>"70644"</f>
        <v>70644</v>
      </c>
      <c r="D7359" t="s">
        <v>3605</v>
      </c>
      <c r="E7359">
        <v>100</v>
      </c>
      <c r="F7359">
        <v>20140306</v>
      </c>
      <c r="G7359" t="s">
        <v>1145</v>
      </c>
      <c r="H7359" t="s">
        <v>2287</v>
      </c>
      <c r="I7359" t="s">
        <v>73</v>
      </c>
    </row>
    <row r="7360" spans="1:9" x14ac:dyDescent="0.25">
      <c r="A7360">
        <v>20140307</v>
      </c>
      <c r="B7360" t="str">
        <f>"114700"</f>
        <v>114700</v>
      </c>
      <c r="C7360" t="str">
        <f>"87189"</f>
        <v>87189</v>
      </c>
      <c r="D7360" t="s">
        <v>730</v>
      </c>
      <c r="E7360">
        <v>502.66</v>
      </c>
      <c r="F7360">
        <v>20140306</v>
      </c>
      <c r="G7360" t="s">
        <v>481</v>
      </c>
      <c r="H7360" t="s">
        <v>3606</v>
      </c>
      <c r="I7360" t="s">
        <v>21</v>
      </c>
    </row>
    <row r="7361" spans="1:9" x14ac:dyDescent="0.25">
      <c r="A7361">
        <v>20140307</v>
      </c>
      <c r="B7361" t="str">
        <f>"114700"</f>
        <v>114700</v>
      </c>
      <c r="C7361" t="str">
        <f>"87189"</f>
        <v>87189</v>
      </c>
      <c r="D7361" t="s">
        <v>730</v>
      </c>
      <c r="E7361">
        <v>81.010000000000005</v>
      </c>
      <c r="F7361">
        <v>20140306</v>
      </c>
      <c r="G7361" t="s">
        <v>392</v>
      </c>
      <c r="H7361" t="s">
        <v>3607</v>
      </c>
      <c r="I7361" t="s">
        <v>21</v>
      </c>
    </row>
    <row r="7362" spans="1:9" x14ac:dyDescent="0.25">
      <c r="A7362">
        <v>20140307</v>
      </c>
      <c r="B7362" t="str">
        <f>"114701"</f>
        <v>114701</v>
      </c>
      <c r="C7362" t="str">
        <f>"77705"</f>
        <v>77705</v>
      </c>
      <c r="D7362" t="s">
        <v>2312</v>
      </c>
      <c r="E7362">
        <v>846.2</v>
      </c>
      <c r="F7362">
        <v>20140306</v>
      </c>
      <c r="G7362" t="s">
        <v>511</v>
      </c>
      <c r="H7362" t="s">
        <v>3608</v>
      </c>
      <c r="I7362" t="s">
        <v>21</v>
      </c>
    </row>
    <row r="7363" spans="1:9" x14ac:dyDescent="0.25">
      <c r="A7363">
        <v>20140307</v>
      </c>
      <c r="B7363" t="str">
        <f>"114702"</f>
        <v>114702</v>
      </c>
      <c r="C7363" t="str">
        <f>"80874"</f>
        <v>80874</v>
      </c>
      <c r="D7363" t="s">
        <v>1956</v>
      </c>
      <c r="E7363">
        <v>6.44</v>
      </c>
      <c r="F7363">
        <v>20140306</v>
      </c>
      <c r="G7363" t="s">
        <v>39</v>
      </c>
      <c r="H7363" t="s">
        <v>354</v>
      </c>
      <c r="I7363" t="s">
        <v>38</v>
      </c>
    </row>
    <row r="7364" spans="1:9" x14ac:dyDescent="0.25">
      <c r="A7364">
        <v>20140307</v>
      </c>
      <c r="B7364" t="str">
        <f>"114703"</f>
        <v>114703</v>
      </c>
      <c r="C7364" t="str">
        <f>"86889"</f>
        <v>86889</v>
      </c>
      <c r="D7364" t="s">
        <v>449</v>
      </c>
      <c r="E7364">
        <v>275</v>
      </c>
      <c r="F7364">
        <v>20140307</v>
      </c>
      <c r="G7364" t="s">
        <v>1273</v>
      </c>
      <c r="H7364" t="s">
        <v>3609</v>
      </c>
      <c r="I7364" t="s">
        <v>21</v>
      </c>
    </row>
    <row r="7365" spans="1:9" x14ac:dyDescent="0.25">
      <c r="A7365">
        <v>20140307</v>
      </c>
      <c r="B7365" t="str">
        <f>"114704"</f>
        <v>114704</v>
      </c>
      <c r="C7365" t="str">
        <f>"87563"</f>
        <v>87563</v>
      </c>
      <c r="D7365" t="s">
        <v>2427</v>
      </c>
      <c r="E7365" s="1">
        <v>1722.74</v>
      </c>
      <c r="F7365">
        <v>20140307</v>
      </c>
      <c r="G7365" t="s">
        <v>3201</v>
      </c>
      <c r="H7365" t="s">
        <v>3610</v>
      </c>
      <c r="I7365" t="s">
        <v>61</v>
      </c>
    </row>
    <row r="7366" spans="1:9" x14ac:dyDescent="0.25">
      <c r="A7366">
        <v>20140307</v>
      </c>
      <c r="B7366" t="str">
        <f>"114705"</f>
        <v>114705</v>
      </c>
      <c r="C7366" t="str">
        <f>"86456"</f>
        <v>86456</v>
      </c>
      <c r="D7366" t="s">
        <v>495</v>
      </c>
      <c r="E7366">
        <v>119.91</v>
      </c>
      <c r="F7366">
        <v>20140307</v>
      </c>
      <c r="G7366" t="s">
        <v>413</v>
      </c>
      <c r="H7366" t="s">
        <v>414</v>
      </c>
      <c r="I7366" t="s">
        <v>21</v>
      </c>
    </row>
    <row r="7367" spans="1:9" x14ac:dyDescent="0.25">
      <c r="A7367">
        <v>20140307</v>
      </c>
      <c r="B7367" t="str">
        <f>"114705"</f>
        <v>114705</v>
      </c>
      <c r="C7367" t="str">
        <f>"86456"</f>
        <v>86456</v>
      </c>
      <c r="D7367" t="s">
        <v>495</v>
      </c>
      <c r="E7367">
        <v>89.96</v>
      </c>
      <c r="F7367">
        <v>20140307</v>
      </c>
      <c r="G7367" t="s">
        <v>415</v>
      </c>
      <c r="H7367" t="s">
        <v>414</v>
      </c>
      <c r="I7367" t="s">
        <v>21</v>
      </c>
    </row>
    <row r="7368" spans="1:9" x14ac:dyDescent="0.25">
      <c r="A7368">
        <v>20140307</v>
      </c>
      <c r="B7368" t="str">
        <f>"114705"</f>
        <v>114705</v>
      </c>
      <c r="C7368" t="str">
        <f>"86456"</f>
        <v>86456</v>
      </c>
      <c r="D7368" t="s">
        <v>495</v>
      </c>
      <c r="E7368">
        <v>31.96</v>
      </c>
      <c r="F7368">
        <v>20140307</v>
      </c>
      <c r="G7368" t="s">
        <v>627</v>
      </c>
      <c r="H7368" t="s">
        <v>414</v>
      </c>
      <c r="I7368" t="s">
        <v>21</v>
      </c>
    </row>
    <row r="7369" spans="1:9" x14ac:dyDescent="0.25">
      <c r="A7369">
        <v>20140307</v>
      </c>
      <c r="B7369" t="str">
        <f>"114705"</f>
        <v>114705</v>
      </c>
      <c r="C7369" t="str">
        <f>"86456"</f>
        <v>86456</v>
      </c>
      <c r="D7369" t="s">
        <v>495</v>
      </c>
      <c r="E7369">
        <v>15</v>
      </c>
      <c r="F7369">
        <v>20140307</v>
      </c>
      <c r="G7369" t="s">
        <v>392</v>
      </c>
      <c r="H7369" t="s">
        <v>414</v>
      </c>
      <c r="I7369" t="s">
        <v>21</v>
      </c>
    </row>
    <row r="7370" spans="1:9" x14ac:dyDescent="0.25">
      <c r="A7370">
        <v>20140307</v>
      </c>
      <c r="B7370" t="str">
        <f>"114706"</f>
        <v>114706</v>
      </c>
      <c r="C7370" t="str">
        <f>"09600"</f>
        <v>09600</v>
      </c>
      <c r="D7370" t="s">
        <v>497</v>
      </c>
      <c r="E7370" s="1">
        <v>1586.43</v>
      </c>
      <c r="F7370">
        <v>20140307</v>
      </c>
      <c r="G7370" t="s">
        <v>498</v>
      </c>
      <c r="H7370" t="s">
        <v>499</v>
      </c>
      <c r="I7370" t="s">
        <v>21</v>
      </c>
    </row>
    <row r="7371" spans="1:9" x14ac:dyDescent="0.25">
      <c r="A7371">
        <v>20140307</v>
      </c>
      <c r="B7371" t="str">
        <f>"114706"</f>
        <v>114706</v>
      </c>
      <c r="C7371" t="str">
        <f>"09600"</f>
        <v>09600</v>
      </c>
      <c r="D7371" t="s">
        <v>497</v>
      </c>
      <c r="E7371">
        <v>192.1</v>
      </c>
      <c r="F7371">
        <v>20140307</v>
      </c>
      <c r="G7371" t="s">
        <v>496</v>
      </c>
      <c r="H7371" t="s">
        <v>414</v>
      </c>
      <c r="I7371" t="s">
        <v>21</v>
      </c>
    </row>
    <row r="7372" spans="1:9" x14ac:dyDescent="0.25">
      <c r="A7372">
        <v>20140307</v>
      </c>
      <c r="B7372" t="str">
        <f>"114707"</f>
        <v>114707</v>
      </c>
      <c r="C7372" t="str">
        <f>"23780"</f>
        <v>23780</v>
      </c>
      <c r="D7372" t="s">
        <v>1852</v>
      </c>
      <c r="E7372" s="1">
        <v>1384.85</v>
      </c>
      <c r="F7372">
        <v>20140307</v>
      </c>
      <c r="G7372" t="s">
        <v>828</v>
      </c>
      <c r="H7372" t="s">
        <v>3611</v>
      </c>
      <c r="I7372" t="s">
        <v>21</v>
      </c>
    </row>
    <row r="7373" spans="1:9" x14ac:dyDescent="0.25">
      <c r="A7373">
        <v>20140307</v>
      </c>
      <c r="B7373" t="str">
        <f t="shared" ref="B7373:B7380" si="442">"114708"</f>
        <v>114708</v>
      </c>
      <c r="C7373" t="str">
        <f t="shared" ref="C7373:C7380" si="443">"87714"</f>
        <v>87714</v>
      </c>
      <c r="D7373" t="s">
        <v>3141</v>
      </c>
      <c r="E7373" s="1">
        <v>3603.82</v>
      </c>
      <c r="F7373">
        <v>20140307</v>
      </c>
      <c r="G7373" t="s">
        <v>717</v>
      </c>
      <c r="H7373" t="s">
        <v>488</v>
      </c>
      <c r="I7373" t="s">
        <v>21</v>
      </c>
    </row>
    <row r="7374" spans="1:9" x14ac:dyDescent="0.25">
      <c r="A7374">
        <v>20140307</v>
      </c>
      <c r="B7374" t="str">
        <f t="shared" si="442"/>
        <v>114708</v>
      </c>
      <c r="C7374" t="str">
        <f t="shared" si="443"/>
        <v>87714</v>
      </c>
      <c r="D7374" t="s">
        <v>3141</v>
      </c>
      <c r="E7374" s="1">
        <v>32434.36</v>
      </c>
      <c r="F7374">
        <v>20140307</v>
      </c>
      <c r="G7374" t="s">
        <v>718</v>
      </c>
      <c r="H7374" t="s">
        <v>488</v>
      </c>
      <c r="I7374" t="s">
        <v>21</v>
      </c>
    </row>
    <row r="7375" spans="1:9" x14ac:dyDescent="0.25">
      <c r="A7375">
        <v>20140307</v>
      </c>
      <c r="B7375" t="str">
        <f t="shared" si="442"/>
        <v>114708</v>
      </c>
      <c r="C7375" t="str">
        <f t="shared" si="443"/>
        <v>87714</v>
      </c>
      <c r="D7375" t="s">
        <v>3141</v>
      </c>
      <c r="E7375" s="1">
        <v>8755.7199999999993</v>
      </c>
      <c r="F7375">
        <v>20140307</v>
      </c>
      <c r="G7375" t="s">
        <v>719</v>
      </c>
      <c r="H7375" t="s">
        <v>488</v>
      </c>
      <c r="I7375" t="s">
        <v>21</v>
      </c>
    </row>
    <row r="7376" spans="1:9" x14ac:dyDescent="0.25">
      <c r="A7376">
        <v>20140307</v>
      </c>
      <c r="B7376" t="str">
        <f t="shared" si="442"/>
        <v>114708</v>
      </c>
      <c r="C7376" t="str">
        <f t="shared" si="443"/>
        <v>87714</v>
      </c>
      <c r="D7376" t="s">
        <v>3141</v>
      </c>
      <c r="E7376" s="1">
        <v>6838.95</v>
      </c>
      <c r="F7376">
        <v>20140307</v>
      </c>
      <c r="G7376" t="s">
        <v>721</v>
      </c>
      <c r="H7376" t="s">
        <v>488</v>
      </c>
      <c r="I7376" t="s">
        <v>21</v>
      </c>
    </row>
    <row r="7377" spans="1:9" x14ac:dyDescent="0.25">
      <c r="A7377">
        <v>20140307</v>
      </c>
      <c r="B7377" t="str">
        <f t="shared" si="442"/>
        <v>114708</v>
      </c>
      <c r="C7377" t="str">
        <f t="shared" si="443"/>
        <v>87714</v>
      </c>
      <c r="D7377" t="s">
        <v>3141</v>
      </c>
      <c r="E7377">
        <v>31.39</v>
      </c>
      <c r="F7377">
        <v>20140307</v>
      </c>
      <c r="G7377" t="s">
        <v>722</v>
      </c>
      <c r="H7377" t="s">
        <v>488</v>
      </c>
      <c r="I7377" t="s">
        <v>21</v>
      </c>
    </row>
    <row r="7378" spans="1:9" x14ac:dyDescent="0.25">
      <c r="A7378">
        <v>20140307</v>
      </c>
      <c r="B7378" t="str">
        <f t="shared" si="442"/>
        <v>114708</v>
      </c>
      <c r="C7378" t="str">
        <f t="shared" si="443"/>
        <v>87714</v>
      </c>
      <c r="D7378" t="s">
        <v>3141</v>
      </c>
      <c r="E7378" s="1">
        <v>5502.28</v>
      </c>
      <c r="F7378">
        <v>20140307</v>
      </c>
      <c r="G7378" t="s">
        <v>723</v>
      </c>
      <c r="H7378" t="s">
        <v>488</v>
      </c>
      <c r="I7378" t="s">
        <v>21</v>
      </c>
    </row>
    <row r="7379" spans="1:9" x14ac:dyDescent="0.25">
      <c r="A7379">
        <v>20140307</v>
      </c>
      <c r="B7379" t="str">
        <f t="shared" si="442"/>
        <v>114708</v>
      </c>
      <c r="C7379" t="str">
        <f t="shared" si="443"/>
        <v>87714</v>
      </c>
      <c r="D7379" t="s">
        <v>3141</v>
      </c>
      <c r="E7379" s="1">
        <v>1452.75</v>
      </c>
      <c r="F7379">
        <v>20140307</v>
      </c>
      <c r="G7379" t="s">
        <v>726</v>
      </c>
      <c r="H7379" t="s">
        <v>488</v>
      </c>
      <c r="I7379" t="s">
        <v>21</v>
      </c>
    </row>
    <row r="7380" spans="1:9" x14ac:dyDescent="0.25">
      <c r="A7380">
        <v>20140307</v>
      </c>
      <c r="B7380" t="str">
        <f t="shared" si="442"/>
        <v>114708</v>
      </c>
      <c r="C7380" t="str">
        <f t="shared" si="443"/>
        <v>87714</v>
      </c>
      <c r="D7380" t="s">
        <v>3141</v>
      </c>
      <c r="E7380">
        <v>759.46</v>
      </c>
      <c r="F7380">
        <v>20140307</v>
      </c>
      <c r="G7380" t="s">
        <v>467</v>
      </c>
      <c r="H7380" t="s">
        <v>488</v>
      </c>
      <c r="I7380" t="s">
        <v>21</v>
      </c>
    </row>
    <row r="7381" spans="1:9" x14ac:dyDescent="0.25">
      <c r="A7381">
        <v>20140307</v>
      </c>
      <c r="B7381" t="str">
        <f>"114709"</f>
        <v>114709</v>
      </c>
      <c r="C7381" t="str">
        <f>"83720"</f>
        <v>83720</v>
      </c>
      <c r="D7381" t="s">
        <v>3612</v>
      </c>
      <c r="E7381" s="1">
        <v>2618</v>
      </c>
      <c r="F7381">
        <v>20140307</v>
      </c>
      <c r="G7381" t="s">
        <v>143</v>
      </c>
      <c r="I7381" t="s">
        <v>25</v>
      </c>
    </row>
    <row r="7382" spans="1:9" x14ac:dyDescent="0.25">
      <c r="A7382">
        <v>20140307</v>
      </c>
      <c r="B7382" t="str">
        <f t="shared" ref="B7382:B7399" si="444">"114710"</f>
        <v>114710</v>
      </c>
      <c r="C7382" t="str">
        <f t="shared" ref="C7382:C7399" si="445">"31570"</f>
        <v>31570</v>
      </c>
      <c r="D7382" t="s">
        <v>1244</v>
      </c>
      <c r="E7382">
        <v>8.8699999999999992</v>
      </c>
      <c r="F7382">
        <v>20140307</v>
      </c>
      <c r="G7382" t="s">
        <v>448</v>
      </c>
      <c r="H7382" t="s">
        <v>414</v>
      </c>
      <c r="I7382" t="s">
        <v>21</v>
      </c>
    </row>
    <row r="7383" spans="1:9" x14ac:dyDescent="0.25">
      <c r="A7383">
        <v>20140307</v>
      </c>
      <c r="B7383" t="str">
        <f t="shared" si="444"/>
        <v>114710</v>
      </c>
      <c r="C7383" t="str">
        <f t="shared" si="445"/>
        <v>31570</v>
      </c>
      <c r="D7383" t="s">
        <v>1244</v>
      </c>
      <c r="E7383">
        <v>53.96</v>
      </c>
      <c r="F7383">
        <v>20140307</v>
      </c>
      <c r="G7383" t="s">
        <v>496</v>
      </c>
      <c r="H7383" t="s">
        <v>414</v>
      </c>
      <c r="I7383" t="s">
        <v>21</v>
      </c>
    </row>
    <row r="7384" spans="1:9" x14ac:dyDescent="0.25">
      <c r="A7384">
        <v>20140307</v>
      </c>
      <c r="B7384" t="str">
        <f t="shared" si="444"/>
        <v>114710</v>
      </c>
      <c r="C7384" t="str">
        <f t="shared" si="445"/>
        <v>31570</v>
      </c>
      <c r="D7384" t="s">
        <v>1244</v>
      </c>
      <c r="E7384">
        <v>122.81</v>
      </c>
      <c r="F7384">
        <v>20140307</v>
      </c>
      <c r="G7384" t="s">
        <v>413</v>
      </c>
      <c r="H7384" t="s">
        <v>414</v>
      </c>
      <c r="I7384" t="s">
        <v>21</v>
      </c>
    </row>
    <row r="7385" spans="1:9" x14ac:dyDescent="0.25">
      <c r="A7385">
        <v>20140307</v>
      </c>
      <c r="B7385" t="str">
        <f t="shared" si="444"/>
        <v>114710</v>
      </c>
      <c r="C7385" t="str">
        <f t="shared" si="445"/>
        <v>31570</v>
      </c>
      <c r="D7385" t="s">
        <v>1244</v>
      </c>
      <c r="E7385">
        <v>9.08</v>
      </c>
      <c r="F7385">
        <v>20140307</v>
      </c>
      <c r="G7385" t="s">
        <v>473</v>
      </c>
      <c r="H7385" t="s">
        <v>414</v>
      </c>
      <c r="I7385" t="s">
        <v>21</v>
      </c>
    </row>
    <row r="7386" spans="1:9" x14ac:dyDescent="0.25">
      <c r="A7386">
        <v>20140307</v>
      </c>
      <c r="B7386" t="str">
        <f t="shared" si="444"/>
        <v>114710</v>
      </c>
      <c r="C7386" t="str">
        <f t="shared" si="445"/>
        <v>31570</v>
      </c>
      <c r="D7386" t="s">
        <v>1244</v>
      </c>
      <c r="E7386">
        <v>104.73</v>
      </c>
      <c r="F7386">
        <v>20140307</v>
      </c>
      <c r="G7386" t="s">
        <v>482</v>
      </c>
      <c r="H7386" t="s">
        <v>414</v>
      </c>
      <c r="I7386" t="s">
        <v>21</v>
      </c>
    </row>
    <row r="7387" spans="1:9" x14ac:dyDescent="0.25">
      <c r="A7387">
        <v>20140307</v>
      </c>
      <c r="B7387" t="str">
        <f t="shared" si="444"/>
        <v>114710</v>
      </c>
      <c r="C7387" t="str">
        <f t="shared" si="445"/>
        <v>31570</v>
      </c>
      <c r="D7387" t="s">
        <v>1244</v>
      </c>
      <c r="E7387">
        <v>941.08</v>
      </c>
      <c r="F7387">
        <v>20140307</v>
      </c>
      <c r="G7387" t="s">
        <v>415</v>
      </c>
      <c r="H7387" t="s">
        <v>414</v>
      </c>
      <c r="I7387" t="s">
        <v>21</v>
      </c>
    </row>
    <row r="7388" spans="1:9" x14ac:dyDescent="0.25">
      <c r="A7388">
        <v>20140307</v>
      </c>
      <c r="B7388" t="str">
        <f t="shared" si="444"/>
        <v>114710</v>
      </c>
      <c r="C7388" t="str">
        <f t="shared" si="445"/>
        <v>31570</v>
      </c>
      <c r="D7388" t="s">
        <v>1244</v>
      </c>
      <c r="E7388">
        <v>37.99</v>
      </c>
      <c r="F7388">
        <v>20140307</v>
      </c>
      <c r="G7388" t="s">
        <v>627</v>
      </c>
      <c r="H7388" t="s">
        <v>414</v>
      </c>
      <c r="I7388" t="s">
        <v>21</v>
      </c>
    </row>
    <row r="7389" spans="1:9" x14ac:dyDescent="0.25">
      <c r="A7389">
        <v>20140307</v>
      </c>
      <c r="B7389" t="str">
        <f t="shared" si="444"/>
        <v>114710</v>
      </c>
      <c r="C7389" t="str">
        <f t="shared" si="445"/>
        <v>31570</v>
      </c>
      <c r="D7389" t="s">
        <v>1244</v>
      </c>
      <c r="E7389">
        <v>9.89</v>
      </c>
      <c r="F7389">
        <v>20140307</v>
      </c>
      <c r="G7389" t="s">
        <v>1222</v>
      </c>
      <c r="H7389" t="s">
        <v>414</v>
      </c>
      <c r="I7389" t="s">
        <v>21</v>
      </c>
    </row>
    <row r="7390" spans="1:9" x14ac:dyDescent="0.25">
      <c r="A7390">
        <v>20140307</v>
      </c>
      <c r="B7390" t="str">
        <f t="shared" si="444"/>
        <v>114710</v>
      </c>
      <c r="C7390" t="str">
        <f t="shared" si="445"/>
        <v>31570</v>
      </c>
      <c r="D7390" t="s">
        <v>1244</v>
      </c>
      <c r="E7390">
        <v>191.47</v>
      </c>
      <c r="F7390">
        <v>20140307</v>
      </c>
      <c r="G7390" t="s">
        <v>628</v>
      </c>
      <c r="H7390" t="s">
        <v>414</v>
      </c>
      <c r="I7390" t="s">
        <v>21</v>
      </c>
    </row>
    <row r="7391" spans="1:9" x14ac:dyDescent="0.25">
      <c r="A7391">
        <v>20140307</v>
      </c>
      <c r="B7391" t="str">
        <f t="shared" si="444"/>
        <v>114710</v>
      </c>
      <c r="C7391" t="str">
        <f t="shared" si="445"/>
        <v>31570</v>
      </c>
      <c r="D7391" t="s">
        <v>1244</v>
      </c>
      <c r="E7391">
        <v>31.86</v>
      </c>
      <c r="F7391">
        <v>20140307</v>
      </c>
      <c r="G7391" t="s">
        <v>629</v>
      </c>
      <c r="H7391" t="s">
        <v>414</v>
      </c>
      <c r="I7391" t="s">
        <v>21</v>
      </c>
    </row>
    <row r="7392" spans="1:9" x14ac:dyDescent="0.25">
      <c r="A7392">
        <v>20140307</v>
      </c>
      <c r="B7392" t="str">
        <f t="shared" si="444"/>
        <v>114710</v>
      </c>
      <c r="C7392" t="str">
        <f t="shared" si="445"/>
        <v>31570</v>
      </c>
      <c r="D7392" t="s">
        <v>1244</v>
      </c>
      <c r="E7392">
        <v>149.38</v>
      </c>
      <c r="F7392">
        <v>20140307</v>
      </c>
      <c r="G7392" t="s">
        <v>630</v>
      </c>
      <c r="H7392" t="s">
        <v>414</v>
      </c>
      <c r="I7392" t="s">
        <v>21</v>
      </c>
    </row>
    <row r="7393" spans="1:9" x14ac:dyDescent="0.25">
      <c r="A7393">
        <v>20140307</v>
      </c>
      <c r="B7393" t="str">
        <f t="shared" si="444"/>
        <v>114710</v>
      </c>
      <c r="C7393" t="str">
        <f t="shared" si="445"/>
        <v>31570</v>
      </c>
      <c r="D7393" t="s">
        <v>1244</v>
      </c>
      <c r="E7393">
        <v>365.63</v>
      </c>
      <c r="F7393">
        <v>20140307</v>
      </c>
      <c r="G7393" t="s">
        <v>530</v>
      </c>
      <c r="H7393" t="s">
        <v>414</v>
      </c>
      <c r="I7393" t="s">
        <v>21</v>
      </c>
    </row>
    <row r="7394" spans="1:9" x14ac:dyDescent="0.25">
      <c r="A7394">
        <v>20140307</v>
      </c>
      <c r="B7394" t="str">
        <f t="shared" si="444"/>
        <v>114710</v>
      </c>
      <c r="C7394" t="str">
        <f t="shared" si="445"/>
        <v>31570</v>
      </c>
      <c r="D7394" t="s">
        <v>1244</v>
      </c>
      <c r="E7394">
        <v>65.98</v>
      </c>
      <c r="F7394">
        <v>20140307</v>
      </c>
      <c r="G7394" t="s">
        <v>631</v>
      </c>
      <c r="H7394" t="s">
        <v>414</v>
      </c>
      <c r="I7394" t="s">
        <v>21</v>
      </c>
    </row>
    <row r="7395" spans="1:9" x14ac:dyDescent="0.25">
      <c r="A7395">
        <v>20140307</v>
      </c>
      <c r="B7395" t="str">
        <f t="shared" si="444"/>
        <v>114710</v>
      </c>
      <c r="C7395" t="str">
        <f t="shared" si="445"/>
        <v>31570</v>
      </c>
      <c r="D7395" t="s">
        <v>1244</v>
      </c>
      <c r="E7395">
        <v>831.79</v>
      </c>
      <c r="F7395">
        <v>20140307</v>
      </c>
      <c r="G7395" t="s">
        <v>392</v>
      </c>
      <c r="H7395" t="s">
        <v>414</v>
      </c>
      <c r="I7395" t="s">
        <v>21</v>
      </c>
    </row>
    <row r="7396" spans="1:9" x14ac:dyDescent="0.25">
      <c r="A7396">
        <v>20140307</v>
      </c>
      <c r="B7396" t="str">
        <f t="shared" si="444"/>
        <v>114710</v>
      </c>
      <c r="C7396" t="str">
        <f t="shared" si="445"/>
        <v>31570</v>
      </c>
      <c r="D7396" t="s">
        <v>1244</v>
      </c>
      <c r="E7396">
        <v>34.619999999999997</v>
      </c>
      <c r="F7396">
        <v>20140307</v>
      </c>
      <c r="G7396" t="s">
        <v>1224</v>
      </c>
      <c r="H7396" t="s">
        <v>414</v>
      </c>
      <c r="I7396" t="s">
        <v>21</v>
      </c>
    </row>
    <row r="7397" spans="1:9" x14ac:dyDescent="0.25">
      <c r="A7397">
        <v>20140307</v>
      </c>
      <c r="B7397" t="str">
        <f t="shared" si="444"/>
        <v>114710</v>
      </c>
      <c r="C7397" t="str">
        <f t="shared" si="445"/>
        <v>31570</v>
      </c>
      <c r="D7397" t="s">
        <v>1244</v>
      </c>
      <c r="E7397">
        <v>45.49</v>
      </c>
      <c r="F7397">
        <v>20140307</v>
      </c>
      <c r="G7397" t="s">
        <v>531</v>
      </c>
      <c r="H7397" t="s">
        <v>414</v>
      </c>
      <c r="I7397" t="s">
        <v>21</v>
      </c>
    </row>
    <row r="7398" spans="1:9" x14ac:dyDescent="0.25">
      <c r="A7398">
        <v>20140307</v>
      </c>
      <c r="B7398" t="str">
        <f t="shared" si="444"/>
        <v>114710</v>
      </c>
      <c r="C7398" t="str">
        <f t="shared" si="445"/>
        <v>31570</v>
      </c>
      <c r="D7398" t="s">
        <v>1244</v>
      </c>
      <c r="E7398">
        <v>629.28</v>
      </c>
      <c r="F7398">
        <v>20140307</v>
      </c>
      <c r="G7398" t="s">
        <v>417</v>
      </c>
      <c r="H7398" t="s">
        <v>414</v>
      </c>
      <c r="I7398" t="s">
        <v>21</v>
      </c>
    </row>
    <row r="7399" spans="1:9" x14ac:dyDescent="0.25">
      <c r="A7399">
        <v>20140307</v>
      </c>
      <c r="B7399" t="str">
        <f t="shared" si="444"/>
        <v>114710</v>
      </c>
      <c r="C7399" t="str">
        <f t="shared" si="445"/>
        <v>31570</v>
      </c>
      <c r="D7399" t="s">
        <v>1244</v>
      </c>
      <c r="E7399">
        <v>148.85</v>
      </c>
      <c r="F7399">
        <v>20140307</v>
      </c>
      <c r="G7399" t="s">
        <v>1426</v>
      </c>
      <c r="H7399" t="s">
        <v>414</v>
      </c>
      <c r="I7399" t="s">
        <v>38</v>
      </c>
    </row>
    <row r="7400" spans="1:9" x14ac:dyDescent="0.25">
      <c r="A7400">
        <v>20140307</v>
      </c>
      <c r="B7400" t="str">
        <f>"114711"</f>
        <v>114711</v>
      </c>
      <c r="C7400" t="str">
        <f>"35337"</f>
        <v>35337</v>
      </c>
      <c r="D7400" t="s">
        <v>599</v>
      </c>
      <c r="E7400">
        <v>127.84</v>
      </c>
      <c r="F7400">
        <v>20140307</v>
      </c>
      <c r="G7400" t="s">
        <v>498</v>
      </c>
      <c r="H7400" t="s">
        <v>499</v>
      </c>
      <c r="I7400" t="s">
        <v>21</v>
      </c>
    </row>
    <row r="7401" spans="1:9" x14ac:dyDescent="0.25">
      <c r="A7401">
        <v>20140307</v>
      </c>
      <c r="B7401" t="str">
        <f>"114712"</f>
        <v>114712</v>
      </c>
      <c r="C7401" t="str">
        <f>"00429"</f>
        <v>00429</v>
      </c>
      <c r="D7401" t="s">
        <v>3613</v>
      </c>
      <c r="E7401">
        <v>100</v>
      </c>
      <c r="F7401">
        <v>20140307</v>
      </c>
      <c r="G7401" t="s">
        <v>3614</v>
      </c>
      <c r="H7401" t="s">
        <v>3615</v>
      </c>
      <c r="I7401" t="s">
        <v>21</v>
      </c>
    </row>
    <row r="7402" spans="1:9" x14ac:dyDescent="0.25">
      <c r="A7402">
        <v>20140307</v>
      </c>
      <c r="B7402" t="str">
        <f>"114712"</f>
        <v>114712</v>
      </c>
      <c r="C7402" t="str">
        <f>"00429"</f>
        <v>00429</v>
      </c>
      <c r="D7402" t="s">
        <v>3613</v>
      </c>
      <c r="E7402">
        <v>53.94</v>
      </c>
      <c r="F7402">
        <v>20140307</v>
      </c>
      <c r="G7402" t="s">
        <v>3616</v>
      </c>
      <c r="H7402" t="s">
        <v>3615</v>
      </c>
      <c r="I7402" t="s">
        <v>21</v>
      </c>
    </row>
    <row r="7403" spans="1:9" x14ac:dyDescent="0.25">
      <c r="A7403">
        <v>20140307</v>
      </c>
      <c r="B7403" t="str">
        <f>"114713"</f>
        <v>114713</v>
      </c>
      <c r="C7403" t="str">
        <f>"39190"</f>
        <v>39190</v>
      </c>
      <c r="D7403" t="s">
        <v>1100</v>
      </c>
      <c r="E7403">
        <v>798.91</v>
      </c>
      <c r="F7403">
        <v>20140307</v>
      </c>
      <c r="G7403" t="s">
        <v>742</v>
      </c>
      <c r="H7403" t="s">
        <v>743</v>
      </c>
      <c r="I7403" t="s">
        <v>21</v>
      </c>
    </row>
    <row r="7404" spans="1:9" x14ac:dyDescent="0.25">
      <c r="A7404">
        <v>20140307</v>
      </c>
      <c r="B7404" t="str">
        <f>"114714"</f>
        <v>114714</v>
      </c>
      <c r="C7404" t="str">
        <f>"86459"</f>
        <v>86459</v>
      </c>
      <c r="D7404" t="s">
        <v>881</v>
      </c>
      <c r="E7404">
        <v>292</v>
      </c>
      <c r="F7404">
        <v>20140307</v>
      </c>
      <c r="G7404" t="s">
        <v>3617</v>
      </c>
      <c r="H7404" t="s">
        <v>3618</v>
      </c>
      <c r="I7404" t="s">
        <v>61</v>
      </c>
    </row>
    <row r="7405" spans="1:9" x14ac:dyDescent="0.25">
      <c r="A7405">
        <v>20140307</v>
      </c>
      <c r="B7405" t="str">
        <f>"114714"</f>
        <v>114714</v>
      </c>
      <c r="C7405" t="str">
        <f>"86459"</f>
        <v>86459</v>
      </c>
      <c r="D7405" t="s">
        <v>881</v>
      </c>
      <c r="E7405">
        <v>467</v>
      </c>
      <c r="F7405">
        <v>20140307</v>
      </c>
      <c r="G7405" t="s">
        <v>3406</v>
      </c>
      <c r="H7405" t="s">
        <v>3618</v>
      </c>
      <c r="I7405" t="s">
        <v>61</v>
      </c>
    </row>
    <row r="7406" spans="1:9" x14ac:dyDescent="0.25">
      <c r="A7406">
        <v>20140307</v>
      </c>
      <c r="B7406" t="str">
        <f>"114715"</f>
        <v>114715</v>
      </c>
      <c r="C7406" t="str">
        <f>"81788"</f>
        <v>81788</v>
      </c>
      <c r="D7406" t="s">
        <v>1104</v>
      </c>
      <c r="E7406" s="1">
        <v>4042.19</v>
      </c>
      <c r="F7406">
        <v>20140307</v>
      </c>
      <c r="G7406" t="s">
        <v>830</v>
      </c>
      <c r="H7406" t="s">
        <v>3619</v>
      </c>
      <c r="I7406" t="s">
        <v>21</v>
      </c>
    </row>
    <row r="7407" spans="1:9" x14ac:dyDescent="0.25">
      <c r="A7407">
        <v>20140307</v>
      </c>
      <c r="B7407" t="str">
        <f t="shared" ref="B7407:B7422" si="446">"114716"</f>
        <v>114716</v>
      </c>
      <c r="C7407" t="str">
        <f t="shared" ref="C7407:C7422" si="447">"29230"</f>
        <v>29230</v>
      </c>
      <c r="D7407" t="s">
        <v>1267</v>
      </c>
      <c r="E7407">
        <v>80.52</v>
      </c>
      <c r="F7407">
        <v>20140307</v>
      </c>
      <c r="G7407" t="s">
        <v>340</v>
      </c>
      <c r="H7407" t="s">
        <v>1269</v>
      </c>
      <c r="I7407" t="s">
        <v>21</v>
      </c>
    </row>
    <row r="7408" spans="1:9" x14ac:dyDescent="0.25">
      <c r="A7408">
        <v>20140307</v>
      </c>
      <c r="B7408" t="str">
        <f t="shared" si="446"/>
        <v>114716</v>
      </c>
      <c r="C7408" t="str">
        <f t="shared" si="447"/>
        <v>29230</v>
      </c>
      <c r="D7408" t="s">
        <v>1267</v>
      </c>
      <c r="E7408">
        <v>65.88</v>
      </c>
      <c r="F7408">
        <v>20140307</v>
      </c>
      <c r="G7408" t="s">
        <v>511</v>
      </c>
      <c r="H7408" t="s">
        <v>1269</v>
      </c>
      <c r="I7408" t="s">
        <v>21</v>
      </c>
    </row>
    <row r="7409" spans="1:9" x14ac:dyDescent="0.25">
      <c r="A7409">
        <v>20140307</v>
      </c>
      <c r="B7409" t="str">
        <f t="shared" si="446"/>
        <v>114716</v>
      </c>
      <c r="C7409" t="str">
        <f t="shared" si="447"/>
        <v>29230</v>
      </c>
      <c r="D7409" t="s">
        <v>1267</v>
      </c>
      <c r="E7409">
        <v>112.55</v>
      </c>
      <c r="F7409">
        <v>20140307</v>
      </c>
      <c r="G7409" t="s">
        <v>511</v>
      </c>
      <c r="H7409" t="s">
        <v>1269</v>
      </c>
      <c r="I7409" t="s">
        <v>21</v>
      </c>
    </row>
    <row r="7410" spans="1:9" x14ac:dyDescent="0.25">
      <c r="A7410">
        <v>20140307</v>
      </c>
      <c r="B7410" t="str">
        <f t="shared" si="446"/>
        <v>114716</v>
      </c>
      <c r="C7410" t="str">
        <f t="shared" si="447"/>
        <v>29230</v>
      </c>
      <c r="D7410" t="s">
        <v>1267</v>
      </c>
      <c r="E7410" s="1">
        <v>1807.56</v>
      </c>
      <c r="F7410">
        <v>20140307</v>
      </c>
      <c r="G7410" t="s">
        <v>511</v>
      </c>
      <c r="H7410" t="s">
        <v>1269</v>
      </c>
      <c r="I7410" t="s">
        <v>21</v>
      </c>
    </row>
    <row r="7411" spans="1:9" x14ac:dyDescent="0.25">
      <c r="A7411">
        <v>20140307</v>
      </c>
      <c r="B7411" t="str">
        <f t="shared" si="446"/>
        <v>114716</v>
      </c>
      <c r="C7411" t="str">
        <f t="shared" si="447"/>
        <v>29230</v>
      </c>
      <c r="D7411" t="s">
        <v>1267</v>
      </c>
      <c r="E7411" s="1">
        <v>2110.6</v>
      </c>
      <c r="F7411">
        <v>20140307</v>
      </c>
      <c r="G7411" t="s">
        <v>511</v>
      </c>
      <c r="H7411" t="s">
        <v>1269</v>
      </c>
      <c r="I7411" t="s">
        <v>21</v>
      </c>
    </row>
    <row r="7412" spans="1:9" x14ac:dyDescent="0.25">
      <c r="A7412">
        <v>20140307</v>
      </c>
      <c r="B7412" t="str">
        <f t="shared" si="446"/>
        <v>114716</v>
      </c>
      <c r="C7412" t="str">
        <f t="shared" si="447"/>
        <v>29230</v>
      </c>
      <c r="D7412" t="s">
        <v>1267</v>
      </c>
      <c r="E7412" s="1">
        <v>1284.6600000000001</v>
      </c>
      <c r="F7412">
        <v>20140307</v>
      </c>
      <c r="G7412" t="s">
        <v>621</v>
      </c>
      <c r="H7412" t="s">
        <v>1269</v>
      </c>
      <c r="I7412" t="s">
        <v>21</v>
      </c>
    </row>
    <row r="7413" spans="1:9" x14ac:dyDescent="0.25">
      <c r="A7413">
        <v>20140307</v>
      </c>
      <c r="B7413" t="str">
        <f t="shared" si="446"/>
        <v>114716</v>
      </c>
      <c r="C7413" t="str">
        <f t="shared" si="447"/>
        <v>29230</v>
      </c>
      <c r="D7413" t="s">
        <v>1267</v>
      </c>
      <c r="E7413">
        <v>878.4</v>
      </c>
      <c r="F7413">
        <v>20140307</v>
      </c>
      <c r="G7413" t="s">
        <v>1270</v>
      </c>
      <c r="H7413" t="s">
        <v>1269</v>
      </c>
      <c r="I7413" t="s">
        <v>21</v>
      </c>
    </row>
    <row r="7414" spans="1:9" x14ac:dyDescent="0.25">
      <c r="A7414">
        <v>20140307</v>
      </c>
      <c r="B7414" t="str">
        <f t="shared" si="446"/>
        <v>114716</v>
      </c>
      <c r="C7414" t="str">
        <f t="shared" si="447"/>
        <v>29230</v>
      </c>
      <c r="D7414" t="s">
        <v>1267</v>
      </c>
      <c r="E7414">
        <v>761.28</v>
      </c>
      <c r="F7414">
        <v>20140307</v>
      </c>
      <c r="G7414" t="s">
        <v>624</v>
      </c>
      <c r="H7414" t="s">
        <v>1269</v>
      </c>
      <c r="I7414" t="s">
        <v>21</v>
      </c>
    </row>
    <row r="7415" spans="1:9" x14ac:dyDescent="0.25">
      <c r="A7415">
        <v>20140307</v>
      </c>
      <c r="B7415" t="str">
        <f t="shared" si="446"/>
        <v>114716</v>
      </c>
      <c r="C7415" t="str">
        <f t="shared" si="447"/>
        <v>29230</v>
      </c>
      <c r="D7415" t="s">
        <v>1267</v>
      </c>
      <c r="E7415" s="1">
        <v>1416.88</v>
      </c>
      <c r="F7415">
        <v>20140307</v>
      </c>
      <c r="G7415" t="s">
        <v>950</v>
      </c>
      <c r="H7415" t="s">
        <v>1269</v>
      </c>
      <c r="I7415" t="s">
        <v>21</v>
      </c>
    </row>
    <row r="7416" spans="1:9" x14ac:dyDescent="0.25">
      <c r="A7416">
        <v>20140307</v>
      </c>
      <c r="B7416" t="str">
        <f t="shared" si="446"/>
        <v>114716</v>
      </c>
      <c r="C7416" t="str">
        <f t="shared" si="447"/>
        <v>29230</v>
      </c>
      <c r="D7416" t="s">
        <v>1267</v>
      </c>
      <c r="E7416">
        <v>839.97</v>
      </c>
      <c r="F7416">
        <v>20140307</v>
      </c>
      <c r="G7416" t="s">
        <v>524</v>
      </c>
      <c r="H7416" t="s">
        <v>1269</v>
      </c>
      <c r="I7416" t="s">
        <v>21</v>
      </c>
    </row>
    <row r="7417" spans="1:9" x14ac:dyDescent="0.25">
      <c r="A7417">
        <v>20140307</v>
      </c>
      <c r="B7417" t="str">
        <f t="shared" si="446"/>
        <v>114716</v>
      </c>
      <c r="C7417" t="str">
        <f t="shared" si="447"/>
        <v>29230</v>
      </c>
      <c r="D7417" t="s">
        <v>1267</v>
      </c>
      <c r="E7417">
        <v>253.76</v>
      </c>
      <c r="F7417">
        <v>20140307</v>
      </c>
      <c r="G7417" t="s">
        <v>526</v>
      </c>
      <c r="H7417" t="s">
        <v>1269</v>
      </c>
      <c r="I7417" t="s">
        <v>21</v>
      </c>
    </row>
    <row r="7418" spans="1:9" x14ac:dyDescent="0.25">
      <c r="A7418">
        <v>20140307</v>
      </c>
      <c r="B7418" t="str">
        <f t="shared" si="446"/>
        <v>114716</v>
      </c>
      <c r="C7418" t="str">
        <f t="shared" si="447"/>
        <v>29230</v>
      </c>
      <c r="D7418" t="s">
        <v>1267</v>
      </c>
      <c r="E7418">
        <v>805.2</v>
      </c>
      <c r="F7418">
        <v>20140307</v>
      </c>
      <c r="G7418" t="s">
        <v>450</v>
      </c>
      <c r="H7418" t="s">
        <v>1269</v>
      </c>
      <c r="I7418" t="s">
        <v>21</v>
      </c>
    </row>
    <row r="7419" spans="1:9" x14ac:dyDescent="0.25">
      <c r="A7419">
        <v>20140307</v>
      </c>
      <c r="B7419" t="str">
        <f t="shared" si="446"/>
        <v>114716</v>
      </c>
      <c r="C7419" t="str">
        <f t="shared" si="447"/>
        <v>29230</v>
      </c>
      <c r="D7419" t="s">
        <v>1267</v>
      </c>
      <c r="E7419">
        <v>34.159999999999997</v>
      </c>
      <c r="F7419">
        <v>20140307</v>
      </c>
      <c r="G7419" t="s">
        <v>1271</v>
      </c>
      <c r="H7419" t="s">
        <v>1269</v>
      </c>
      <c r="I7419" t="s">
        <v>21</v>
      </c>
    </row>
    <row r="7420" spans="1:9" x14ac:dyDescent="0.25">
      <c r="A7420">
        <v>20140307</v>
      </c>
      <c r="B7420" t="str">
        <f t="shared" si="446"/>
        <v>114716</v>
      </c>
      <c r="C7420" t="str">
        <f t="shared" si="447"/>
        <v>29230</v>
      </c>
      <c r="D7420" t="s">
        <v>1267</v>
      </c>
      <c r="E7420">
        <v>278.16000000000003</v>
      </c>
      <c r="F7420">
        <v>20140307</v>
      </c>
      <c r="G7420" t="s">
        <v>1272</v>
      </c>
      <c r="H7420" t="s">
        <v>1269</v>
      </c>
      <c r="I7420" t="s">
        <v>21</v>
      </c>
    </row>
    <row r="7421" spans="1:9" x14ac:dyDescent="0.25">
      <c r="A7421">
        <v>20140307</v>
      </c>
      <c r="B7421" t="str">
        <f t="shared" si="446"/>
        <v>114716</v>
      </c>
      <c r="C7421" t="str">
        <f t="shared" si="447"/>
        <v>29230</v>
      </c>
      <c r="D7421" t="s">
        <v>1267</v>
      </c>
      <c r="E7421">
        <v>333.52</v>
      </c>
      <c r="F7421">
        <v>20140307</v>
      </c>
      <c r="G7421" t="s">
        <v>1273</v>
      </c>
      <c r="H7421" t="s">
        <v>1269</v>
      </c>
      <c r="I7421" t="s">
        <v>21</v>
      </c>
    </row>
    <row r="7422" spans="1:9" x14ac:dyDescent="0.25">
      <c r="A7422">
        <v>20140307</v>
      </c>
      <c r="B7422" t="str">
        <f t="shared" si="446"/>
        <v>114716</v>
      </c>
      <c r="C7422" t="str">
        <f t="shared" si="447"/>
        <v>29230</v>
      </c>
      <c r="D7422" t="s">
        <v>1267</v>
      </c>
      <c r="E7422">
        <v>39.04</v>
      </c>
      <c r="F7422">
        <v>20140307</v>
      </c>
      <c r="G7422" t="s">
        <v>1464</v>
      </c>
      <c r="H7422" t="s">
        <v>1269</v>
      </c>
      <c r="I7422" t="s">
        <v>21</v>
      </c>
    </row>
    <row r="7423" spans="1:9" x14ac:dyDescent="0.25">
      <c r="A7423">
        <v>20140307</v>
      </c>
      <c r="B7423" t="str">
        <f>"114717"</f>
        <v>114717</v>
      </c>
      <c r="C7423" t="str">
        <f>"86964"</f>
        <v>86964</v>
      </c>
      <c r="D7423" t="s">
        <v>1280</v>
      </c>
      <c r="E7423">
        <v>114</v>
      </c>
      <c r="F7423">
        <v>20140307</v>
      </c>
      <c r="G7423" t="s">
        <v>2147</v>
      </c>
      <c r="H7423" t="s">
        <v>3620</v>
      </c>
      <c r="I7423" t="s">
        <v>21</v>
      </c>
    </row>
    <row r="7424" spans="1:9" x14ac:dyDescent="0.25">
      <c r="A7424">
        <v>20140307</v>
      </c>
      <c r="B7424" t="str">
        <f>"114718"</f>
        <v>114718</v>
      </c>
      <c r="C7424" t="str">
        <f>"00034"</f>
        <v>00034</v>
      </c>
      <c r="D7424" t="s">
        <v>1653</v>
      </c>
      <c r="E7424" s="1">
        <v>2409.85</v>
      </c>
      <c r="F7424">
        <v>20140307</v>
      </c>
      <c r="G7424" t="s">
        <v>734</v>
      </c>
      <c r="H7424" t="s">
        <v>3621</v>
      </c>
      <c r="I7424" t="s">
        <v>21</v>
      </c>
    </row>
    <row r="7425" spans="1:9" x14ac:dyDescent="0.25">
      <c r="A7425">
        <v>20140307</v>
      </c>
      <c r="B7425" t="str">
        <f>"114719"</f>
        <v>114719</v>
      </c>
      <c r="C7425" t="str">
        <f>"82502"</f>
        <v>82502</v>
      </c>
      <c r="D7425" t="s">
        <v>706</v>
      </c>
      <c r="E7425">
        <v>25</v>
      </c>
      <c r="F7425">
        <v>20140307</v>
      </c>
      <c r="G7425" t="s">
        <v>340</v>
      </c>
      <c r="H7425" t="s">
        <v>2296</v>
      </c>
      <c r="I7425" t="s">
        <v>21</v>
      </c>
    </row>
    <row r="7426" spans="1:9" x14ac:dyDescent="0.25">
      <c r="A7426">
        <v>20140307</v>
      </c>
      <c r="B7426" t="str">
        <f>"114719"</f>
        <v>114719</v>
      </c>
      <c r="C7426" t="str">
        <f>"82502"</f>
        <v>82502</v>
      </c>
      <c r="D7426" t="s">
        <v>706</v>
      </c>
      <c r="E7426">
        <v>20</v>
      </c>
      <c r="F7426">
        <v>20140307</v>
      </c>
      <c r="G7426" t="s">
        <v>340</v>
      </c>
      <c r="H7426" t="s">
        <v>3622</v>
      </c>
      <c r="I7426" t="s">
        <v>21</v>
      </c>
    </row>
    <row r="7427" spans="1:9" x14ac:dyDescent="0.25">
      <c r="A7427">
        <v>20140307</v>
      </c>
      <c r="B7427" t="str">
        <f>"114719"</f>
        <v>114719</v>
      </c>
      <c r="C7427" t="str">
        <f>"82502"</f>
        <v>82502</v>
      </c>
      <c r="D7427" t="s">
        <v>706</v>
      </c>
      <c r="E7427">
        <v>40</v>
      </c>
      <c r="F7427">
        <v>20140307</v>
      </c>
      <c r="G7427" t="s">
        <v>340</v>
      </c>
      <c r="H7427" t="s">
        <v>2296</v>
      </c>
      <c r="I7427" t="s">
        <v>21</v>
      </c>
    </row>
    <row r="7428" spans="1:9" x14ac:dyDescent="0.25">
      <c r="A7428">
        <v>20140307</v>
      </c>
      <c r="B7428" t="str">
        <f>"114719"</f>
        <v>114719</v>
      </c>
      <c r="C7428" t="str">
        <f>"82502"</f>
        <v>82502</v>
      </c>
      <c r="D7428" t="s">
        <v>706</v>
      </c>
      <c r="E7428">
        <v>26</v>
      </c>
      <c r="F7428">
        <v>20140307</v>
      </c>
      <c r="G7428" t="s">
        <v>340</v>
      </c>
      <c r="H7428" t="s">
        <v>2296</v>
      </c>
      <c r="I7428" t="s">
        <v>21</v>
      </c>
    </row>
    <row r="7429" spans="1:9" x14ac:dyDescent="0.25">
      <c r="A7429">
        <v>20140307</v>
      </c>
      <c r="B7429" t="str">
        <f>"114719"</f>
        <v>114719</v>
      </c>
      <c r="C7429" t="str">
        <f>"82502"</f>
        <v>82502</v>
      </c>
      <c r="D7429" t="s">
        <v>706</v>
      </c>
      <c r="E7429">
        <v>10</v>
      </c>
      <c r="F7429">
        <v>20140307</v>
      </c>
      <c r="G7429" t="s">
        <v>340</v>
      </c>
      <c r="H7429" t="s">
        <v>2296</v>
      </c>
      <c r="I7429" t="s">
        <v>21</v>
      </c>
    </row>
    <row r="7430" spans="1:9" x14ac:dyDescent="0.25">
      <c r="A7430">
        <v>20140307</v>
      </c>
      <c r="B7430" t="str">
        <f>"114720"</f>
        <v>114720</v>
      </c>
      <c r="C7430" t="str">
        <f>"85673"</f>
        <v>85673</v>
      </c>
      <c r="D7430" t="s">
        <v>3343</v>
      </c>
      <c r="E7430">
        <v>450</v>
      </c>
      <c r="F7430">
        <v>20140307</v>
      </c>
      <c r="G7430" t="s">
        <v>3250</v>
      </c>
      <c r="H7430" t="s">
        <v>3623</v>
      </c>
      <c r="I7430" t="s">
        <v>21</v>
      </c>
    </row>
    <row r="7431" spans="1:9" x14ac:dyDescent="0.25">
      <c r="A7431">
        <v>20140320</v>
      </c>
      <c r="B7431" t="str">
        <f>"114721"</f>
        <v>114721</v>
      </c>
      <c r="C7431" t="str">
        <f>"00954"</f>
        <v>00954</v>
      </c>
      <c r="D7431" t="s">
        <v>445</v>
      </c>
      <c r="E7431" s="1">
        <v>2236.41</v>
      </c>
      <c r="F7431">
        <v>20140318</v>
      </c>
      <c r="G7431" t="s">
        <v>181</v>
      </c>
      <c r="H7431" t="s">
        <v>1427</v>
      </c>
      <c r="I7431" t="s">
        <v>38</v>
      </c>
    </row>
    <row r="7432" spans="1:9" x14ac:dyDescent="0.25">
      <c r="A7432">
        <v>20140320</v>
      </c>
      <c r="B7432" t="str">
        <f>"114721"</f>
        <v>114721</v>
      </c>
      <c r="C7432" t="str">
        <f>"00954"</f>
        <v>00954</v>
      </c>
      <c r="D7432" t="s">
        <v>445</v>
      </c>
      <c r="E7432">
        <v>50</v>
      </c>
      <c r="F7432">
        <v>20140318</v>
      </c>
      <c r="G7432" t="s">
        <v>140</v>
      </c>
      <c r="H7432" t="s">
        <v>1427</v>
      </c>
      <c r="I7432" t="s">
        <v>25</v>
      </c>
    </row>
    <row r="7433" spans="1:9" x14ac:dyDescent="0.25">
      <c r="A7433">
        <v>20140320</v>
      </c>
      <c r="B7433" t="str">
        <f>"114722"</f>
        <v>114722</v>
      </c>
      <c r="C7433" t="str">
        <f>"86517"</f>
        <v>86517</v>
      </c>
      <c r="D7433" t="s">
        <v>2101</v>
      </c>
      <c r="E7433" s="1">
        <v>2938.75</v>
      </c>
      <c r="F7433">
        <v>20140318</v>
      </c>
      <c r="G7433" t="s">
        <v>404</v>
      </c>
      <c r="H7433" t="s">
        <v>2102</v>
      </c>
      <c r="I7433" t="s">
        <v>12</v>
      </c>
    </row>
    <row r="7434" spans="1:9" x14ac:dyDescent="0.25">
      <c r="A7434">
        <v>20140320</v>
      </c>
      <c r="B7434" t="str">
        <f t="shared" ref="B7434:B7440" si="448">"114723"</f>
        <v>114723</v>
      </c>
      <c r="C7434" t="str">
        <f t="shared" ref="C7434:C7440" si="449">"01890"</f>
        <v>01890</v>
      </c>
      <c r="D7434" t="s">
        <v>447</v>
      </c>
      <c r="E7434">
        <v>20.89</v>
      </c>
      <c r="F7434">
        <v>20140317</v>
      </c>
      <c r="G7434" t="s">
        <v>1338</v>
      </c>
      <c r="H7434" t="s">
        <v>414</v>
      </c>
      <c r="I7434" t="s">
        <v>21</v>
      </c>
    </row>
    <row r="7435" spans="1:9" x14ac:dyDescent="0.25">
      <c r="A7435">
        <v>20140320</v>
      </c>
      <c r="B7435" t="str">
        <f t="shared" si="448"/>
        <v>114723</v>
      </c>
      <c r="C7435" t="str">
        <f t="shared" si="449"/>
        <v>01890</v>
      </c>
      <c r="D7435" t="s">
        <v>447</v>
      </c>
      <c r="E7435">
        <v>111.52</v>
      </c>
      <c r="F7435">
        <v>20140317</v>
      </c>
      <c r="G7435" t="s">
        <v>1338</v>
      </c>
      <c r="H7435" t="s">
        <v>414</v>
      </c>
      <c r="I7435" t="s">
        <v>21</v>
      </c>
    </row>
    <row r="7436" spans="1:9" x14ac:dyDescent="0.25">
      <c r="A7436">
        <v>20140320</v>
      </c>
      <c r="B7436" t="str">
        <f t="shared" si="448"/>
        <v>114723</v>
      </c>
      <c r="C7436" t="str">
        <f t="shared" si="449"/>
        <v>01890</v>
      </c>
      <c r="D7436" t="s">
        <v>447</v>
      </c>
      <c r="E7436">
        <v>112.93</v>
      </c>
      <c r="F7436">
        <v>20140317</v>
      </c>
      <c r="G7436" t="s">
        <v>1338</v>
      </c>
      <c r="H7436" t="s">
        <v>414</v>
      </c>
      <c r="I7436" t="s">
        <v>21</v>
      </c>
    </row>
    <row r="7437" spans="1:9" x14ac:dyDescent="0.25">
      <c r="A7437">
        <v>20140320</v>
      </c>
      <c r="B7437" t="str">
        <f t="shared" si="448"/>
        <v>114723</v>
      </c>
      <c r="C7437" t="str">
        <f t="shared" si="449"/>
        <v>01890</v>
      </c>
      <c r="D7437" t="s">
        <v>447</v>
      </c>
      <c r="E7437">
        <v>40.6</v>
      </c>
      <c r="F7437">
        <v>20140317</v>
      </c>
      <c r="G7437" t="s">
        <v>448</v>
      </c>
      <c r="H7437" t="s">
        <v>414</v>
      </c>
      <c r="I7437" t="s">
        <v>21</v>
      </c>
    </row>
    <row r="7438" spans="1:9" x14ac:dyDescent="0.25">
      <c r="A7438">
        <v>20140320</v>
      </c>
      <c r="B7438" t="str">
        <f t="shared" si="448"/>
        <v>114723</v>
      </c>
      <c r="C7438" t="str">
        <f t="shared" si="449"/>
        <v>01890</v>
      </c>
      <c r="D7438" t="s">
        <v>447</v>
      </c>
      <c r="E7438">
        <v>159.88999999999999</v>
      </c>
      <c r="F7438">
        <v>20140317</v>
      </c>
      <c r="G7438" t="s">
        <v>448</v>
      </c>
      <c r="H7438" t="s">
        <v>414</v>
      </c>
      <c r="I7438" t="s">
        <v>21</v>
      </c>
    </row>
    <row r="7439" spans="1:9" x14ac:dyDescent="0.25">
      <c r="A7439">
        <v>20140320</v>
      </c>
      <c r="B7439" t="str">
        <f t="shared" si="448"/>
        <v>114723</v>
      </c>
      <c r="C7439" t="str">
        <f t="shared" si="449"/>
        <v>01890</v>
      </c>
      <c r="D7439" t="s">
        <v>447</v>
      </c>
      <c r="E7439">
        <v>253.69</v>
      </c>
      <c r="F7439">
        <v>20140319</v>
      </c>
      <c r="G7439" t="s">
        <v>448</v>
      </c>
      <c r="H7439" t="s">
        <v>414</v>
      </c>
      <c r="I7439" t="s">
        <v>21</v>
      </c>
    </row>
    <row r="7440" spans="1:9" x14ac:dyDescent="0.25">
      <c r="A7440">
        <v>20140320</v>
      </c>
      <c r="B7440" t="str">
        <f t="shared" si="448"/>
        <v>114723</v>
      </c>
      <c r="C7440" t="str">
        <f t="shared" si="449"/>
        <v>01890</v>
      </c>
      <c r="D7440" t="s">
        <v>447</v>
      </c>
      <c r="E7440">
        <v>27.03</v>
      </c>
      <c r="F7440">
        <v>20140317</v>
      </c>
      <c r="G7440" t="s">
        <v>392</v>
      </c>
      <c r="H7440" t="s">
        <v>414</v>
      </c>
      <c r="I7440" t="s">
        <v>21</v>
      </c>
    </row>
    <row r="7441" spans="1:9" x14ac:dyDescent="0.25">
      <c r="A7441">
        <v>20140320</v>
      </c>
      <c r="B7441" t="str">
        <f>"114724"</f>
        <v>114724</v>
      </c>
      <c r="C7441" t="str">
        <f>"87466"</f>
        <v>87466</v>
      </c>
      <c r="D7441" t="s">
        <v>468</v>
      </c>
      <c r="E7441">
        <v>220</v>
      </c>
      <c r="F7441">
        <v>20140318</v>
      </c>
      <c r="G7441" t="s">
        <v>469</v>
      </c>
      <c r="H7441" t="s">
        <v>501</v>
      </c>
      <c r="I7441" t="s">
        <v>21</v>
      </c>
    </row>
    <row r="7442" spans="1:9" x14ac:dyDescent="0.25">
      <c r="A7442">
        <v>20140320</v>
      </c>
      <c r="B7442" t="str">
        <f>"114725"</f>
        <v>114725</v>
      </c>
      <c r="C7442" t="str">
        <f>"00500"</f>
        <v>00500</v>
      </c>
      <c r="D7442" t="s">
        <v>486</v>
      </c>
      <c r="E7442" s="1">
        <v>7016.46</v>
      </c>
      <c r="F7442">
        <v>20140318</v>
      </c>
      <c r="G7442" t="s">
        <v>487</v>
      </c>
      <c r="H7442" t="s">
        <v>488</v>
      </c>
      <c r="I7442" t="s">
        <v>21</v>
      </c>
    </row>
    <row r="7443" spans="1:9" x14ac:dyDescent="0.25">
      <c r="A7443">
        <v>20140320</v>
      </c>
      <c r="B7443" t="str">
        <f>"114726"</f>
        <v>114726</v>
      </c>
      <c r="C7443" t="str">
        <f>"83627"</f>
        <v>83627</v>
      </c>
      <c r="D7443" t="s">
        <v>1556</v>
      </c>
      <c r="E7443">
        <v>140</v>
      </c>
      <c r="F7443">
        <v>20140318</v>
      </c>
      <c r="G7443" t="s">
        <v>356</v>
      </c>
      <c r="H7443" t="s">
        <v>357</v>
      </c>
      <c r="I7443" t="s">
        <v>61</v>
      </c>
    </row>
    <row r="7444" spans="1:9" x14ac:dyDescent="0.25">
      <c r="A7444">
        <v>20140320</v>
      </c>
      <c r="B7444" t="str">
        <f>"114727"</f>
        <v>114727</v>
      </c>
      <c r="C7444" t="str">
        <f>"82826"</f>
        <v>82826</v>
      </c>
      <c r="D7444" t="s">
        <v>2615</v>
      </c>
      <c r="E7444" s="1">
        <v>28172</v>
      </c>
      <c r="F7444">
        <v>20140319</v>
      </c>
      <c r="G7444" t="s">
        <v>3205</v>
      </c>
      <c r="H7444" t="s">
        <v>3624</v>
      </c>
      <c r="I7444" t="s">
        <v>21</v>
      </c>
    </row>
    <row r="7445" spans="1:9" x14ac:dyDescent="0.25">
      <c r="A7445">
        <v>20140320</v>
      </c>
      <c r="B7445" t="str">
        <f>"114728"</f>
        <v>114728</v>
      </c>
      <c r="C7445" t="str">
        <f>"00042"</f>
        <v>00042</v>
      </c>
      <c r="D7445" t="s">
        <v>2617</v>
      </c>
      <c r="E7445">
        <v>277</v>
      </c>
      <c r="F7445">
        <v>20140318</v>
      </c>
      <c r="G7445" t="s">
        <v>1193</v>
      </c>
      <c r="H7445" t="s">
        <v>3365</v>
      </c>
      <c r="I7445" t="s">
        <v>25</v>
      </c>
    </row>
    <row r="7446" spans="1:9" x14ac:dyDescent="0.25">
      <c r="A7446">
        <v>20140320</v>
      </c>
      <c r="B7446" t="str">
        <f>"114729"</f>
        <v>114729</v>
      </c>
      <c r="C7446" t="str">
        <f>"82758"</f>
        <v>82758</v>
      </c>
      <c r="D7446" t="s">
        <v>776</v>
      </c>
      <c r="E7446" s="1">
        <v>19470.150000000001</v>
      </c>
      <c r="F7446">
        <v>20140318</v>
      </c>
      <c r="G7446" t="s">
        <v>777</v>
      </c>
      <c r="H7446" t="s">
        <v>778</v>
      </c>
      <c r="I7446" t="s">
        <v>21</v>
      </c>
    </row>
    <row r="7447" spans="1:9" x14ac:dyDescent="0.25">
      <c r="A7447">
        <v>20140320</v>
      </c>
      <c r="B7447" t="str">
        <f>"114730"</f>
        <v>114730</v>
      </c>
      <c r="C7447" t="str">
        <f>"87555"</f>
        <v>87555</v>
      </c>
      <c r="D7447" t="s">
        <v>1560</v>
      </c>
      <c r="E7447">
        <v>18.899999999999999</v>
      </c>
      <c r="F7447">
        <v>20140318</v>
      </c>
      <c r="G7447" t="s">
        <v>562</v>
      </c>
      <c r="H7447" t="s">
        <v>563</v>
      </c>
      <c r="I7447" t="s">
        <v>21</v>
      </c>
    </row>
    <row r="7448" spans="1:9" x14ac:dyDescent="0.25">
      <c r="A7448">
        <v>20140320</v>
      </c>
      <c r="B7448" t="str">
        <f>"114731"</f>
        <v>114731</v>
      </c>
      <c r="C7448" t="str">
        <f>"84323"</f>
        <v>84323</v>
      </c>
      <c r="D7448" t="s">
        <v>2114</v>
      </c>
      <c r="E7448">
        <v>182.83</v>
      </c>
      <c r="F7448">
        <v>20140318</v>
      </c>
      <c r="G7448" t="s">
        <v>864</v>
      </c>
      <c r="H7448" t="s">
        <v>354</v>
      </c>
      <c r="I7448" t="s">
        <v>21</v>
      </c>
    </row>
    <row r="7449" spans="1:9" x14ac:dyDescent="0.25">
      <c r="A7449">
        <v>20140320</v>
      </c>
      <c r="B7449" t="str">
        <f>"114732"</f>
        <v>114732</v>
      </c>
      <c r="C7449" t="str">
        <f>"11535"</f>
        <v>11535</v>
      </c>
      <c r="D7449" t="s">
        <v>502</v>
      </c>
      <c r="E7449">
        <v>42.09</v>
      </c>
      <c r="F7449">
        <v>20140317</v>
      </c>
      <c r="G7449" t="s">
        <v>808</v>
      </c>
      <c r="H7449" t="s">
        <v>921</v>
      </c>
      <c r="I7449" t="s">
        <v>21</v>
      </c>
    </row>
    <row r="7450" spans="1:9" x14ac:dyDescent="0.25">
      <c r="A7450">
        <v>20140320</v>
      </c>
      <c r="B7450" t="str">
        <f>"114732"</f>
        <v>114732</v>
      </c>
      <c r="C7450" t="str">
        <f>"11535"</f>
        <v>11535</v>
      </c>
      <c r="D7450" t="s">
        <v>502</v>
      </c>
      <c r="E7450">
        <v>243.65</v>
      </c>
      <c r="F7450">
        <v>20140317</v>
      </c>
      <c r="G7450" t="s">
        <v>810</v>
      </c>
      <c r="H7450" t="s">
        <v>921</v>
      </c>
      <c r="I7450" t="s">
        <v>66</v>
      </c>
    </row>
    <row r="7451" spans="1:9" x14ac:dyDescent="0.25">
      <c r="A7451">
        <v>20140320</v>
      </c>
      <c r="B7451" t="str">
        <f>"114733"</f>
        <v>114733</v>
      </c>
      <c r="C7451" t="str">
        <f>"11570"</f>
        <v>11570</v>
      </c>
      <c r="D7451" t="s">
        <v>1354</v>
      </c>
      <c r="E7451">
        <v>75</v>
      </c>
      <c r="F7451">
        <v>20140317</v>
      </c>
      <c r="G7451" t="s">
        <v>621</v>
      </c>
      <c r="H7451" t="s">
        <v>1355</v>
      </c>
      <c r="I7451" t="s">
        <v>21</v>
      </c>
    </row>
    <row r="7452" spans="1:9" x14ac:dyDescent="0.25">
      <c r="A7452">
        <v>20140320</v>
      </c>
      <c r="B7452" t="str">
        <f>"114734"</f>
        <v>114734</v>
      </c>
      <c r="C7452" t="str">
        <f>"82560"</f>
        <v>82560</v>
      </c>
      <c r="D7452" t="s">
        <v>403</v>
      </c>
      <c r="E7452" s="1">
        <v>3740.04</v>
      </c>
      <c r="F7452">
        <v>20140318</v>
      </c>
      <c r="G7452" t="s">
        <v>404</v>
      </c>
      <c r="H7452" t="s">
        <v>405</v>
      </c>
      <c r="I7452" t="s">
        <v>12</v>
      </c>
    </row>
    <row r="7453" spans="1:9" x14ac:dyDescent="0.25">
      <c r="A7453">
        <v>20140320</v>
      </c>
      <c r="B7453" t="str">
        <f>"114735"</f>
        <v>114735</v>
      </c>
      <c r="C7453" t="str">
        <f>"86297"</f>
        <v>86297</v>
      </c>
      <c r="D7453" t="s">
        <v>3625</v>
      </c>
      <c r="E7453">
        <v>326</v>
      </c>
      <c r="F7453">
        <v>20140319</v>
      </c>
      <c r="G7453" t="s">
        <v>1850</v>
      </c>
      <c r="H7453" t="s">
        <v>3626</v>
      </c>
      <c r="I7453" t="s">
        <v>21</v>
      </c>
    </row>
    <row r="7454" spans="1:9" x14ac:dyDescent="0.25">
      <c r="A7454">
        <v>20140320</v>
      </c>
      <c r="B7454" t="str">
        <f>"114736"</f>
        <v>114736</v>
      </c>
      <c r="C7454" t="str">
        <f>"11851"</f>
        <v>11851</v>
      </c>
      <c r="D7454" t="s">
        <v>342</v>
      </c>
      <c r="E7454">
        <v>40</v>
      </c>
      <c r="F7454">
        <v>20140318</v>
      </c>
      <c r="G7454" t="s">
        <v>181</v>
      </c>
      <c r="H7454" t="s">
        <v>784</v>
      </c>
      <c r="I7454" t="s">
        <v>38</v>
      </c>
    </row>
    <row r="7455" spans="1:9" x14ac:dyDescent="0.25">
      <c r="A7455">
        <v>20140320</v>
      </c>
      <c r="B7455" t="str">
        <f>"114736"</f>
        <v>114736</v>
      </c>
      <c r="C7455" t="str">
        <f>"11851"</f>
        <v>11851</v>
      </c>
      <c r="D7455" t="s">
        <v>342</v>
      </c>
      <c r="E7455">
        <v>40</v>
      </c>
      <c r="F7455">
        <v>20140318</v>
      </c>
      <c r="G7455" t="s">
        <v>181</v>
      </c>
      <c r="H7455" t="s">
        <v>784</v>
      </c>
      <c r="I7455" t="s">
        <v>38</v>
      </c>
    </row>
    <row r="7456" spans="1:9" x14ac:dyDescent="0.25">
      <c r="A7456">
        <v>20140320</v>
      </c>
      <c r="B7456" t="str">
        <f>"114736"</f>
        <v>114736</v>
      </c>
      <c r="C7456" t="str">
        <f>"11851"</f>
        <v>11851</v>
      </c>
      <c r="D7456" t="s">
        <v>342</v>
      </c>
      <c r="E7456">
        <v>100</v>
      </c>
      <c r="F7456">
        <v>20140317</v>
      </c>
      <c r="G7456" t="s">
        <v>119</v>
      </c>
      <c r="H7456" t="s">
        <v>784</v>
      </c>
      <c r="I7456" t="s">
        <v>38</v>
      </c>
    </row>
    <row r="7457" spans="1:9" x14ac:dyDescent="0.25">
      <c r="A7457">
        <v>20140320</v>
      </c>
      <c r="B7457" t="str">
        <f>"114737"</f>
        <v>114737</v>
      </c>
      <c r="C7457" t="str">
        <f>"11805"</f>
        <v>11805</v>
      </c>
      <c r="D7457" t="s">
        <v>1358</v>
      </c>
      <c r="E7457" s="1">
        <v>5790.3</v>
      </c>
      <c r="F7457">
        <v>20140318</v>
      </c>
      <c r="G7457" t="s">
        <v>404</v>
      </c>
      <c r="H7457" t="s">
        <v>133</v>
      </c>
      <c r="I7457" t="s">
        <v>12</v>
      </c>
    </row>
    <row r="7458" spans="1:9" x14ac:dyDescent="0.25">
      <c r="A7458">
        <v>20140320</v>
      </c>
      <c r="B7458" t="str">
        <f>"114738"</f>
        <v>114738</v>
      </c>
      <c r="C7458" t="str">
        <f>"12140"</f>
        <v>12140</v>
      </c>
      <c r="D7458" t="s">
        <v>406</v>
      </c>
      <c r="E7458" s="1">
        <v>46393.2</v>
      </c>
      <c r="F7458">
        <v>20140318</v>
      </c>
      <c r="G7458" t="s">
        <v>404</v>
      </c>
      <c r="H7458" t="s">
        <v>408</v>
      </c>
      <c r="I7458" t="s">
        <v>12</v>
      </c>
    </row>
    <row r="7459" spans="1:9" x14ac:dyDescent="0.25">
      <c r="A7459">
        <v>20140320</v>
      </c>
      <c r="B7459" t="str">
        <f>"114739"</f>
        <v>114739</v>
      </c>
      <c r="C7459" t="str">
        <f>"83114"</f>
        <v>83114</v>
      </c>
      <c r="D7459" t="s">
        <v>1364</v>
      </c>
      <c r="E7459" s="1">
        <v>5800.46</v>
      </c>
      <c r="F7459">
        <v>20140319</v>
      </c>
      <c r="G7459" t="s">
        <v>3627</v>
      </c>
      <c r="H7459" t="s">
        <v>3628</v>
      </c>
      <c r="I7459" t="s">
        <v>21</v>
      </c>
    </row>
    <row r="7460" spans="1:9" x14ac:dyDescent="0.25">
      <c r="A7460">
        <v>20140320</v>
      </c>
      <c r="B7460" t="str">
        <f>"114740"</f>
        <v>114740</v>
      </c>
      <c r="C7460" t="str">
        <f>"86533"</f>
        <v>86533</v>
      </c>
      <c r="D7460" t="s">
        <v>505</v>
      </c>
      <c r="E7460">
        <v>64.709999999999994</v>
      </c>
      <c r="F7460">
        <v>20140317</v>
      </c>
      <c r="G7460" t="s">
        <v>2122</v>
      </c>
      <c r="H7460" t="s">
        <v>414</v>
      </c>
      <c r="I7460" t="s">
        <v>21</v>
      </c>
    </row>
    <row r="7461" spans="1:9" x14ac:dyDescent="0.25">
      <c r="A7461">
        <v>20140320</v>
      </c>
      <c r="B7461" t="str">
        <f>"114740"</f>
        <v>114740</v>
      </c>
      <c r="C7461" t="str">
        <f>"86533"</f>
        <v>86533</v>
      </c>
      <c r="D7461" t="s">
        <v>505</v>
      </c>
      <c r="E7461">
        <v>109.63</v>
      </c>
      <c r="F7461">
        <v>20140317</v>
      </c>
      <c r="G7461" t="s">
        <v>2122</v>
      </c>
      <c r="H7461" t="s">
        <v>414</v>
      </c>
      <c r="I7461" t="s">
        <v>21</v>
      </c>
    </row>
    <row r="7462" spans="1:9" x14ac:dyDescent="0.25">
      <c r="A7462">
        <v>20140320</v>
      </c>
      <c r="B7462" t="str">
        <f>"114740"</f>
        <v>114740</v>
      </c>
      <c r="C7462" t="str">
        <f>"86533"</f>
        <v>86533</v>
      </c>
      <c r="D7462" t="s">
        <v>505</v>
      </c>
      <c r="E7462">
        <v>10</v>
      </c>
      <c r="F7462">
        <v>20140317</v>
      </c>
      <c r="G7462" t="s">
        <v>2122</v>
      </c>
      <c r="H7462" t="s">
        <v>414</v>
      </c>
      <c r="I7462" t="s">
        <v>21</v>
      </c>
    </row>
    <row r="7463" spans="1:9" x14ac:dyDescent="0.25">
      <c r="A7463">
        <v>20140320</v>
      </c>
      <c r="B7463" t="str">
        <f>"114740"</f>
        <v>114740</v>
      </c>
      <c r="C7463" t="str">
        <f>"86533"</f>
        <v>86533</v>
      </c>
      <c r="D7463" t="s">
        <v>505</v>
      </c>
      <c r="E7463">
        <v>41.44</v>
      </c>
      <c r="F7463">
        <v>20140317</v>
      </c>
      <c r="G7463" t="s">
        <v>2122</v>
      </c>
      <c r="H7463" t="s">
        <v>414</v>
      </c>
      <c r="I7463" t="s">
        <v>21</v>
      </c>
    </row>
    <row r="7464" spans="1:9" x14ac:dyDescent="0.25">
      <c r="A7464">
        <v>20140320</v>
      </c>
      <c r="B7464" t="str">
        <f>"114741"</f>
        <v>114741</v>
      </c>
      <c r="C7464" t="str">
        <f>"86233"</f>
        <v>86233</v>
      </c>
      <c r="D7464" t="s">
        <v>3629</v>
      </c>
      <c r="E7464">
        <v>172.79</v>
      </c>
      <c r="F7464">
        <v>20140317</v>
      </c>
      <c r="G7464" t="s">
        <v>1846</v>
      </c>
      <c r="H7464" t="s">
        <v>765</v>
      </c>
      <c r="I7464" t="s">
        <v>63</v>
      </c>
    </row>
    <row r="7465" spans="1:9" x14ac:dyDescent="0.25">
      <c r="A7465">
        <v>20140320</v>
      </c>
      <c r="B7465" t="str">
        <f>"114742"</f>
        <v>114742</v>
      </c>
      <c r="C7465" t="str">
        <f>"10075"</f>
        <v>10075</v>
      </c>
      <c r="D7465" t="s">
        <v>1199</v>
      </c>
      <c r="E7465" s="1">
        <v>6875.01</v>
      </c>
      <c r="F7465">
        <v>20140319</v>
      </c>
      <c r="G7465" t="s">
        <v>3630</v>
      </c>
      <c r="H7465" t="s">
        <v>3631</v>
      </c>
      <c r="I7465" t="s">
        <v>63</v>
      </c>
    </row>
    <row r="7466" spans="1:9" x14ac:dyDescent="0.25">
      <c r="A7466">
        <v>20140320</v>
      </c>
      <c r="B7466" t="str">
        <f>"114743"</f>
        <v>114743</v>
      </c>
      <c r="C7466" t="str">
        <f>"80991"</f>
        <v>80991</v>
      </c>
      <c r="D7466" t="s">
        <v>3632</v>
      </c>
      <c r="E7466">
        <v>0.75</v>
      </c>
      <c r="F7466">
        <v>20140317</v>
      </c>
      <c r="G7466" t="s">
        <v>2292</v>
      </c>
      <c r="H7466" t="s">
        <v>1046</v>
      </c>
      <c r="I7466" t="s">
        <v>63</v>
      </c>
    </row>
    <row r="7467" spans="1:9" x14ac:dyDescent="0.25">
      <c r="A7467">
        <v>20140320</v>
      </c>
      <c r="B7467" t="str">
        <f>"114744"</f>
        <v>114744</v>
      </c>
      <c r="C7467" t="str">
        <f>"15902"</f>
        <v>15902</v>
      </c>
      <c r="D7467" t="s">
        <v>3633</v>
      </c>
      <c r="E7467">
        <v>496</v>
      </c>
      <c r="F7467">
        <v>20140318</v>
      </c>
      <c r="G7467" t="s">
        <v>39</v>
      </c>
      <c r="H7467" t="s">
        <v>679</v>
      </c>
      <c r="I7467" t="s">
        <v>38</v>
      </c>
    </row>
    <row r="7468" spans="1:9" x14ac:dyDescent="0.25">
      <c r="A7468">
        <v>20140320</v>
      </c>
      <c r="B7468" t="str">
        <f>"114745"</f>
        <v>114745</v>
      </c>
      <c r="C7468" t="str">
        <f>"81776"</f>
        <v>81776</v>
      </c>
      <c r="D7468" t="s">
        <v>3634</v>
      </c>
      <c r="E7468">
        <v>959.2</v>
      </c>
      <c r="F7468">
        <v>20140317</v>
      </c>
      <c r="G7468" t="s">
        <v>2495</v>
      </c>
      <c r="H7468" t="s">
        <v>921</v>
      </c>
      <c r="I7468" t="s">
        <v>21</v>
      </c>
    </row>
    <row r="7469" spans="1:9" x14ac:dyDescent="0.25">
      <c r="A7469">
        <v>20140320</v>
      </c>
      <c r="B7469" t="str">
        <f>"114746"</f>
        <v>114746</v>
      </c>
      <c r="C7469" t="str">
        <f>"87780"</f>
        <v>87780</v>
      </c>
      <c r="D7469" t="s">
        <v>3635</v>
      </c>
      <c r="E7469">
        <v>167.54</v>
      </c>
      <c r="F7469">
        <v>20140317</v>
      </c>
      <c r="G7469" t="s">
        <v>1846</v>
      </c>
      <c r="H7469" t="s">
        <v>765</v>
      </c>
      <c r="I7469" t="s">
        <v>63</v>
      </c>
    </row>
    <row r="7470" spans="1:9" x14ac:dyDescent="0.25">
      <c r="A7470">
        <v>20140320</v>
      </c>
      <c r="B7470" t="str">
        <f>"114747"</f>
        <v>114747</v>
      </c>
      <c r="C7470" t="str">
        <f>"84997"</f>
        <v>84997</v>
      </c>
      <c r="D7470" t="s">
        <v>3636</v>
      </c>
      <c r="E7470">
        <v>49.32</v>
      </c>
      <c r="F7470">
        <v>20140319</v>
      </c>
      <c r="G7470" t="s">
        <v>442</v>
      </c>
      <c r="H7470" t="s">
        <v>365</v>
      </c>
      <c r="I7470" t="s">
        <v>66</v>
      </c>
    </row>
    <row r="7471" spans="1:9" x14ac:dyDescent="0.25">
      <c r="A7471">
        <v>20140320</v>
      </c>
      <c r="B7471" t="str">
        <f>"114748"</f>
        <v>114748</v>
      </c>
      <c r="C7471" t="str">
        <f>"84575"</f>
        <v>84575</v>
      </c>
      <c r="D7471" t="s">
        <v>1568</v>
      </c>
      <c r="E7471">
        <v>172.8</v>
      </c>
      <c r="F7471">
        <v>20140318</v>
      </c>
      <c r="G7471" t="s">
        <v>562</v>
      </c>
      <c r="H7471" t="s">
        <v>563</v>
      </c>
      <c r="I7471" t="s">
        <v>21</v>
      </c>
    </row>
    <row r="7472" spans="1:9" x14ac:dyDescent="0.25">
      <c r="A7472">
        <v>20140320</v>
      </c>
      <c r="B7472" t="str">
        <f>"114749"</f>
        <v>114749</v>
      </c>
      <c r="C7472" t="str">
        <f>"83967"</f>
        <v>83967</v>
      </c>
      <c r="D7472" t="s">
        <v>1569</v>
      </c>
      <c r="E7472" s="1">
        <v>1002.1</v>
      </c>
      <c r="F7472">
        <v>20140319</v>
      </c>
      <c r="G7472" t="s">
        <v>2492</v>
      </c>
      <c r="H7472" t="s">
        <v>3637</v>
      </c>
      <c r="I7472" t="s">
        <v>21</v>
      </c>
    </row>
    <row r="7473" spans="1:9" x14ac:dyDescent="0.25">
      <c r="A7473">
        <v>20140320</v>
      </c>
      <c r="B7473" t="str">
        <f>"114750"</f>
        <v>114750</v>
      </c>
      <c r="C7473" t="str">
        <f>"16988"</f>
        <v>16988</v>
      </c>
      <c r="D7473" t="s">
        <v>510</v>
      </c>
      <c r="E7473">
        <v>927.82</v>
      </c>
      <c r="F7473">
        <v>20140317</v>
      </c>
      <c r="G7473" t="s">
        <v>511</v>
      </c>
      <c r="H7473" t="s">
        <v>512</v>
      </c>
      <c r="I7473" t="s">
        <v>21</v>
      </c>
    </row>
    <row r="7474" spans="1:9" x14ac:dyDescent="0.25">
      <c r="A7474">
        <v>20140320</v>
      </c>
      <c r="B7474" t="str">
        <f t="shared" ref="B7474:B7481" si="450">"114751"</f>
        <v>114751</v>
      </c>
      <c r="C7474" t="str">
        <f t="shared" ref="C7474:C7481" si="451">"16998"</f>
        <v>16998</v>
      </c>
      <c r="D7474" t="s">
        <v>1372</v>
      </c>
      <c r="E7474">
        <v>75</v>
      </c>
      <c r="F7474">
        <v>20140317</v>
      </c>
      <c r="G7474" t="s">
        <v>511</v>
      </c>
      <c r="H7474" t="s">
        <v>3638</v>
      </c>
      <c r="I7474" t="s">
        <v>21</v>
      </c>
    </row>
    <row r="7475" spans="1:9" x14ac:dyDescent="0.25">
      <c r="A7475">
        <v>20140320</v>
      </c>
      <c r="B7475" t="str">
        <f t="shared" si="450"/>
        <v>114751</v>
      </c>
      <c r="C7475" t="str">
        <f t="shared" si="451"/>
        <v>16998</v>
      </c>
      <c r="D7475" t="s">
        <v>1372</v>
      </c>
      <c r="E7475">
        <v>608.24</v>
      </c>
      <c r="F7475">
        <v>20140317</v>
      </c>
      <c r="G7475" t="s">
        <v>621</v>
      </c>
      <c r="H7475" t="s">
        <v>2629</v>
      </c>
      <c r="I7475" t="s">
        <v>21</v>
      </c>
    </row>
    <row r="7476" spans="1:9" x14ac:dyDescent="0.25">
      <c r="A7476">
        <v>20140320</v>
      </c>
      <c r="B7476" t="str">
        <f t="shared" si="450"/>
        <v>114751</v>
      </c>
      <c r="C7476" t="str">
        <f t="shared" si="451"/>
        <v>16998</v>
      </c>
      <c r="D7476" t="s">
        <v>1372</v>
      </c>
      <c r="E7476">
        <v>187.5</v>
      </c>
      <c r="F7476">
        <v>20140317</v>
      </c>
      <c r="G7476" t="s">
        <v>524</v>
      </c>
      <c r="H7476" t="s">
        <v>2629</v>
      </c>
      <c r="I7476" t="s">
        <v>21</v>
      </c>
    </row>
    <row r="7477" spans="1:9" x14ac:dyDescent="0.25">
      <c r="A7477">
        <v>20140320</v>
      </c>
      <c r="B7477" t="str">
        <f t="shared" si="450"/>
        <v>114751</v>
      </c>
      <c r="C7477" t="str">
        <f t="shared" si="451"/>
        <v>16998</v>
      </c>
      <c r="D7477" t="s">
        <v>1372</v>
      </c>
      <c r="E7477">
        <v>112.5</v>
      </c>
      <c r="F7477">
        <v>20140317</v>
      </c>
      <c r="G7477" t="s">
        <v>450</v>
      </c>
      <c r="H7477" t="s">
        <v>2629</v>
      </c>
      <c r="I7477" t="s">
        <v>21</v>
      </c>
    </row>
    <row r="7478" spans="1:9" x14ac:dyDescent="0.25">
      <c r="A7478">
        <v>20140320</v>
      </c>
      <c r="B7478" t="str">
        <f t="shared" si="450"/>
        <v>114751</v>
      </c>
      <c r="C7478" t="str">
        <f t="shared" si="451"/>
        <v>16998</v>
      </c>
      <c r="D7478" t="s">
        <v>1372</v>
      </c>
      <c r="E7478" s="1">
        <v>2557.36</v>
      </c>
      <c r="F7478">
        <v>20140317</v>
      </c>
      <c r="G7478" t="s">
        <v>1380</v>
      </c>
      <c r="H7478" t="s">
        <v>3639</v>
      </c>
      <c r="I7478" t="s">
        <v>21</v>
      </c>
    </row>
    <row r="7479" spans="1:9" x14ac:dyDescent="0.25">
      <c r="A7479">
        <v>20140320</v>
      </c>
      <c r="B7479" t="str">
        <f t="shared" si="450"/>
        <v>114751</v>
      </c>
      <c r="C7479" t="str">
        <f t="shared" si="451"/>
        <v>16998</v>
      </c>
      <c r="D7479" t="s">
        <v>1372</v>
      </c>
      <c r="E7479">
        <v>49.12</v>
      </c>
      <c r="F7479">
        <v>20140317</v>
      </c>
      <c r="G7479" t="s">
        <v>627</v>
      </c>
      <c r="H7479" t="s">
        <v>3640</v>
      </c>
      <c r="I7479" t="s">
        <v>21</v>
      </c>
    </row>
    <row r="7480" spans="1:9" x14ac:dyDescent="0.25">
      <c r="A7480">
        <v>20140320</v>
      </c>
      <c r="B7480" t="str">
        <f t="shared" si="450"/>
        <v>114751</v>
      </c>
      <c r="C7480" t="str">
        <f t="shared" si="451"/>
        <v>16998</v>
      </c>
      <c r="D7480" t="s">
        <v>1372</v>
      </c>
      <c r="E7480">
        <v>49.12</v>
      </c>
      <c r="F7480">
        <v>20140317</v>
      </c>
      <c r="G7480" t="s">
        <v>627</v>
      </c>
      <c r="H7480" t="s">
        <v>3641</v>
      </c>
      <c r="I7480" t="s">
        <v>21</v>
      </c>
    </row>
    <row r="7481" spans="1:9" x14ac:dyDescent="0.25">
      <c r="A7481">
        <v>20140320</v>
      </c>
      <c r="B7481" t="str">
        <f t="shared" si="450"/>
        <v>114751</v>
      </c>
      <c r="C7481" t="str">
        <f t="shared" si="451"/>
        <v>16998</v>
      </c>
      <c r="D7481" t="s">
        <v>1372</v>
      </c>
      <c r="E7481">
        <v>54.55</v>
      </c>
      <c r="F7481">
        <v>20140317</v>
      </c>
      <c r="G7481" t="s">
        <v>530</v>
      </c>
      <c r="H7481" t="s">
        <v>3642</v>
      </c>
      <c r="I7481" t="s">
        <v>21</v>
      </c>
    </row>
    <row r="7482" spans="1:9" x14ac:dyDescent="0.25">
      <c r="A7482">
        <v>20140320</v>
      </c>
      <c r="B7482" t="str">
        <f>"114752"</f>
        <v>114752</v>
      </c>
      <c r="C7482" t="str">
        <f>"84829"</f>
        <v>84829</v>
      </c>
      <c r="D7482" t="s">
        <v>3643</v>
      </c>
      <c r="E7482">
        <v>357.28</v>
      </c>
      <c r="F7482">
        <v>20140318</v>
      </c>
      <c r="G7482" t="s">
        <v>356</v>
      </c>
      <c r="H7482" t="s">
        <v>357</v>
      </c>
      <c r="I7482" t="s">
        <v>61</v>
      </c>
    </row>
    <row r="7483" spans="1:9" x14ac:dyDescent="0.25">
      <c r="A7483">
        <v>20140320</v>
      </c>
      <c r="B7483" t="str">
        <f>"114753"</f>
        <v>114753</v>
      </c>
      <c r="C7483" t="str">
        <f>"18025"</f>
        <v>18025</v>
      </c>
      <c r="D7483" t="s">
        <v>514</v>
      </c>
      <c r="E7483">
        <v>149.69999999999999</v>
      </c>
      <c r="F7483">
        <v>20140317</v>
      </c>
      <c r="G7483" t="s">
        <v>837</v>
      </c>
      <c r="H7483" t="s">
        <v>1031</v>
      </c>
      <c r="I7483" t="s">
        <v>21</v>
      </c>
    </row>
    <row r="7484" spans="1:9" x14ac:dyDescent="0.25">
      <c r="A7484">
        <v>20140320</v>
      </c>
      <c r="B7484" t="str">
        <f>"114754"</f>
        <v>114754</v>
      </c>
      <c r="C7484" t="str">
        <f>"87549"</f>
        <v>87549</v>
      </c>
      <c r="D7484" t="s">
        <v>1382</v>
      </c>
      <c r="E7484">
        <v>49.99</v>
      </c>
      <c r="F7484">
        <v>20140318</v>
      </c>
      <c r="G7484" t="s">
        <v>99</v>
      </c>
      <c r="H7484" t="s">
        <v>1383</v>
      </c>
      <c r="I7484" t="s">
        <v>21</v>
      </c>
    </row>
    <row r="7485" spans="1:9" x14ac:dyDescent="0.25">
      <c r="A7485">
        <v>20140320</v>
      </c>
      <c r="B7485" t="str">
        <f>"114755"</f>
        <v>114755</v>
      </c>
      <c r="C7485" t="str">
        <f>"19185"</f>
        <v>19185</v>
      </c>
      <c r="D7485" t="s">
        <v>3644</v>
      </c>
      <c r="E7485">
        <v>325</v>
      </c>
      <c r="F7485">
        <v>20140318</v>
      </c>
      <c r="G7485" t="s">
        <v>1167</v>
      </c>
      <c r="H7485" t="s">
        <v>3645</v>
      </c>
      <c r="I7485" t="s">
        <v>21</v>
      </c>
    </row>
    <row r="7486" spans="1:9" x14ac:dyDescent="0.25">
      <c r="A7486">
        <v>20140320</v>
      </c>
      <c r="B7486" t="str">
        <f>"114756"</f>
        <v>114756</v>
      </c>
      <c r="C7486" t="str">
        <f>"87150"</f>
        <v>87150</v>
      </c>
      <c r="D7486" t="s">
        <v>1386</v>
      </c>
      <c r="E7486" s="1">
        <v>2928.97</v>
      </c>
      <c r="F7486">
        <v>20140318</v>
      </c>
      <c r="G7486" t="s">
        <v>404</v>
      </c>
      <c r="H7486" t="s">
        <v>913</v>
      </c>
      <c r="I7486" t="s">
        <v>12</v>
      </c>
    </row>
    <row r="7487" spans="1:9" x14ac:dyDescent="0.25">
      <c r="A7487">
        <v>20140320</v>
      </c>
      <c r="B7487" t="str">
        <f>"114756"</f>
        <v>114756</v>
      </c>
      <c r="C7487" t="str">
        <f>"87150"</f>
        <v>87150</v>
      </c>
      <c r="D7487" t="s">
        <v>1386</v>
      </c>
      <c r="E7487">
        <v>71.5</v>
      </c>
      <c r="F7487">
        <v>20140318</v>
      </c>
      <c r="G7487" t="s">
        <v>202</v>
      </c>
      <c r="H7487" t="s">
        <v>2917</v>
      </c>
      <c r="I7487" t="s">
        <v>12</v>
      </c>
    </row>
    <row r="7488" spans="1:9" x14ac:dyDescent="0.25">
      <c r="A7488">
        <v>20140320</v>
      </c>
      <c r="B7488" t="str">
        <f>"114757"</f>
        <v>114757</v>
      </c>
      <c r="C7488" t="str">
        <f>"20265"</f>
        <v>20265</v>
      </c>
      <c r="D7488" t="s">
        <v>1389</v>
      </c>
      <c r="E7488">
        <v>849</v>
      </c>
      <c r="F7488">
        <v>20140317</v>
      </c>
      <c r="G7488" t="s">
        <v>633</v>
      </c>
      <c r="H7488" t="s">
        <v>2589</v>
      </c>
      <c r="I7488" t="s">
        <v>21</v>
      </c>
    </row>
    <row r="7489" spans="1:9" x14ac:dyDescent="0.25">
      <c r="A7489">
        <v>20140320</v>
      </c>
      <c r="B7489" t="str">
        <f>"114758"</f>
        <v>114758</v>
      </c>
      <c r="C7489" t="str">
        <f>"81580"</f>
        <v>81580</v>
      </c>
      <c r="D7489" t="s">
        <v>2142</v>
      </c>
      <c r="E7489">
        <v>8.56</v>
      </c>
      <c r="F7489">
        <v>20140318</v>
      </c>
      <c r="G7489" t="s">
        <v>1630</v>
      </c>
      <c r="H7489" t="s">
        <v>563</v>
      </c>
      <c r="I7489" t="s">
        <v>21</v>
      </c>
    </row>
    <row r="7490" spans="1:9" x14ac:dyDescent="0.25">
      <c r="A7490">
        <v>20140320</v>
      </c>
      <c r="B7490" t="str">
        <f>"114759"</f>
        <v>114759</v>
      </c>
      <c r="C7490" t="str">
        <f>"22200"</f>
        <v>22200</v>
      </c>
      <c r="D7490" t="s">
        <v>519</v>
      </c>
      <c r="E7490">
        <v>213.75</v>
      </c>
      <c r="F7490">
        <v>20140318</v>
      </c>
      <c r="G7490" t="s">
        <v>202</v>
      </c>
      <c r="H7490" t="s">
        <v>1394</v>
      </c>
      <c r="I7490" t="s">
        <v>12</v>
      </c>
    </row>
    <row r="7491" spans="1:9" x14ac:dyDescent="0.25">
      <c r="A7491">
        <v>20140320</v>
      </c>
      <c r="B7491" t="str">
        <f>"114760"</f>
        <v>114760</v>
      </c>
      <c r="C7491" t="str">
        <f>"84073"</f>
        <v>84073</v>
      </c>
      <c r="D7491" t="s">
        <v>3646</v>
      </c>
      <c r="E7491">
        <v>0.75</v>
      </c>
      <c r="F7491">
        <v>20140317</v>
      </c>
      <c r="G7491" t="s">
        <v>2292</v>
      </c>
      <c r="H7491" t="s">
        <v>1046</v>
      </c>
      <c r="I7491" t="s">
        <v>63</v>
      </c>
    </row>
    <row r="7492" spans="1:9" x14ac:dyDescent="0.25">
      <c r="A7492">
        <v>20140320</v>
      </c>
      <c r="B7492" t="str">
        <f t="shared" ref="B7492:B7499" si="452">"114761"</f>
        <v>114761</v>
      </c>
      <c r="C7492" t="str">
        <f t="shared" ref="C7492:C7499" si="453">"23827"</f>
        <v>23827</v>
      </c>
      <c r="D7492" t="s">
        <v>528</v>
      </c>
      <c r="E7492">
        <v>103.2</v>
      </c>
      <c r="F7492">
        <v>20140318</v>
      </c>
      <c r="G7492" t="s">
        <v>2667</v>
      </c>
      <c r="H7492" t="s">
        <v>513</v>
      </c>
      <c r="I7492" t="s">
        <v>21</v>
      </c>
    </row>
    <row r="7493" spans="1:9" x14ac:dyDescent="0.25">
      <c r="A7493">
        <v>20140320</v>
      </c>
      <c r="B7493" t="str">
        <f t="shared" si="452"/>
        <v>114761</v>
      </c>
      <c r="C7493" t="str">
        <f t="shared" si="453"/>
        <v>23827</v>
      </c>
      <c r="D7493" t="s">
        <v>528</v>
      </c>
      <c r="E7493">
        <v>35.97</v>
      </c>
      <c r="F7493">
        <v>20140318</v>
      </c>
      <c r="G7493" t="s">
        <v>128</v>
      </c>
      <c r="H7493" t="s">
        <v>2651</v>
      </c>
      <c r="I7493" t="s">
        <v>21</v>
      </c>
    </row>
    <row r="7494" spans="1:9" x14ac:dyDescent="0.25">
      <c r="A7494">
        <v>20140320</v>
      </c>
      <c r="B7494" t="str">
        <f t="shared" si="452"/>
        <v>114761</v>
      </c>
      <c r="C7494" t="str">
        <f t="shared" si="453"/>
        <v>23827</v>
      </c>
      <c r="D7494" t="s">
        <v>528</v>
      </c>
      <c r="E7494">
        <v>498</v>
      </c>
      <c r="F7494">
        <v>20140317</v>
      </c>
      <c r="G7494" t="s">
        <v>3647</v>
      </c>
      <c r="H7494" t="s">
        <v>513</v>
      </c>
      <c r="I7494" t="s">
        <v>38</v>
      </c>
    </row>
    <row r="7495" spans="1:9" x14ac:dyDescent="0.25">
      <c r="A7495">
        <v>20140320</v>
      </c>
      <c r="B7495" t="str">
        <f t="shared" si="452"/>
        <v>114761</v>
      </c>
      <c r="C7495" t="str">
        <f t="shared" si="453"/>
        <v>23827</v>
      </c>
      <c r="D7495" t="s">
        <v>528</v>
      </c>
      <c r="E7495">
        <v>300</v>
      </c>
      <c r="F7495">
        <v>20140317</v>
      </c>
      <c r="G7495" t="s">
        <v>150</v>
      </c>
      <c r="H7495" t="s">
        <v>3648</v>
      </c>
      <c r="I7495" t="s">
        <v>25</v>
      </c>
    </row>
    <row r="7496" spans="1:9" x14ac:dyDescent="0.25">
      <c r="A7496">
        <v>20140320</v>
      </c>
      <c r="B7496" t="str">
        <f t="shared" si="452"/>
        <v>114761</v>
      </c>
      <c r="C7496" t="str">
        <f t="shared" si="453"/>
        <v>23827</v>
      </c>
      <c r="D7496" t="s">
        <v>528</v>
      </c>
      <c r="E7496">
        <v>238.6</v>
      </c>
      <c r="F7496">
        <v>20140318</v>
      </c>
      <c r="G7496" t="s">
        <v>2346</v>
      </c>
      <c r="H7496" t="s">
        <v>513</v>
      </c>
      <c r="I7496" t="s">
        <v>25</v>
      </c>
    </row>
    <row r="7497" spans="1:9" x14ac:dyDescent="0.25">
      <c r="A7497">
        <v>20140320</v>
      </c>
      <c r="B7497" t="str">
        <f t="shared" si="452"/>
        <v>114761</v>
      </c>
      <c r="C7497" t="str">
        <f t="shared" si="453"/>
        <v>23827</v>
      </c>
      <c r="D7497" t="s">
        <v>528</v>
      </c>
      <c r="E7497">
        <v>952.46</v>
      </c>
      <c r="F7497">
        <v>20140318</v>
      </c>
      <c r="G7497" t="s">
        <v>1193</v>
      </c>
      <c r="H7497" t="s">
        <v>513</v>
      </c>
      <c r="I7497" t="s">
        <v>25</v>
      </c>
    </row>
    <row r="7498" spans="1:9" x14ac:dyDescent="0.25">
      <c r="A7498">
        <v>20140320</v>
      </c>
      <c r="B7498" t="str">
        <f t="shared" si="452"/>
        <v>114761</v>
      </c>
      <c r="C7498" t="str">
        <f t="shared" si="453"/>
        <v>23827</v>
      </c>
      <c r="D7498" t="s">
        <v>528</v>
      </c>
      <c r="E7498">
        <v>99.96</v>
      </c>
      <c r="F7498">
        <v>20140318</v>
      </c>
      <c r="G7498" t="s">
        <v>1193</v>
      </c>
      <c r="H7498" t="s">
        <v>513</v>
      </c>
      <c r="I7498" t="s">
        <v>25</v>
      </c>
    </row>
    <row r="7499" spans="1:9" x14ac:dyDescent="0.25">
      <c r="A7499">
        <v>20140320</v>
      </c>
      <c r="B7499" t="str">
        <f t="shared" si="452"/>
        <v>114761</v>
      </c>
      <c r="C7499" t="str">
        <f t="shared" si="453"/>
        <v>23827</v>
      </c>
      <c r="D7499" t="s">
        <v>528</v>
      </c>
      <c r="E7499">
        <v>735</v>
      </c>
      <c r="F7499">
        <v>20140318</v>
      </c>
      <c r="G7499" t="s">
        <v>1193</v>
      </c>
      <c r="H7499" t="s">
        <v>513</v>
      </c>
      <c r="I7499" t="s">
        <v>25</v>
      </c>
    </row>
    <row r="7500" spans="1:9" x14ac:dyDescent="0.25">
      <c r="A7500">
        <v>20140320</v>
      </c>
      <c r="B7500" t="str">
        <f>"114762"</f>
        <v>114762</v>
      </c>
      <c r="C7500" t="str">
        <f>"83353"</f>
        <v>83353</v>
      </c>
      <c r="D7500" t="s">
        <v>813</v>
      </c>
      <c r="E7500">
        <v>60</v>
      </c>
      <c r="F7500">
        <v>20140318</v>
      </c>
      <c r="G7500" t="s">
        <v>181</v>
      </c>
      <c r="H7500" t="s">
        <v>354</v>
      </c>
      <c r="I7500" t="s">
        <v>38</v>
      </c>
    </row>
    <row r="7501" spans="1:9" x14ac:dyDescent="0.25">
      <c r="A7501">
        <v>20140320</v>
      </c>
      <c r="B7501" t="str">
        <f>"114763"</f>
        <v>114763</v>
      </c>
      <c r="C7501" t="str">
        <f>"87783"</f>
        <v>87783</v>
      </c>
      <c r="D7501" t="s">
        <v>3649</v>
      </c>
      <c r="E7501">
        <v>200</v>
      </c>
      <c r="F7501">
        <v>20140318</v>
      </c>
      <c r="G7501" t="s">
        <v>1153</v>
      </c>
      <c r="H7501" t="s">
        <v>3650</v>
      </c>
      <c r="I7501" t="s">
        <v>61</v>
      </c>
    </row>
    <row r="7502" spans="1:9" x14ac:dyDescent="0.25">
      <c r="A7502">
        <v>20140320</v>
      </c>
      <c r="B7502" t="str">
        <f>"114764"</f>
        <v>114764</v>
      </c>
      <c r="C7502" t="str">
        <f>"87786"</f>
        <v>87786</v>
      </c>
      <c r="D7502" t="s">
        <v>3651</v>
      </c>
      <c r="E7502">
        <v>55.44</v>
      </c>
      <c r="F7502">
        <v>20140319</v>
      </c>
      <c r="G7502" t="s">
        <v>1112</v>
      </c>
      <c r="H7502" t="s">
        <v>365</v>
      </c>
      <c r="I7502" t="s">
        <v>66</v>
      </c>
    </row>
    <row r="7503" spans="1:9" x14ac:dyDescent="0.25">
      <c r="A7503">
        <v>20140320</v>
      </c>
      <c r="B7503" t="str">
        <f>"114765"</f>
        <v>114765</v>
      </c>
      <c r="C7503" t="str">
        <f>"25516"</f>
        <v>25516</v>
      </c>
      <c r="D7503" t="s">
        <v>529</v>
      </c>
      <c r="E7503" s="1">
        <v>1298.05</v>
      </c>
      <c r="F7503">
        <v>20140318</v>
      </c>
      <c r="G7503" t="s">
        <v>331</v>
      </c>
      <c r="H7503" t="s">
        <v>3287</v>
      </c>
      <c r="I7503" t="s">
        <v>12</v>
      </c>
    </row>
    <row r="7504" spans="1:9" x14ac:dyDescent="0.25">
      <c r="A7504">
        <v>20140320</v>
      </c>
      <c r="B7504" t="str">
        <f>"114766"</f>
        <v>114766</v>
      </c>
      <c r="C7504" t="str">
        <f>"87741"</f>
        <v>87741</v>
      </c>
      <c r="D7504" t="s">
        <v>3378</v>
      </c>
      <c r="E7504">
        <v>281.99</v>
      </c>
      <c r="F7504">
        <v>20140318</v>
      </c>
      <c r="G7504" t="s">
        <v>3652</v>
      </c>
      <c r="H7504" t="s">
        <v>513</v>
      </c>
      <c r="I7504" t="s">
        <v>25</v>
      </c>
    </row>
    <row r="7505" spans="1:9" x14ac:dyDescent="0.25">
      <c r="A7505">
        <v>20140320</v>
      </c>
      <c r="B7505" t="str">
        <f>"114767"</f>
        <v>114767</v>
      </c>
      <c r="C7505" t="str">
        <f>"26425"</f>
        <v>26425</v>
      </c>
      <c r="D7505" t="s">
        <v>822</v>
      </c>
      <c r="E7505" s="1">
        <v>1608.22</v>
      </c>
      <c r="F7505">
        <v>20140318</v>
      </c>
      <c r="G7505" t="s">
        <v>1408</v>
      </c>
      <c r="H7505" t="s">
        <v>525</v>
      </c>
      <c r="I7505" t="s">
        <v>12</v>
      </c>
    </row>
    <row r="7506" spans="1:9" x14ac:dyDescent="0.25">
      <c r="A7506">
        <v>20140320</v>
      </c>
      <c r="B7506" t="str">
        <f>"114768"</f>
        <v>114768</v>
      </c>
      <c r="C7506" t="str">
        <f>"26985"</f>
        <v>26985</v>
      </c>
      <c r="D7506" t="s">
        <v>1230</v>
      </c>
      <c r="E7506">
        <v>100</v>
      </c>
      <c r="F7506">
        <v>20140319</v>
      </c>
      <c r="G7506" t="s">
        <v>1064</v>
      </c>
      <c r="H7506" t="s">
        <v>3653</v>
      </c>
      <c r="I7506" t="s">
        <v>21</v>
      </c>
    </row>
    <row r="7507" spans="1:9" x14ac:dyDescent="0.25">
      <c r="A7507">
        <v>20140320</v>
      </c>
      <c r="B7507" t="str">
        <f>"114768"</f>
        <v>114768</v>
      </c>
      <c r="C7507" t="str">
        <f>"26985"</f>
        <v>26985</v>
      </c>
      <c r="D7507" t="s">
        <v>1230</v>
      </c>
      <c r="E7507">
        <v>100</v>
      </c>
      <c r="F7507">
        <v>20140319</v>
      </c>
      <c r="G7507" t="s">
        <v>1722</v>
      </c>
      <c r="H7507" t="s">
        <v>3654</v>
      </c>
      <c r="I7507" t="s">
        <v>66</v>
      </c>
    </row>
    <row r="7508" spans="1:9" x14ac:dyDescent="0.25">
      <c r="A7508">
        <v>20140320</v>
      </c>
      <c r="B7508" t="str">
        <f>"114769"</f>
        <v>114769</v>
      </c>
      <c r="C7508" t="str">
        <f>"00653"</f>
        <v>00653</v>
      </c>
      <c r="D7508" t="s">
        <v>552</v>
      </c>
      <c r="E7508">
        <v>499.2</v>
      </c>
      <c r="F7508">
        <v>20140318</v>
      </c>
      <c r="G7508" t="s">
        <v>2149</v>
      </c>
      <c r="H7508" t="s">
        <v>553</v>
      </c>
      <c r="I7508" t="s">
        <v>25</v>
      </c>
    </row>
    <row r="7509" spans="1:9" x14ac:dyDescent="0.25">
      <c r="A7509">
        <v>20140320</v>
      </c>
      <c r="B7509" t="str">
        <f>"114770"</f>
        <v>114770</v>
      </c>
      <c r="C7509" t="str">
        <f>"81292"</f>
        <v>81292</v>
      </c>
      <c r="D7509" t="s">
        <v>1417</v>
      </c>
      <c r="E7509">
        <v>7.47</v>
      </c>
      <c r="F7509">
        <v>20140317</v>
      </c>
      <c r="G7509" t="s">
        <v>498</v>
      </c>
      <c r="H7509" t="s">
        <v>499</v>
      </c>
      <c r="I7509" t="s">
        <v>21</v>
      </c>
    </row>
    <row r="7510" spans="1:9" x14ac:dyDescent="0.25">
      <c r="A7510">
        <v>20140320</v>
      </c>
      <c r="B7510" t="str">
        <f>"114770"</f>
        <v>114770</v>
      </c>
      <c r="C7510" t="str">
        <f>"81292"</f>
        <v>81292</v>
      </c>
      <c r="D7510" t="s">
        <v>1417</v>
      </c>
      <c r="E7510">
        <v>1.85</v>
      </c>
      <c r="F7510">
        <v>20140317</v>
      </c>
      <c r="G7510" t="s">
        <v>496</v>
      </c>
      <c r="H7510" t="s">
        <v>414</v>
      </c>
      <c r="I7510" t="s">
        <v>21</v>
      </c>
    </row>
    <row r="7511" spans="1:9" x14ac:dyDescent="0.25">
      <c r="A7511">
        <v>20140320</v>
      </c>
      <c r="B7511" t="str">
        <f>"114771"</f>
        <v>114771</v>
      </c>
      <c r="C7511" t="str">
        <f>"00695"</f>
        <v>00695</v>
      </c>
      <c r="D7511" t="s">
        <v>2353</v>
      </c>
      <c r="E7511">
        <v>916</v>
      </c>
      <c r="F7511">
        <v>20140318</v>
      </c>
      <c r="G7511" t="s">
        <v>982</v>
      </c>
      <c r="H7511" t="s">
        <v>954</v>
      </c>
      <c r="I7511" t="s">
        <v>21</v>
      </c>
    </row>
    <row r="7512" spans="1:9" x14ac:dyDescent="0.25">
      <c r="A7512">
        <v>20140320</v>
      </c>
      <c r="B7512" t="str">
        <f>"114772"</f>
        <v>114772</v>
      </c>
      <c r="C7512" t="str">
        <f>"00695"</f>
        <v>00695</v>
      </c>
      <c r="D7512" t="s">
        <v>2353</v>
      </c>
      <c r="E7512">
        <v>114</v>
      </c>
      <c r="F7512">
        <v>20140318</v>
      </c>
      <c r="G7512" t="s">
        <v>982</v>
      </c>
      <c r="H7512" t="s">
        <v>954</v>
      </c>
      <c r="I7512" t="s">
        <v>21</v>
      </c>
    </row>
    <row r="7513" spans="1:9" x14ac:dyDescent="0.25">
      <c r="A7513">
        <v>20140320</v>
      </c>
      <c r="B7513" t="str">
        <f>"114773"</f>
        <v>114773</v>
      </c>
      <c r="C7513" t="str">
        <f>"29235"</f>
        <v>29235</v>
      </c>
      <c r="D7513" t="s">
        <v>2355</v>
      </c>
      <c r="E7513">
        <v>550</v>
      </c>
      <c r="F7513">
        <v>20140317</v>
      </c>
      <c r="G7513" t="s">
        <v>99</v>
      </c>
      <c r="H7513" t="s">
        <v>3655</v>
      </c>
      <c r="I7513" t="s">
        <v>21</v>
      </c>
    </row>
    <row r="7514" spans="1:9" x14ac:dyDescent="0.25">
      <c r="A7514">
        <v>20140320</v>
      </c>
      <c r="B7514" t="str">
        <f>"114774"</f>
        <v>114774</v>
      </c>
      <c r="C7514" t="str">
        <f>"30000"</f>
        <v>30000</v>
      </c>
      <c r="D7514" t="s">
        <v>556</v>
      </c>
      <c r="E7514">
        <v>28.58</v>
      </c>
      <c r="F7514">
        <v>20140319</v>
      </c>
      <c r="G7514" t="s">
        <v>579</v>
      </c>
      <c r="H7514" t="s">
        <v>3656</v>
      </c>
      <c r="I7514" t="s">
        <v>21</v>
      </c>
    </row>
    <row r="7515" spans="1:9" x14ac:dyDescent="0.25">
      <c r="A7515">
        <v>20140320</v>
      </c>
      <c r="B7515" t="str">
        <f>"114774"</f>
        <v>114774</v>
      </c>
      <c r="C7515" t="str">
        <f>"30000"</f>
        <v>30000</v>
      </c>
      <c r="D7515" t="s">
        <v>556</v>
      </c>
      <c r="E7515">
        <v>63.53</v>
      </c>
      <c r="F7515">
        <v>20140319</v>
      </c>
      <c r="G7515" t="s">
        <v>828</v>
      </c>
      <c r="H7515" t="s">
        <v>3657</v>
      </c>
      <c r="I7515" t="s">
        <v>21</v>
      </c>
    </row>
    <row r="7516" spans="1:9" x14ac:dyDescent="0.25">
      <c r="A7516">
        <v>20140320</v>
      </c>
      <c r="B7516" t="str">
        <f>"114774"</f>
        <v>114774</v>
      </c>
      <c r="C7516" t="str">
        <f>"30000"</f>
        <v>30000</v>
      </c>
      <c r="D7516" t="s">
        <v>556</v>
      </c>
      <c r="E7516">
        <v>55.96</v>
      </c>
      <c r="F7516">
        <v>20140319</v>
      </c>
      <c r="G7516" t="s">
        <v>3658</v>
      </c>
      <c r="H7516" t="s">
        <v>3656</v>
      </c>
      <c r="I7516" t="s">
        <v>21</v>
      </c>
    </row>
    <row r="7517" spans="1:9" x14ac:dyDescent="0.25">
      <c r="A7517">
        <v>20140320</v>
      </c>
      <c r="B7517" t="str">
        <f>"114774"</f>
        <v>114774</v>
      </c>
      <c r="C7517" t="str">
        <f>"30000"</f>
        <v>30000</v>
      </c>
      <c r="D7517" t="s">
        <v>556</v>
      </c>
      <c r="E7517">
        <v>219.5</v>
      </c>
      <c r="F7517">
        <v>20140319</v>
      </c>
      <c r="G7517" t="s">
        <v>845</v>
      </c>
      <c r="H7517" t="s">
        <v>3659</v>
      </c>
      <c r="I7517" t="s">
        <v>73</v>
      </c>
    </row>
    <row r="7518" spans="1:9" x14ac:dyDescent="0.25">
      <c r="A7518">
        <v>20140320</v>
      </c>
      <c r="B7518" t="str">
        <f>"114775"</f>
        <v>114775</v>
      </c>
      <c r="C7518" t="str">
        <f>"30125"</f>
        <v>30125</v>
      </c>
      <c r="D7518" t="s">
        <v>2509</v>
      </c>
      <c r="E7518">
        <v>925.61</v>
      </c>
      <c r="F7518">
        <v>20140320</v>
      </c>
      <c r="G7518" t="s">
        <v>1618</v>
      </c>
      <c r="H7518" t="s">
        <v>3660</v>
      </c>
      <c r="I7518" t="s">
        <v>21</v>
      </c>
    </row>
    <row r="7519" spans="1:9" x14ac:dyDescent="0.25">
      <c r="A7519">
        <v>20140320</v>
      </c>
      <c r="B7519" t="str">
        <f>"114776"</f>
        <v>114776</v>
      </c>
      <c r="C7519" t="str">
        <f>"85333"</f>
        <v>85333</v>
      </c>
      <c r="D7519" t="s">
        <v>561</v>
      </c>
      <c r="E7519">
        <v>45</v>
      </c>
      <c r="F7519">
        <v>20140318</v>
      </c>
      <c r="G7519" t="s">
        <v>562</v>
      </c>
      <c r="H7519" t="s">
        <v>563</v>
      </c>
      <c r="I7519" t="s">
        <v>21</v>
      </c>
    </row>
    <row r="7520" spans="1:9" x14ac:dyDescent="0.25">
      <c r="A7520">
        <v>20140320</v>
      </c>
      <c r="B7520" t="str">
        <f>"114777"</f>
        <v>114777</v>
      </c>
      <c r="C7520" t="str">
        <f>"31570"</f>
        <v>31570</v>
      </c>
      <c r="D7520" t="s">
        <v>1244</v>
      </c>
      <c r="E7520">
        <v>264.73</v>
      </c>
      <c r="F7520">
        <v>20140318</v>
      </c>
      <c r="G7520" t="s">
        <v>140</v>
      </c>
      <c r="H7520" t="s">
        <v>3025</v>
      </c>
      <c r="I7520" t="s">
        <v>25</v>
      </c>
    </row>
    <row r="7521" spans="1:9" x14ac:dyDescent="0.25">
      <c r="A7521">
        <v>20140320</v>
      </c>
      <c r="B7521" t="str">
        <f>"114778"</f>
        <v>114778</v>
      </c>
      <c r="C7521" t="str">
        <f>"32675"</f>
        <v>32675</v>
      </c>
      <c r="D7521" t="s">
        <v>2194</v>
      </c>
      <c r="E7521">
        <v>386.08</v>
      </c>
      <c r="F7521">
        <v>20140317</v>
      </c>
      <c r="G7521" t="s">
        <v>392</v>
      </c>
      <c r="H7521" t="s">
        <v>414</v>
      </c>
      <c r="I7521" t="s">
        <v>21</v>
      </c>
    </row>
    <row r="7522" spans="1:9" x14ac:dyDescent="0.25">
      <c r="A7522">
        <v>20140320</v>
      </c>
      <c r="B7522" t="str">
        <f>"114779"</f>
        <v>114779</v>
      </c>
      <c r="C7522" t="str">
        <f>"84980"</f>
        <v>84980</v>
      </c>
      <c r="D7522" t="s">
        <v>591</v>
      </c>
      <c r="E7522">
        <v>69.98</v>
      </c>
      <c r="F7522">
        <v>20140319</v>
      </c>
      <c r="G7522" t="s">
        <v>837</v>
      </c>
      <c r="H7522" t="s">
        <v>3661</v>
      </c>
      <c r="I7522" t="s">
        <v>21</v>
      </c>
    </row>
    <row r="7523" spans="1:9" x14ac:dyDescent="0.25">
      <c r="A7523">
        <v>20140320</v>
      </c>
      <c r="B7523" t="str">
        <f>"114779"</f>
        <v>114779</v>
      </c>
      <c r="C7523" t="str">
        <f>"84980"</f>
        <v>84980</v>
      </c>
      <c r="D7523" t="s">
        <v>591</v>
      </c>
      <c r="E7523">
        <v>18.57</v>
      </c>
      <c r="F7523">
        <v>20140318</v>
      </c>
      <c r="G7523" t="s">
        <v>704</v>
      </c>
      <c r="H7523" t="s">
        <v>3662</v>
      </c>
      <c r="I7523" t="s">
        <v>21</v>
      </c>
    </row>
    <row r="7524" spans="1:9" x14ac:dyDescent="0.25">
      <c r="A7524">
        <v>20140320</v>
      </c>
      <c r="B7524" t="str">
        <f>"114780"</f>
        <v>114780</v>
      </c>
      <c r="C7524" t="str">
        <f>"83880"</f>
        <v>83880</v>
      </c>
      <c r="D7524" t="s">
        <v>865</v>
      </c>
      <c r="E7524">
        <v>358.15</v>
      </c>
      <c r="F7524">
        <v>20140318</v>
      </c>
      <c r="G7524" t="s">
        <v>41</v>
      </c>
      <c r="H7524" t="s">
        <v>354</v>
      </c>
      <c r="I7524" t="s">
        <v>38</v>
      </c>
    </row>
    <row r="7525" spans="1:9" x14ac:dyDescent="0.25">
      <c r="A7525">
        <v>20140320</v>
      </c>
      <c r="B7525" t="str">
        <f>"114781"</f>
        <v>114781</v>
      </c>
      <c r="C7525" t="str">
        <f>"87779"</f>
        <v>87779</v>
      </c>
      <c r="D7525" t="s">
        <v>3663</v>
      </c>
      <c r="E7525">
        <v>180.76</v>
      </c>
      <c r="F7525">
        <v>20140317</v>
      </c>
      <c r="G7525" t="s">
        <v>1846</v>
      </c>
      <c r="H7525" t="s">
        <v>765</v>
      </c>
      <c r="I7525" t="s">
        <v>63</v>
      </c>
    </row>
    <row r="7526" spans="1:9" x14ac:dyDescent="0.25">
      <c r="A7526">
        <v>20140320</v>
      </c>
      <c r="B7526" t="str">
        <f>"114782"</f>
        <v>114782</v>
      </c>
      <c r="C7526" t="str">
        <f>"87764"</f>
        <v>87764</v>
      </c>
      <c r="D7526" t="s">
        <v>3664</v>
      </c>
      <c r="E7526" s="1">
        <v>6903.68</v>
      </c>
      <c r="F7526">
        <v>20140319</v>
      </c>
      <c r="G7526" t="s">
        <v>331</v>
      </c>
      <c r="H7526" t="s">
        <v>3665</v>
      </c>
      <c r="I7526" t="s">
        <v>12</v>
      </c>
    </row>
    <row r="7527" spans="1:9" x14ac:dyDescent="0.25">
      <c r="A7527">
        <v>20140320</v>
      </c>
      <c r="B7527" t="str">
        <f>"114783"</f>
        <v>114783</v>
      </c>
      <c r="C7527" t="str">
        <f>"35865"</f>
        <v>35865</v>
      </c>
      <c r="D7527" t="s">
        <v>2206</v>
      </c>
      <c r="E7527">
        <v>514.16</v>
      </c>
      <c r="F7527">
        <v>20140317</v>
      </c>
      <c r="G7527" t="s">
        <v>1408</v>
      </c>
      <c r="H7527" t="s">
        <v>656</v>
      </c>
      <c r="I7527" t="s">
        <v>12</v>
      </c>
    </row>
    <row r="7528" spans="1:9" x14ac:dyDescent="0.25">
      <c r="A7528">
        <v>20140320</v>
      </c>
      <c r="B7528" t="str">
        <f>"114784"</f>
        <v>114784</v>
      </c>
      <c r="C7528" t="str">
        <f>"87363"</f>
        <v>87363</v>
      </c>
      <c r="D7528" t="s">
        <v>3355</v>
      </c>
      <c r="E7528">
        <v>89.98</v>
      </c>
      <c r="F7528">
        <v>20140318</v>
      </c>
      <c r="G7528" t="s">
        <v>3039</v>
      </c>
      <c r="H7528" t="s">
        <v>354</v>
      </c>
      <c r="I7528" t="s">
        <v>61</v>
      </c>
    </row>
    <row r="7529" spans="1:9" x14ac:dyDescent="0.25">
      <c r="A7529">
        <v>20140320</v>
      </c>
      <c r="B7529" t="str">
        <f>"114785"</f>
        <v>114785</v>
      </c>
      <c r="C7529" t="str">
        <f>"00268"</f>
        <v>00268</v>
      </c>
      <c r="D7529" t="s">
        <v>1878</v>
      </c>
      <c r="E7529" s="1">
        <v>1090</v>
      </c>
      <c r="F7529">
        <v>20140317</v>
      </c>
      <c r="G7529" t="s">
        <v>2495</v>
      </c>
      <c r="H7529" t="s">
        <v>921</v>
      </c>
      <c r="I7529" t="s">
        <v>21</v>
      </c>
    </row>
    <row r="7530" spans="1:9" x14ac:dyDescent="0.25">
      <c r="A7530">
        <v>20140320</v>
      </c>
      <c r="B7530" t="str">
        <f>"114786"</f>
        <v>114786</v>
      </c>
      <c r="C7530" t="str">
        <f>"36960"</f>
        <v>36960</v>
      </c>
      <c r="D7530" t="s">
        <v>871</v>
      </c>
      <c r="E7530">
        <v>60</v>
      </c>
      <c r="F7530">
        <v>20140317</v>
      </c>
      <c r="G7530" t="s">
        <v>1408</v>
      </c>
      <c r="H7530" t="s">
        <v>656</v>
      </c>
      <c r="I7530" t="s">
        <v>12</v>
      </c>
    </row>
    <row r="7531" spans="1:9" x14ac:dyDescent="0.25">
      <c r="A7531">
        <v>20140320</v>
      </c>
      <c r="B7531" t="str">
        <f>"114786"</f>
        <v>114786</v>
      </c>
      <c r="C7531" t="str">
        <f>"36960"</f>
        <v>36960</v>
      </c>
      <c r="D7531" t="s">
        <v>871</v>
      </c>
      <c r="E7531" s="1">
        <v>3015</v>
      </c>
      <c r="F7531">
        <v>20140317</v>
      </c>
      <c r="G7531" t="s">
        <v>1408</v>
      </c>
      <c r="H7531" t="s">
        <v>656</v>
      </c>
      <c r="I7531" t="s">
        <v>12</v>
      </c>
    </row>
    <row r="7532" spans="1:9" x14ac:dyDescent="0.25">
      <c r="A7532">
        <v>20140320</v>
      </c>
      <c r="B7532" t="str">
        <f>"114787"</f>
        <v>114787</v>
      </c>
      <c r="C7532" t="str">
        <f>"36970"</f>
        <v>36970</v>
      </c>
      <c r="D7532" t="s">
        <v>1253</v>
      </c>
      <c r="E7532">
        <v>62.28</v>
      </c>
      <c r="F7532">
        <v>20140318</v>
      </c>
      <c r="G7532" t="s">
        <v>1254</v>
      </c>
      <c r="H7532" t="s">
        <v>563</v>
      </c>
      <c r="I7532" t="s">
        <v>79</v>
      </c>
    </row>
    <row r="7533" spans="1:9" x14ac:dyDescent="0.25">
      <c r="A7533">
        <v>20140320</v>
      </c>
      <c r="B7533" t="str">
        <f>"114788"</f>
        <v>114788</v>
      </c>
      <c r="C7533" t="str">
        <f>"37565"</f>
        <v>37565</v>
      </c>
      <c r="D7533" t="s">
        <v>609</v>
      </c>
      <c r="E7533">
        <v>47.86</v>
      </c>
      <c r="F7533">
        <v>20140317</v>
      </c>
      <c r="G7533" t="s">
        <v>496</v>
      </c>
      <c r="H7533" t="s">
        <v>414</v>
      </c>
      <c r="I7533" t="s">
        <v>21</v>
      </c>
    </row>
    <row r="7534" spans="1:9" x14ac:dyDescent="0.25">
      <c r="A7534">
        <v>20140320</v>
      </c>
      <c r="B7534" t="str">
        <f>"114788"</f>
        <v>114788</v>
      </c>
      <c r="C7534" t="str">
        <f>"37565"</f>
        <v>37565</v>
      </c>
      <c r="D7534" t="s">
        <v>609</v>
      </c>
      <c r="E7534">
        <v>102.5</v>
      </c>
      <c r="F7534">
        <v>20140317</v>
      </c>
      <c r="G7534" t="s">
        <v>734</v>
      </c>
      <c r="H7534" t="s">
        <v>414</v>
      </c>
      <c r="I7534" t="s">
        <v>21</v>
      </c>
    </row>
    <row r="7535" spans="1:9" x14ac:dyDescent="0.25">
      <c r="A7535">
        <v>20140320</v>
      </c>
      <c r="B7535" t="str">
        <f>"114789"</f>
        <v>114789</v>
      </c>
      <c r="C7535" t="str">
        <f>"87785"</f>
        <v>87785</v>
      </c>
      <c r="D7535" t="s">
        <v>3666</v>
      </c>
      <c r="E7535">
        <v>550</v>
      </c>
      <c r="F7535">
        <v>20140319</v>
      </c>
      <c r="G7535" t="s">
        <v>140</v>
      </c>
      <c r="H7535" t="s">
        <v>3667</v>
      </c>
      <c r="I7535" t="s">
        <v>25</v>
      </c>
    </row>
    <row r="7536" spans="1:9" x14ac:dyDescent="0.25">
      <c r="A7536">
        <v>20140320</v>
      </c>
      <c r="B7536" t="str">
        <f>"114790"</f>
        <v>114790</v>
      </c>
      <c r="C7536" t="str">
        <f>"82704"</f>
        <v>82704</v>
      </c>
      <c r="D7536" t="s">
        <v>2217</v>
      </c>
      <c r="E7536">
        <v>315</v>
      </c>
      <c r="F7536">
        <v>20140318</v>
      </c>
      <c r="G7536" t="s">
        <v>404</v>
      </c>
      <c r="H7536" t="s">
        <v>2218</v>
      </c>
      <c r="I7536" t="s">
        <v>12</v>
      </c>
    </row>
    <row r="7537" spans="1:9" x14ac:dyDescent="0.25">
      <c r="A7537">
        <v>20140320</v>
      </c>
      <c r="B7537" t="str">
        <f>"114791"</f>
        <v>114791</v>
      </c>
      <c r="C7537" t="str">
        <f>"87244"</f>
        <v>87244</v>
      </c>
      <c r="D7537" t="s">
        <v>3668</v>
      </c>
      <c r="E7537" s="1">
        <v>1785.9</v>
      </c>
      <c r="F7537">
        <v>20140318</v>
      </c>
      <c r="G7537" t="s">
        <v>181</v>
      </c>
      <c r="H7537" t="s">
        <v>3669</v>
      </c>
      <c r="I7537" t="s">
        <v>38</v>
      </c>
    </row>
    <row r="7538" spans="1:9" x14ac:dyDescent="0.25">
      <c r="A7538">
        <v>20140320</v>
      </c>
      <c r="B7538" t="str">
        <f>"114792"</f>
        <v>114792</v>
      </c>
      <c r="C7538" t="str">
        <f>"40910"</f>
        <v>40910</v>
      </c>
      <c r="D7538" t="s">
        <v>1886</v>
      </c>
      <c r="E7538" s="1">
        <v>23033.4</v>
      </c>
      <c r="F7538">
        <v>20140319</v>
      </c>
      <c r="G7538" t="s">
        <v>3555</v>
      </c>
      <c r="H7538" t="s">
        <v>3670</v>
      </c>
      <c r="I7538" t="s">
        <v>12</v>
      </c>
    </row>
    <row r="7539" spans="1:9" x14ac:dyDescent="0.25">
      <c r="A7539">
        <v>20140320</v>
      </c>
      <c r="B7539" t="str">
        <f>"114792"</f>
        <v>114792</v>
      </c>
      <c r="C7539" t="str">
        <f>"40910"</f>
        <v>40910</v>
      </c>
      <c r="D7539" t="s">
        <v>1886</v>
      </c>
      <c r="E7539" s="1">
        <v>8610</v>
      </c>
      <c r="F7539">
        <v>20140319</v>
      </c>
      <c r="G7539" t="s">
        <v>3555</v>
      </c>
      <c r="H7539" t="s">
        <v>3671</v>
      </c>
      <c r="I7539" t="s">
        <v>12</v>
      </c>
    </row>
    <row r="7540" spans="1:9" x14ac:dyDescent="0.25">
      <c r="A7540">
        <v>20140320</v>
      </c>
      <c r="B7540" t="str">
        <f>"114793"</f>
        <v>114793</v>
      </c>
      <c r="C7540" t="str">
        <f>"40910"</f>
        <v>40910</v>
      </c>
      <c r="D7540" t="s">
        <v>1886</v>
      </c>
      <c r="E7540">
        <v>727.32</v>
      </c>
      <c r="F7540">
        <v>20140318</v>
      </c>
      <c r="G7540" t="s">
        <v>331</v>
      </c>
      <c r="H7540" t="s">
        <v>3672</v>
      </c>
      <c r="I7540" t="s">
        <v>12</v>
      </c>
    </row>
    <row r="7541" spans="1:9" x14ac:dyDescent="0.25">
      <c r="A7541">
        <v>20140320</v>
      </c>
      <c r="B7541" t="str">
        <f>"114794"</f>
        <v>114794</v>
      </c>
      <c r="C7541" t="str">
        <f>"40452"</f>
        <v>40452</v>
      </c>
      <c r="D7541" t="s">
        <v>3673</v>
      </c>
      <c r="E7541">
        <v>40</v>
      </c>
      <c r="F7541">
        <v>20140319</v>
      </c>
      <c r="G7541" t="s">
        <v>1522</v>
      </c>
      <c r="H7541" t="s">
        <v>954</v>
      </c>
      <c r="I7541" t="s">
        <v>21</v>
      </c>
    </row>
    <row r="7542" spans="1:9" x14ac:dyDescent="0.25">
      <c r="A7542">
        <v>20140320</v>
      </c>
      <c r="B7542" t="str">
        <f>"114795"</f>
        <v>114795</v>
      </c>
      <c r="C7542" t="str">
        <f>"00267"</f>
        <v>00267</v>
      </c>
      <c r="D7542" t="s">
        <v>2000</v>
      </c>
      <c r="E7542">
        <v>413.45</v>
      </c>
      <c r="F7542">
        <v>20140318</v>
      </c>
      <c r="G7542" t="s">
        <v>2932</v>
      </c>
      <c r="H7542" t="s">
        <v>921</v>
      </c>
      <c r="I7542" t="s">
        <v>21</v>
      </c>
    </row>
    <row r="7543" spans="1:9" x14ac:dyDescent="0.25">
      <c r="A7543">
        <v>20140320</v>
      </c>
      <c r="B7543" t="str">
        <f>"114796"</f>
        <v>114796</v>
      </c>
      <c r="C7543" t="str">
        <f>"41253"</f>
        <v>41253</v>
      </c>
      <c r="D7543" t="s">
        <v>421</v>
      </c>
      <c r="E7543" s="1">
        <v>106762.88</v>
      </c>
      <c r="F7543">
        <v>20140318</v>
      </c>
      <c r="G7543" t="s">
        <v>404</v>
      </c>
      <c r="H7543" t="s">
        <v>913</v>
      </c>
      <c r="I7543" t="s">
        <v>12</v>
      </c>
    </row>
    <row r="7544" spans="1:9" x14ac:dyDescent="0.25">
      <c r="A7544">
        <v>20140320</v>
      </c>
      <c r="B7544" t="str">
        <f>"114796"</f>
        <v>114796</v>
      </c>
      <c r="C7544" t="str">
        <f>"41253"</f>
        <v>41253</v>
      </c>
      <c r="D7544" t="s">
        <v>421</v>
      </c>
      <c r="E7544" s="1">
        <v>9740.35</v>
      </c>
      <c r="F7544">
        <v>20140318</v>
      </c>
      <c r="G7544" t="s">
        <v>1404</v>
      </c>
      <c r="H7544" t="s">
        <v>1456</v>
      </c>
      <c r="I7544" t="s">
        <v>12</v>
      </c>
    </row>
    <row r="7545" spans="1:9" x14ac:dyDescent="0.25">
      <c r="A7545">
        <v>20140320</v>
      </c>
      <c r="B7545" t="str">
        <f>"114797"</f>
        <v>114797</v>
      </c>
      <c r="C7545" t="str">
        <f>"41375"</f>
        <v>41375</v>
      </c>
      <c r="D7545" t="s">
        <v>616</v>
      </c>
      <c r="E7545">
        <v>179.98</v>
      </c>
      <c r="F7545">
        <v>20140319</v>
      </c>
      <c r="G7545" t="s">
        <v>583</v>
      </c>
      <c r="H7545" t="s">
        <v>3674</v>
      </c>
      <c r="I7545" t="s">
        <v>21</v>
      </c>
    </row>
    <row r="7546" spans="1:9" x14ac:dyDescent="0.25">
      <c r="A7546">
        <v>20140320</v>
      </c>
      <c r="B7546" t="str">
        <f>"114798"</f>
        <v>114798</v>
      </c>
      <c r="C7546" t="str">
        <f>"86928"</f>
        <v>86928</v>
      </c>
      <c r="D7546" t="s">
        <v>1457</v>
      </c>
      <c r="E7546">
        <v>286.74</v>
      </c>
      <c r="F7546">
        <v>20140318</v>
      </c>
      <c r="G7546" t="s">
        <v>1235</v>
      </c>
      <c r="H7546" t="s">
        <v>563</v>
      </c>
      <c r="I7546" t="s">
        <v>79</v>
      </c>
    </row>
    <row r="7547" spans="1:9" x14ac:dyDescent="0.25">
      <c r="A7547">
        <v>20140320</v>
      </c>
      <c r="B7547" t="str">
        <f>"114799"</f>
        <v>114799</v>
      </c>
      <c r="C7547" t="str">
        <f>"80940"</f>
        <v>80940</v>
      </c>
      <c r="D7547" t="s">
        <v>3675</v>
      </c>
      <c r="E7547">
        <v>100</v>
      </c>
      <c r="F7547">
        <v>20140317</v>
      </c>
      <c r="G7547" t="s">
        <v>3430</v>
      </c>
      <c r="H7547" t="s">
        <v>765</v>
      </c>
      <c r="I7547" t="s">
        <v>61</v>
      </c>
    </row>
    <row r="7548" spans="1:9" x14ac:dyDescent="0.25">
      <c r="A7548">
        <v>20140320</v>
      </c>
      <c r="B7548" t="str">
        <f>"114800"</f>
        <v>114800</v>
      </c>
      <c r="C7548" t="str">
        <f>"84876"</f>
        <v>84876</v>
      </c>
      <c r="D7548" t="s">
        <v>1259</v>
      </c>
      <c r="E7548">
        <v>251.79</v>
      </c>
      <c r="F7548">
        <v>20140319</v>
      </c>
      <c r="G7548" t="s">
        <v>1067</v>
      </c>
      <c r="H7548" t="s">
        <v>3412</v>
      </c>
      <c r="I7548" t="s">
        <v>21</v>
      </c>
    </row>
    <row r="7549" spans="1:9" x14ac:dyDescent="0.25">
      <c r="A7549">
        <v>20140320</v>
      </c>
      <c r="B7549" t="str">
        <f>"114800"</f>
        <v>114800</v>
      </c>
      <c r="C7549" t="str">
        <f>"84876"</f>
        <v>84876</v>
      </c>
      <c r="D7549" t="s">
        <v>1259</v>
      </c>
      <c r="E7549">
        <v>251.79</v>
      </c>
      <c r="F7549">
        <v>20140319</v>
      </c>
      <c r="G7549" t="s">
        <v>1064</v>
      </c>
      <c r="H7549" t="s">
        <v>3413</v>
      </c>
      <c r="I7549" t="s">
        <v>21</v>
      </c>
    </row>
    <row r="7550" spans="1:9" x14ac:dyDescent="0.25">
      <c r="A7550">
        <v>20140320</v>
      </c>
      <c r="B7550" t="str">
        <f>"114801"</f>
        <v>114801</v>
      </c>
      <c r="C7550" t="str">
        <f>"43125"</f>
        <v>43125</v>
      </c>
      <c r="D7550" t="s">
        <v>891</v>
      </c>
      <c r="E7550">
        <v>19.440000000000001</v>
      </c>
      <c r="F7550">
        <v>20140318</v>
      </c>
      <c r="G7550" t="s">
        <v>1254</v>
      </c>
      <c r="H7550" t="s">
        <v>563</v>
      </c>
      <c r="I7550" t="s">
        <v>79</v>
      </c>
    </row>
    <row r="7551" spans="1:9" x14ac:dyDescent="0.25">
      <c r="A7551">
        <v>20140320</v>
      </c>
      <c r="B7551" t="str">
        <f>"114802"</f>
        <v>114802</v>
      </c>
      <c r="C7551" t="str">
        <f>"43193"</f>
        <v>43193</v>
      </c>
      <c r="D7551" t="s">
        <v>3676</v>
      </c>
      <c r="E7551">
        <v>150</v>
      </c>
      <c r="F7551">
        <v>20140318</v>
      </c>
      <c r="G7551" t="s">
        <v>2009</v>
      </c>
      <c r="H7551" t="s">
        <v>357</v>
      </c>
      <c r="I7551" t="s">
        <v>21</v>
      </c>
    </row>
    <row r="7552" spans="1:9" x14ac:dyDescent="0.25">
      <c r="A7552">
        <v>20140320</v>
      </c>
      <c r="B7552" t="str">
        <f>"114802"</f>
        <v>114802</v>
      </c>
      <c r="C7552" t="str">
        <f>"43193"</f>
        <v>43193</v>
      </c>
      <c r="D7552" t="s">
        <v>3676</v>
      </c>
      <c r="E7552">
        <v>130</v>
      </c>
      <c r="F7552">
        <v>20140318</v>
      </c>
      <c r="G7552" t="s">
        <v>965</v>
      </c>
      <c r="H7552" t="s">
        <v>357</v>
      </c>
      <c r="I7552" t="s">
        <v>21</v>
      </c>
    </row>
    <row r="7553" spans="1:9" x14ac:dyDescent="0.25">
      <c r="A7553">
        <v>20140320</v>
      </c>
      <c r="B7553" t="str">
        <f>"114803"</f>
        <v>114803</v>
      </c>
      <c r="C7553" t="str">
        <f>"43210"</f>
        <v>43210</v>
      </c>
      <c r="D7553" t="s">
        <v>3677</v>
      </c>
      <c r="E7553">
        <v>175.71</v>
      </c>
      <c r="F7553">
        <v>20140317</v>
      </c>
      <c r="G7553" t="s">
        <v>3430</v>
      </c>
      <c r="H7553" t="s">
        <v>765</v>
      </c>
      <c r="I7553" t="s">
        <v>61</v>
      </c>
    </row>
    <row r="7554" spans="1:9" x14ac:dyDescent="0.25">
      <c r="A7554">
        <v>20140320</v>
      </c>
      <c r="B7554" t="str">
        <f>"114804"</f>
        <v>114804</v>
      </c>
      <c r="C7554" t="str">
        <f>"45605"</f>
        <v>45605</v>
      </c>
      <c r="D7554" t="s">
        <v>1474</v>
      </c>
      <c r="E7554">
        <v>53.65</v>
      </c>
      <c r="F7554">
        <v>20140317</v>
      </c>
      <c r="G7554" t="s">
        <v>413</v>
      </c>
      <c r="H7554" t="s">
        <v>414</v>
      </c>
      <c r="I7554" t="s">
        <v>21</v>
      </c>
    </row>
    <row r="7555" spans="1:9" x14ac:dyDescent="0.25">
      <c r="A7555">
        <v>20140320</v>
      </c>
      <c r="B7555" t="str">
        <f>"114804"</f>
        <v>114804</v>
      </c>
      <c r="C7555" t="str">
        <f>"45605"</f>
        <v>45605</v>
      </c>
      <c r="D7555" t="s">
        <v>1474</v>
      </c>
      <c r="E7555">
        <v>554.32000000000005</v>
      </c>
      <c r="F7555">
        <v>20140317</v>
      </c>
      <c r="G7555" t="s">
        <v>413</v>
      </c>
      <c r="H7555" t="s">
        <v>3678</v>
      </c>
      <c r="I7555" t="s">
        <v>21</v>
      </c>
    </row>
    <row r="7556" spans="1:9" x14ac:dyDescent="0.25">
      <c r="A7556">
        <v>20140320</v>
      </c>
      <c r="B7556" t="str">
        <f>"114805"</f>
        <v>114805</v>
      </c>
      <c r="C7556" t="str">
        <f>"87557"</f>
        <v>87557</v>
      </c>
      <c r="D7556" t="s">
        <v>1629</v>
      </c>
      <c r="E7556">
        <v>121.46</v>
      </c>
      <c r="F7556">
        <v>20140318</v>
      </c>
      <c r="G7556" t="s">
        <v>1630</v>
      </c>
      <c r="H7556" t="s">
        <v>563</v>
      </c>
      <c r="I7556" t="s">
        <v>21</v>
      </c>
    </row>
    <row r="7557" spans="1:9" x14ac:dyDescent="0.25">
      <c r="A7557">
        <v>20140320</v>
      </c>
      <c r="B7557" t="str">
        <f>"114806"</f>
        <v>114806</v>
      </c>
      <c r="C7557" t="str">
        <f>"48820"</f>
        <v>48820</v>
      </c>
      <c r="D7557" t="s">
        <v>1106</v>
      </c>
      <c r="E7557">
        <v>387.29</v>
      </c>
      <c r="F7557">
        <v>20140318</v>
      </c>
      <c r="G7557" t="s">
        <v>1067</v>
      </c>
      <c r="H7557" t="s">
        <v>354</v>
      </c>
      <c r="I7557" t="s">
        <v>21</v>
      </c>
    </row>
    <row r="7558" spans="1:9" x14ac:dyDescent="0.25">
      <c r="A7558">
        <v>20140320</v>
      </c>
      <c r="B7558" t="str">
        <f>"114806"</f>
        <v>114806</v>
      </c>
      <c r="C7558" t="str">
        <f>"48820"</f>
        <v>48820</v>
      </c>
      <c r="D7558" t="s">
        <v>1106</v>
      </c>
      <c r="E7558">
        <v>129.44</v>
      </c>
      <c r="F7558">
        <v>20140318</v>
      </c>
      <c r="G7558" t="s">
        <v>209</v>
      </c>
      <c r="H7558" t="s">
        <v>354</v>
      </c>
      <c r="I7558" t="s">
        <v>25</v>
      </c>
    </row>
    <row r="7559" spans="1:9" x14ac:dyDescent="0.25">
      <c r="A7559">
        <v>20140320</v>
      </c>
      <c r="B7559" t="str">
        <f>"114807"</f>
        <v>114807</v>
      </c>
      <c r="C7559" t="str">
        <f>"87781"</f>
        <v>87781</v>
      </c>
      <c r="D7559" t="s">
        <v>3679</v>
      </c>
      <c r="E7559">
        <v>364.57</v>
      </c>
      <c r="F7559">
        <v>20140317</v>
      </c>
      <c r="G7559" t="s">
        <v>1112</v>
      </c>
      <c r="H7559" t="s">
        <v>365</v>
      </c>
      <c r="I7559" t="s">
        <v>66</v>
      </c>
    </row>
    <row r="7560" spans="1:9" x14ac:dyDescent="0.25">
      <c r="A7560">
        <v>20140320</v>
      </c>
      <c r="B7560" t="str">
        <f>"114808"</f>
        <v>114808</v>
      </c>
      <c r="C7560" t="str">
        <f>"87541"</f>
        <v>87541</v>
      </c>
      <c r="D7560" t="s">
        <v>1336</v>
      </c>
      <c r="E7560" s="1">
        <v>2500</v>
      </c>
      <c r="F7560">
        <v>20140317</v>
      </c>
      <c r="G7560" t="s">
        <v>367</v>
      </c>
      <c r="H7560" t="s">
        <v>3680</v>
      </c>
      <c r="I7560" t="s">
        <v>21</v>
      </c>
    </row>
    <row r="7561" spans="1:9" x14ac:dyDescent="0.25">
      <c r="A7561">
        <v>20140320</v>
      </c>
      <c r="B7561" t="str">
        <f>"114809"</f>
        <v>114809</v>
      </c>
      <c r="C7561" t="str">
        <f>"86598"</f>
        <v>86598</v>
      </c>
      <c r="D7561" t="s">
        <v>1633</v>
      </c>
      <c r="E7561">
        <v>45.12</v>
      </c>
      <c r="F7561">
        <v>20140318</v>
      </c>
      <c r="G7561" t="s">
        <v>982</v>
      </c>
      <c r="H7561" t="s">
        <v>365</v>
      </c>
      <c r="I7561" t="s">
        <v>21</v>
      </c>
    </row>
    <row r="7562" spans="1:9" x14ac:dyDescent="0.25">
      <c r="A7562">
        <v>20140320</v>
      </c>
      <c r="B7562" t="str">
        <f>"114810"</f>
        <v>114810</v>
      </c>
      <c r="C7562" t="str">
        <f>"84193"</f>
        <v>84193</v>
      </c>
      <c r="D7562" t="s">
        <v>1110</v>
      </c>
      <c r="E7562">
        <v>33.93</v>
      </c>
      <c r="F7562">
        <v>20140318</v>
      </c>
      <c r="G7562" t="s">
        <v>562</v>
      </c>
      <c r="H7562" t="s">
        <v>563</v>
      </c>
      <c r="I7562" t="s">
        <v>21</v>
      </c>
    </row>
    <row r="7563" spans="1:9" x14ac:dyDescent="0.25">
      <c r="A7563">
        <v>20140320</v>
      </c>
      <c r="B7563" t="str">
        <f>"114811"</f>
        <v>114811</v>
      </c>
      <c r="C7563" t="str">
        <f>"85231"</f>
        <v>85231</v>
      </c>
      <c r="D7563" t="s">
        <v>914</v>
      </c>
      <c r="E7563">
        <v>288.42</v>
      </c>
      <c r="F7563">
        <v>20140318</v>
      </c>
      <c r="G7563" t="s">
        <v>194</v>
      </c>
      <c r="H7563" t="s">
        <v>354</v>
      </c>
      <c r="I7563" t="s">
        <v>25</v>
      </c>
    </row>
    <row r="7564" spans="1:9" x14ac:dyDescent="0.25">
      <c r="A7564">
        <v>20140320</v>
      </c>
      <c r="B7564" t="str">
        <f>"114811"</f>
        <v>114811</v>
      </c>
      <c r="C7564" t="str">
        <f>"85231"</f>
        <v>85231</v>
      </c>
      <c r="D7564" t="s">
        <v>914</v>
      </c>
      <c r="E7564">
        <v>39.020000000000003</v>
      </c>
      <c r="F7564">
        <v>20140318</v>
      </c>
      <c r="G7564" t="s">
        <v>194</v>
      </c>
      <c r="H7564" t="s">
        <v>354</v>
      </c>
      <c r="I7564" t="s">
        <v>25</v>
      </c>
    </row>
    <row r="7565" spans="1:9" x14ac:dyDescent="0.25">
      <c r="A7565">
        <v>20140320</v>
      </c>
      <c r="B7565" t="str">
        <f>"114811"</f>
        <v>114811</v>
      </c>
      <c r="C7565" t="str">
        <f>"85231"</f>
        <v>85231</v>
      </c>
      <c r="D7565" t="s">
        <v>914</v>
      </c>
      <c r="E7565" s="1">
        <v>1849.94</v>
      </c>
      <c r="F7565">
        <v>20140318</v>
      </c>
      <c r="G7565" t="s">
        <v>194</v>
      </c>
      <c r="H7565" t="s">
        <v>354</v>
      </c>
      <c r="I7565" t="s">
        <v>25</v>
      </c>
    </row>
    <row r="7566" spans="1:9" x14ac:dyDescent="0.25">
      <c r="A7566">
        <v>20140320</v>
      </c>
      <c r="B7566" t="str">
        <f>"114812"</f>
        <v>114812</v>
      </c>
      <c r="C7566" t="str">
        <f>"52518"</f>
        <v>52518</v>
      </c>
      <c r="D7566" t="s">
        <v>647</v>
      </c>
      <c r="E7566">
        <v>9.49</v>
      </c>
      <c r="F7566">
        <v>20140318</v>
      </c>
      <c r="G7566" t="s">
        <v>140</v>
      </c>
      <c r="H7566" t="s">
        <v>1427</v>
      </c>
      <c r="I7566" t="s">
        <v>25</v>
      </c>
    </row>
    <row r="7567" spans="1:9" x14ac:dyDescent="0.25">
      <c r="A7567">
        <v>20140320</v>
      </c>
      <c r="B7567" t="str">
        <f>"114813"</f>
        <v>114813</v>
      </c>
      <c r="C7567" t="str">
        <f>"82978"</f>
        <v>82978</v>
      </c>
      <c r="D7567" t="s">
        <v>2245</v>
      </c>
      <c r="E7567" s="1">
        <v>1150.45</v>
      </c>
      <c r="F7567">
        <v>20140319</v>
      </c>
      <c r="G7567" t="s">
        <v>840</v>
      </c>
      <c r="H7567" t="s">
        <v>3681</v>
      </c>
      <c r="I7567" t="s">
        <v>21</v>
      </c>
    </row>
    <row r="7568" spans="1:9" x14ac:dyDescent="0.25">
      <c r="A7568">
        <v>20140320</v>
      </c>
      <c r="B7568" t="str">
        <f>"114814"</f>
        <v>114814</v>
      </c>
      <c r="C7568" t="str">
        <f>"82625"</f>
        <v>82625</v>
      </c>
      <c r="D7568" t="s">
        <v>649</v>
      </c>
      <c r="E7568">
        <v>751.28</v>
      </c>
      <c r="F7568">
        <v>20140319</v>
      </c>
      <c r="G7568" t="s">
        <v>2458</v>
      </c>
      <c r="H7568" t="s">
        <v>3682</v>
      </c>
      <c r="I7568" t="s">
        <v>21</v>
      </c>
    </row>
    <row r="7569" spans="1:9" x14ac:dyDescent="0.25">
      <c r="A7569">
        <v>20140320</v>
      </c>
      <c r="B7569" t="str">
        <f>"114815"</f>
        <v>114815</v>
      </c>
      <c r="C7569" t="str">
        <f>"55675"</f>
        <v>55675</v>
      </c>
      <c r="D7569" t="s">
        <v>1114</v>
      </c>
      <c r="E7569">
        <v>70</v>
      </c>
      <c r="F7569">
        <v>20140317</v>
      </c>
      <c r="G7569" t="s">
        <v>506</v>
      </c>
      <c r="H7569" t="s">
        <v>1788</v>
      </c>
      <c r="I7569" t="s">
        <v>21</v>
      </c>
    </row>
    <row r="7570" spans="1:9" x14ac:dyDescent="0.25">
      <c r="A7570">
        <v>20140320</v>
      </c>
      <c r="B7570" t="str">
        <f>"114815"</f>
        <v>114815</v>
      </c>
      <c r="C7570" t="str">
        <f>"55675"</f>
        <v>55675</v>
      </c>
      <c r="D7570" t="s">
        <v>1114</v>
      </c>
      <c r="E7570">
        <v>34.94</v>
      </c>
      <c r="F7570">
        <v>20140317</v>
      </c>
      <c r="G7570" t="s">
        <v>506</v>
      </c>
      <c r="H7570" t="s">
        <v>1788</v>
      </c>
      <c r="I7570" t="s">
        <v>21</v>
      </c>
    </row>
    <row r="7571" spans="1:9" x14ac:dyDescent="0.25">
      <c r="A7571">
        <v>20140320</v>
      </c>
      <c r="B7571" t="str">
        <f>"114815"</f>
        <v>114815</v>
      </c>
      <c r="C7571" t="str">
        <f>"55675"</f>
        <v>55675</v>
      </c>
      <c r="D7571" t="s">
        <v>1114</v>
      </c>
      <c r="E7571">
        <v>87.18</v>
      </c>
      <c r="F7571">
        <v>20140318</v>
      </c>
      <c r="G7571" t="s">
        <v>1115</v>
      </c>
      <c r="H7571" t="s">
        <v>414</v>
      </c>
      <c r="I7571" t="s">
        <v>21</v>
      </c>
    </row>
    <row r="7572" spans="1:9" x14ac:dyDescent="0.25">
      <c r="A7572">
        <v>20140320</v>
      </c>
      <c r="B7572" t="str">
        <f>"114815"</f>
        <v>114815</v>
      </c>
      <c r="C7572" t="str">
        <f>"55675"</f>
        <v>55675</v>
      </c>
      <c r="D7572" t="s">
        <v>1114</v>
      </c>
      <c r="E7572">
        <v>75.739999999999995</v>
      </c>
      <c r="F7572">
        <v>20140318</v>
      </c>
      <c r="G7572" t="s">
        <v>1115</v>
      </c>
      <c r="H7572" t="s">
        <v>414</v>
      </c>
      <c r="I7572" t="s">
        <v>21</v>
      </c>
    </row>
    <row r="7573" spans="1:9" x14ac:dyDescent="0.25">
      <c r="A7573">
        <v>20140320</v>
      </c>
      <c r="B7573" t="str">
        <f>"114816"</f>
        <v>114816</v>
      </c>
      <c r="C7573" t="str">
        <f>"87246"</f>
        <v>87246</v>
      </c>
      <c r="D7573" t="s">
        <v>1494</v>
      </c>
      <c r="E7573" s="1">
        <v>1500</v>
      </c>
      <c r="F7573">
        <v>20140318</v>
      </c>
      <c r="G7573" t="s">
        <v>140</v>
      </c>
      <c r="H7573" t="s">
        <v>3683</v>
      </c>
      <c r="I7573" t="s">
        <v>25</v>
      </c>
    </row>
    <row r="7574" spans="1:9" x14ac:dyDescent="0.25">
      <c r="A7574">
        <v>20140320</v>
      </c>
      <c r="B7574" t="str">
        <f>"114817"</f>
        <v>114817</v>
      </c>
      <c r="C7574" t="str">
        <f>"58772"</f>
        <v>58772</v>
      </c>
      <c r="D7574" t="s">
        <v>934</v>
      </c>
      <c r="E7574">
        <v>194.7</v>
      </c>
      <c r="F7574">
        <v>20140319</v>
      </c>
      <c r="G7574" t="s">
        <v>2458</v>
      </c>
      <c r="H7574" t="s">
        <v>3684</v>
      </c>
      <c r="I7574" t="s">
        <v>21</v>
      </c>
    </row>
    <row r="7575" spans="1:9" x14ac:dyDescent="0.25">
      <c r="A7575">
        <v>20140320</v>
      </c>
      <c r="B7575" t="str">
        <f>"114818"</f>
        <v>114818</v>
      </c>
      <c r="C7575" t="str">
        <f>"59190"</f>
        <v>59190</v>
      </c>
      <c r="D7575" t="s">
        <v>1499</v>
      </c>
      <c r="E7575">
        <v>22.86</v>
      </c>
      <c r="F7575">
        <v>20140317</v>
      </c>
      <c r="G7575" t="s">
        <v>413</v>
      </c>
      <c r="H7575" t="s">
        <v>414</v>
      </c>
      <c r="I7575" t="s">
        <v>21</v>
      </c>
    </row>
    <row r="7576" spans="1:9" x14ac:dyDescent="0.25">
      <c r="A7576">
        <v>20140320</v>
      </c>
      <c r="B7576" t="str">
        <f>"114819"</f>
        <v>114819</v>
      </c>
      <c r="C7576" t="str">
        <f>"59303"</f>
        <v>59303</v>
      </c>
      <c r="D7576" t="s">
        <v>2557</v>
      </c>
      <c r="E7576" s="1">
        <v>5155.5</v>
      </c>
      <c r="F7576">
        <v>20140319</v>
      </c>
      <c r="G7576" t="s">
        <v>734</v>
      </c>
      <c r="H7576" t="s">
        <v>3685</v>
      </c>
      <c r="I7576" t="s">
        <v>21</v>
      </c>
    </row>
    <row r="7577" spans="1:9" x14ac:dyDescent="0.25">
      <c r="A7577">
        <v>20140320</v>
      </c>
      <c r="B7577" t="str">
        <f>"114820"</f>
        <v>114820</v>
      </c>
      <c r="C7577" t="str">
        <f>"60450"</f>
        <v>60450</v>
      </c>
      <c r="D7577" t="s">
        <v>1917</v>
      </c>
      <c r="E7577">
        <v>27.94</v>
      </c>
      <c r="F7577">
        <v>20140319</v>
      </c>
      <c r="G7577" t="s">
        <v>828</v>
      </c>
      <c r="H7577" t="s">
        <v>3686</v>
      </c>
      <c r="I7577" t="s">
        <v>21</v>
      </c>
    </row>
    <row r="7578" spans="1:9" x14ac:dyDescent="0.25">
      <c r="A7578">
        <v>20140320</v>
      </c>
      <c r="B7578" t="str">
        <f>"114821"</f>
        <v>114821</v>
      </c>
      <c r="C7578" t="str">
        <f>"87483"</f>
        <v>87483</v>
      </c>
      <c r="D7578" t="s">
        <v>1286</v>
      </c>
      <c r="E7578" s="1">
        <v>1246</v>
      </c>
      <c r="F7578">
        <v>20140319</v>
      </c>
      <c r="G7578" t="s">
        <v>840</v>
      </c>
      <c r="H7578" t="s">
        <v>3687</v>
      </c>
      <c r="I7578" t="s">
        <v>21</v>
      </c>
    </row>
    <row r="7579" spans="1:9" x14ac:dyDescent="0.25">
      <c r="A7579">
        <v>20140320</v>
      </c>
      <c r="B7579" t="str">
        <f>"114822"</f>
        <v>114822</v>
      </c>
      <c r="C7579" t="str">
        <f>"83617"</f>
        <v>83617</v>
      </c>
      <c r="D7579" t="s">
        <v>1289</v>
      </c>
      <c r="E7579">
        <v>127.34</v>
      </c>
      <c r="F7579">
        <v>20140317</v>
      </c>
      <c r="G7579" t="s">
        <v>892</v>
      </c>
      <c r="H7579" t="s">
        <v>563</v>
      </c>
      <c r="I7579" t="s">
        <v>79</v>
      </c>
    </row>
    <row r="7580" spans="1:9" x14ac:dyDescent="0.25">
      <c r="A7580">
        <v>20140320</v>
      </c>
      <c r="B7580" t="str">
        <f>"114822"</f>
        <v>114822</v>
      </c>
      <c r="C7580" t="str">
        <f>"83617"</f>
        <v>83617</v>
      </c>
      <c r="D7580" t="s">
        <v>1289</v>
      </c>
      <c r="E7580">
        <v>186.87</v>
      </c>
      <c r="F7580">
        <v>20140317</v>
      </c>
      <c r="G7580" t="s">
        <v>3179</v>
      </c>
      <c r="H7580" t="s">
        <v>563</v>
      </c>
      <c r="I7580" t="s">
        <v>79</v>
      </c>
    </row>
    <row r="7581" spans="1:9" x14ac:dyDescent="0.25">
      <c r="A7581">
        <v>20140320</v>
      </c>
      <c r="B7581" t="str">
        <f>"114823"</f>
        <v>114823</v>
      </c>
      <c r="C7581" t="str">
        <f>"83448"</f>
        <v>83448</v>
      </c>
      <c r="D7581" t="s">
        <v>2971</v>
      </c>
      <c r="E7581">
        <v>200</v>
      </c>
      <c r="F7581">
        <v>20140319</v>
      </c>
      <c r="G7581" t="s">
        <v>982</v>
      </c>
      <c r="H7581" t="s">
        <v>357</v>
      </c>
      <c r="I7581" t="s">
        <v>21</v>
      </c>
    </row>
    <row r="7582" spans="1:9" x14ac:dyDescent="0.25">
      <c r="A7582">
        <v>20140320</v>
      </c>
      <c r="B7582" t="str">
        <f>"114824"</f>
        <v>114824</v>
      </c>
      <c r="C7582" t="str">
        <f>"81933"</f>
        <v>81933</v>
      </c>
      <c r="D7582" t="s">
        <v>432</v>
      </c>
      <c r="E7582">
        <v>37.799999999999997</v>
      </c>
      <c r="F7582">
        <v>20140318</v>
      </c>
      <c r="G7582" t="s">
        <v>410</v>
      </c>
      <c r="H7582" t="s">
        <v>411</v>
      </c>
      <c r="I7582" t="s">
        <v>12</v>
      </c>
    </row>
    <row r="7583" spans="1:9" x14ac:dyDescent="0.25">
      <c r="A7583">
        <v>20140320</v>
      </c>
      <c r="B7583" t="str">
        <f>"114825"</f>
        <v>114825</v>
      </c>
      <c r="C7583" t="str">
        <f>"00034"</f>
        <v>00034</v>
      </c>
      <c r="D7583" t="s">
        <v>1653</v>
      </c>
      <c r="E7583">
        <v>398.99</v>
      </c>
      <c r="F7583">
        <v>20140319</v>
      </c>
      <c r="G7583" t="s">
        <v>734</v>
      </c>
      <c r="H7583" t="s">
        <v>3688</v>
      </c>
      <c r="I7583" t="s">
        <v>21</v>
      </c>
    </row>
    <row r="7584" spans="1:9" x14ac:dyDescent="0.25">
      <c r="A7584">
        <v>20140320</v>
      </c>
      <c r="B7584" t="str">
        <f>"114826"</f>
        <v>114826</v>
      </c>
      <c r="C7584" t="str">
        <f>"82243"</f>
        <v>82243</v>
      </c>
      <c r="D7584" t="s">
        <v>1517</v>
      </c>
      <c r="E7584">
        <v>398.85</v>
      </c>
      <c r="F7584">
        <v>20140317</v>
      </c>
      <c r="G7584" t="s">
        <v>392</v>
      </c>
      <c r="H7584" t="s">
        <v>414</v>
      </c>
      <c r="I7584" t="s">
        <v>21</v>
      </c>
    </row>
    <row r="7585" spans="1:9" x14ac:dyDescent="0.25">
      <c r="A7585">
        <v>20140320</v>
      </c>
      <c r="B7585" t="str">
        <f>"114826"</f>
        <v>114826</v>
      </c>
      <c r="C7585" t="str">
        <f>"82243"</f>
        <v>82243</v>
      </c>
      <c r="D7585" t="s">
        <v>1517</v>
      </c>
      <c r="E7585">
        <v>41.22</v>
      </c>
      <c r="F7585">
        <v>20140317</v>
      </c>
      <c r="G7585" t="s">
        <v>392</v>
      </c>
      <c r="H7585" t="s">
        <v>414</v>
      </c>
      <c r="I7585" t="s">
        <v>21</v>
      </c>
    </row>
    <row r="7586" spans="1:9" x14ac:dyDescent="0.25">
      <c r="A7586">
        <v>20140320</v>
      </c>
      <c r="B7586" t="str">
        <f>"114827"</f>
        <v>114827</v>
      </c>
      <c r="C7586" t="str">
        <f>"87245"</f>
        <v>87245</v>
      </c>
      <c r="D7586" t="s">
        <v>3189</v>
      </c>
      <c r="E7586">
        <v>225</v>
      </c>
      <c r="F7586">
        <v>20140317</v>
      </c>
      <c r="G7586" t="s">
        <v>448</v>
      </c>
      <c r="H7586" t="s">
        <v>2128</v>
      </c>
      <c r="I7586" t="s">
        <v>21</v>
      </c>
    </row>
    <row r="7587" spans="1:9" x14ac:dyDescent="0.25">
      <c r="A7587">
        <v>20140320</v>
      </c>
      <c r="B7587" t="str">
        <f>"114828"</f>
        <v>114828</v>
      </c>
      <c r="C7587" t="str">
        <f>"82312"</f>
        <v>82312</v>
      </c>
      <c r="D7587" t="s">
        <v>3585</v>
      </c>
      <c r="E7587">
        <v>355</v>
      </c>
      <c r="F7587">
        <v>20140318</v>
      </c>
      <c r="G7587" t="s">
        <v>221</v>
      </c>
      <c r="H7587" t="s">
        <v>3689</v>
      </c>
      <c r="I7587" t="s">
        <v>25</v>
      </c>
    </row>
    <row r="7588" spans="1:9" x14ac:dyDescent="0.25">
      <c r="A7588">
        <v>20140320</v>
      </c>
      <c r="B7588" t="str">
        <f>"114829"</f>
        <v>114829</v>
      </c>
      <c r="C7588" t="str">
        <f>"82845"</f>
        <v>82845</v>
      </c>
      <c r="D7588" t="s">
        <v>2405</v>
      </c>
      <c r="E7588">
        <v>409</v>
      </c>
      <c r="F7588">
        <v>20140318</v>
      </c>
      <c r="G7588" t="s">
        <v>41</v>
      </c>
      <c r="H7588" t="s">
        <v>1309</v>
      </c>
      <c r="I7588" t="s">
        <v>38</v>
      </c>
    </row>
    <row r="7589" spans="1:9" x14ac:dyDescent="0.25">
      <c r="A7589">
        <v>20140320</v>
      </c>
      <c r="B7589" t="str">
        <f>"114830"</f>
        <v>114830</v>
      </c>
      <c r="C7589" t="str">
        <f>"68960"</f>
        <v>68960</v>
      </c>
      <c r="D7589" t="s">
        <v>689</v>
      </c>
      <c r="E7589">
        <v>57</v>
      </c>
      <c r="F7589">
        <v>20140317</v>
      </c>
      <c r="G7589" t="s">
        <v>356</v>
      </c>
      <c r="H7589" t="s">
        <v>357</v>
      </c>
      <c r="I7589" t="s">
        <v>61</v>
      </c>
    </row>
    <row r="7590" spans="1:9" x14ac:dyDescent="0.25">
      <c r="A7590">
        <v>20140320</v>
      </c>
      <c r="B7590" t="str">
        <f>"114830"</f>
        <v>114830</v>
      </c>
      <c r="C7590" t="str">
        <f>"68960"</f>
        <v>68960</v>
      </c>
      <c r="D7590" t="s">
        <v>689</v>
      </c>
      <c r="E7590">
        <v>51</v>
      </c>
      <c r="F7590">
        <v>20140318</v>
      </c>
      <c r="G7590" t="s">
        <v>356</v>
      </c>
      <c r="H7590" t="s">
        <v>357</v>
      </c>
      <c r="I7590" t="s">
        <v>61</v>
      </c>
    </row>
    <row r="7591" spans="1:9" x14ac:dyDescent="0.25">
      <c r="A7591">
        <v>20140320</v>
      </c>
      <c r="B7591" t="str">
        <f>"114830"</f>
        <v>114830</v>
      </c>
      <c r="C7591" t="str">
        <f>"68960"</f>
        <v>68960</v>
      </c>
      <c r="D7591" t="s">
        <v>689</v>
      </c>
      <c r="E7591">
        <v>26</v>
      </c>
      <c r="F7591">
        <v>20140318</v>
      </c>
      <c r="G7591" t="s">
        <v>356</v>
      </c>
      <c r="H7591" t="s">
        <v>357</v>
      </c>
      <c r="I7591" t="s">
        <v>61</v>
      </c>
    </row>
    <row r="7592" spans="1:9" x14ac:dyDescent="0.25">
      <c r="A7592">
        <v>20140320</v>
      </c>
      <c r="B7592" t="str">
        <f>"114830"</f>
        <v>114830</v>
      </c>
      <c r="C7592" t="str">
        <f>"68960"</f>
        <v>68960</v>
      </c>
      <c r="D7592" t="s">
        <v>689</v>
      </c>
      <c r="E7592">
        <v>48</v>
      </c>
      <c r="F7592">
        <v>20140317</v>
      </c>
      <c r="G7592" t="s">
        <v>935</v>
      </c>
      <c r="H7592" t="s">
        <v>357</v>
      </c>
      <c r="I7592" t="s">
        <v>21</v>
      </c>
    </row>
    <row r="7593" spans="1:9" x14ac:dyDescent="0.25">
      <c r="A7593">
        <v>20140320</v>
      </c>
      <c r="B7593" t="str">
        <f>"114831"</f>
        <v>114831</v>
      </c>
      <c r="C7593" t="str">
        <f>"68950"</f>
        <v>68950</v>
      </c>
      <c r="D7593" t="s">
        <v>2288</v>
      </c>
      <c r="E7593">
        <v>75.400000000000006</v>
      </c>
      <c r="F7593">
        <v>20140318</v>
      </c>
      <c r="G7593" t="s">
        <v>2346</v>
      </c>
      <c r="H7593" t="s">
        <v>414</v>
      </c>
      <c r="I7593" t="s">
        <v>25</v>
      </c>
    </row>
    <row r="7594" spans="1:9" x14ac:dyDescent="0.25">
      <c r="A7594">
        <v>20140320</v>
      </c>
      <c r="B7594" t="str">
        <f>"114831"</f>
        <v>114831</v>
      </c>
      <c r="C7594" t="str">
        <f>"68950"</f>
        <v>68950</v>
      </c>
      <c r="D7594" t="s">
        <v>2288</v>
      </c>
      <c r="E7594">
        <v>5.5</v>
      </c>
      <c r="F7594">
        <v>20140318</v>
      </c>
      <c r="G7594" t="s">
        <v>2346</v>
      </c>
      <c r="H7594" t="s">
        <v>414</v>
      </c>
      <c r="I7594" t="s">
        <v>25</v>
      </c>
    </row>
    <row r="7595" spans="1:9" x14ac:dyDescent="0.25">
      <c r="A7595">
        <v>20140320</v>
      </c>
      <c r="B7595" t="str">
        <f>"114832"</f>
        <v>114832</v>
      </c>
      <c r="C7595" t="str">
        <f>"86376"</f>
        <v>86376</v>
      </c>
      <c r="D7595" t="s">
        <v>1661</v>
      </c>
      <c r="E7595" s="1">
        <v>1950</v>
      </c>
      <c r="F7595">
        <v>20140319</v>
      </c>
      <c r="G7595" t="s">
        <v>935</v>
      </c>
      <c r="H7595" t="s">
        <v>3690</v>
      </c>
      <c r="I7595" t="s">
        <v>21</v>
      </c>
    </row>
    <row r="7596" spans="1:9" x14ac:dyDescent="0.25">
      <c r="A7596">
        <v>20140320</v>
      </c>
      <c r="B7596" t="str">
        <f>"114832"</f>
        <v>114832</v>
      </c>
      <c r="C7596" t="str">
        <f>"86376"</f>
        <v>86376</v>
      </c>
      <c r="D7596" t="s">
        <v>1661</v>
      </c>
      <c r="E7596">
        <v>206</v>
      </c>
      <c r="F7596">
        <v>20140319</v>
      </c>
      <c r="G7596" t="s">
        <v>840</v>
      </c>
      <c r="H7596" t="s">
        <v>3691</v>
      </c>
      <c r="I7596" t="s">
        <v>21</v>
      </c>
    </row>
    <row r="7597" spans="1:9" x14ac:dyDescent="0.25">
      <c r="A7597">
        <v>20140320</v>
      </c>
      <c r="B7597" t="str">
        <f>"114832"</f>
        <v>114832</v>
      </c>
      <c r="C7597" t="str">
        <f>"86376"</f>
        <v>86376</v>
      </c>
      <c r="D7597" t="s">
        <v>1661</v>
      </c>
      <c r="E7597">
        <v>755</v>
      </c>
      <c r="F7597">
        <v>20140319</v>
      </c>
      <c r="G7597" t="s">
        <v>1806</v>
      </c>
      <c r="H7597" t="s">
        <v>3692</v>
      </c>
      <c r="I7597" t="s">
        <v>21</v>
      </c>
    </row>
    <row r="7598" spans="1:9" x14ac:dyDescent="0.25">
      <c r="A7598">
        <v>20140320</v>
      </c>
      <c r="B7598" t="str">
        <f>"114832"</f>
        <v>114832</v>
      </c>
      <c r="C7598" t="str">
        <f>"86376"</f>
        <v>86376</v>
      </c>
      <c r="D7598" t="s">
        <v>1661</v>
      </c>
      <c r="E7598">
        <v>540</v>
      </c>
      <c r="F7598">
        <v>20140319</v>
      </c>
      <c r="G7598" t="s">
        <v>1900</v>
      </c>
      <c r="H7598" t="s">
        <v>3693</v>
      </c>
      <c r="I7598" t="s">
        <v>608</v>
      </c>
    </row>
    <row r="7599" spans="1:9" x14ac:dyDescent="0.25">
      <c r="A7599">
        <v>20140320</v>
      </c>
      <c r="B7599" t="str">
        <f>"114833"</f>
        <v>114833</v>
      </c>
      <c r="C7599" t="str">
        <f>"70665"</f>
        <v>70665</v>
      </c>
      <c r="D7599" t="s">
        <v>693</v>
      </c>
      <c r="E7599">
        <v>110</v>
      </c>
      <c r="F7599">
        <v>20140317</v>
      </c>
      <c r="G7599" t="s">
        <v>2984</v>
      </c>
      <c r="H7599" t="s">
        <v>960</v>
      </c>
      <c r="I7599" t="s">
        <v>21</v>
      </c>
    </row>
    <row r="7600" spans="1:9" x14ac:dyDescent="0.25">
      <c r="A7600">
        <v>20140320</v>
      </c>
      <c r="B7600" t="str">
        <f>"114834"</f>
        <v>114834</v>
      </c>
      <c r="C7600" t="str">
        <f>"81398"</f>
        <v>81398</v>
      </c>
      <c r="D7600" t="s">
        <v>1154</v>
      </c>
      <c r="E7600">
        <v>180</v>
      </c>
      <c r="F7600">
        <v>20140319</v>
      </c>
      <c r="G7600" t="s">
        <v>982</v>
      </c>
      <c r="H7600" t="s">
        <v>954</v>
      </c>
      <c r="I7600" t="s">
        <v>21</v>
      </c>
    </row>
    <row r="7601" spans="1:9" x14ac:dyDescent="0.25">
      <c r="A7601">
        <v>20140320</v>
      </c>
      <c r="B7601" t="str">
        <f>"114835"</f>
        <v>114835</v>
      </c>
      <c r="C7601" t="str">
        <f>"00332"</f>
        <v>00332</v>
      </c>
      <c r="D7601" t="s">
        <v>1160</v>
      </c>
      <c r="E7601">
        <v>66</v>
      </c>
      <c r="F7601">
        <v>20140318</v>
      </c>
      <c r="G7601" t="s">
        <v>367</v>
      </c>
      <c r="H7601" t="s">
        <v>1161</v>
      </c>
      <c r="I7601" t="s">
        <v>21</v>
      </c>
    </row>
    <row r="7602" spans="1:9" x14ac:dyDescent="0.25">
      <c r="A7602">
        <v>20140320</v>
      </c>
      <c r="B7602" t="str">
        <f>"114836"</f>
        <v>114836</v>
      </c>
      <c r="C7602" t="str">
        <f>"83921"</f>
        <v>83921</v>
      </c>
      <c r="D7602" t="s">
        <v>967</v>
      </c>
      <c r="E7602">
        <v>28.09</v>
      </c>
      <c r="F7602">
        <v>20140318</v>
      </c>
      <c r="G7602" t="s">
        <v>1426</v>
      </c>
      <c r="H7602" t="s">
        <v>968</v>
      </c>
      <c r="I7602" t="s">
        <v>38</v>
      </c>
    </row>
    <row r="7603" spans="1:9" x14ac:dyDescent="0.25">
      <c r="A7603">
        <v>20140320</v>
      </c>
      <c r="B7603" t="str">
        <f>"114837"</f>
        <v>114837</v>
      </c>
      <c r="C7603" t="str">
        <f>"84005"</f>
        <v>84005</v>
      </c>
      <c r="D7603" t="s">
        <v>3694</v>
      </c>
      <c r="E7603" s="1">
        <v>1317.83</v>
      </c>
      <c r="F7603">
        <v>20140318</v>
      </c>
      <c r="G7603" t="s">
        <v>2717</v>
      </c>
      <c r="H7603" t="s">
        <v>354</v>
      </c>
      <c r="I7603" t="s">
        <v>21</v>
      </c>
    </row>
    <row r="7604" spans="1:9" x14ac:dyDescent="0.25">
      <c r="A7604">
        <v>20140320</v>
      </c>
      <c r="B7604" t="str">
        <f>"114838"</f>
        <v>114838</v>
      </c>
      <c r="C7604" t="str">
        <f>"74497"</f>
        <v>74497</v>
      </c>
      <c r="D7604" t="s">
        <v>3695</v>
      </c>
      <c r="E7604">
        <v>155.88</v>
      </c>
      <c r="F7604">
        <v>20140318</v>
      </c>
      <c r="G7604" t="s">
        <v>1254</v>
      </c>
      <c r="H7604" t="s">
        <v>563</v>
      </c>
      <c r="I7604" t="s">
        <v>79</v>
      </c>
    </row>
    <row r="7605" spans="1:9" x14ac:dyDescent="0.25">
      <c r="A7605">
        <v>20140320</v>
      </c>
      <c r="B7605" t="str">
        <f>"114839"</f>
        <v>114839</v>
      </c>
      <c r="C7605" t="str">
        <f>"81461"</f>
        <v>81461</v>
      </c>
      <c r="D7605" t="s">
        <v>3696</v>
      </c>
      <c r="E7605">
        <v>804.47</v>
      </c>
      <c r="F7605">
        <v>20140319</v>
      </c>
      <c r="G7605" t="s">
        <v>3697</v>
      </c>
      <c r="H7605" t="s">
        <v>3698</v>
      </c>
      <c r="I7605" t="s">
        <v>21</v>
      </c>
    </row>
    <row r="7606" spans="1:9" x14ac:dyDescent="0.25">
      <c r="A7606">
        <v>20140320</v>
      </c>
      <c r="B7606" t="str">
        <f>"114840"</f>
        <v>114840</v>
      </c>
      <c r="C7606" t="str">
        <f>"00632"</f>
        <v>00632</v>
      </c>
      <c r="D7606" t="s">
        <v>3699</v>
      </c>
      <c r="E7606">
        <v>96.18</v>
      </c>
      <c r="F7606">
        <v>20140318</v>
      </c>
      <c r="G7606" t="s">
        <v>1635</v>
      </c>
      <c r="H7606" t="s">
        <v>354</v>
      </c>
      <c r="I7606" t="s">
        <v>21</v>
      </c>
    </row>
    <row r="7607" spans="1:9" x14ac:dyDescent="0.25">
      <c r="A7607">
        <v>20140320</v>
      </c>
      <c r="B7607" t="str">
        <f>"114841"</f>
        <v>114841</v>
      </c>
      <c r="C7607" t="str">
        <f>"76301"</f>
        <v>76301</v>
      </c>
      <c r="D7607" t="s">
        <v>1319</v>
      </c>
      <c r="E7607">
        <v>98</v>
      </c>
      <c r="F7607">
        <v>20140318</v>
      </c>
      <c r="G7607" t="s">
        <v>1079</v>
      </c>
      <c r="H7607" t="s">
        <v>1320</v>
      </c>
      <c r="I7607" t="s">
        <v>21</v>
      </c>
    </row>
    <row r="7608" spans="1:9" x14ac:dyDescent="0.25">
      <c r="A7608">
        <v>20140320</v>
      </c>
      <c r="B7608" t="str">
        <f>"114842"</f>
        <v>114842</v>
      </c>
      <c r="C7608" t="str">
        <f>"87560"</f>
        <v>87560</v>
      </c>
      <c r="D7608" t="s">
        <v>2304</v>
      </c>
      <c r="E7608" s="1">
        <v>3000</v>
      </c>
      <c r="F7608">
        <v>20140318</v>
      </c>
      <c r="G7608" t="s">
        <v>1504</v>
      </c>
      <c r="H7608" t="s">
        <v>2860</v>
      </c>
      <c r="I7608" t="s">
        <v>21</v>
      </c>
    </row>
    <row r="7609" spans="1:9" x14ac:dyDescent="0.25">
      <c r="A7609">
        <v>20140320</v>
      </c>
      <c r="B7609" t="str">
        <f>"114843"</f>
        <v>114843</v>
      </c>
      <c r="C7609" t="str">
        <f>"81358"</f>
        <v>81358</v>
      </c>
      <c r="D7609" t="s">
        <v>736</v>
      </c>
      <c r="E7609" s="1">
        <v>2808.2</v>
      </c>
      <c r="F7609">
        <v>20140317</v>
      </c>
      <c r="G7609" t="s">
        <v>1543</v>
      </c>
      <c r="H7609" t="s">
        <v>738</v>
      </c>
      <c r="I7609" t="s">
        <v>21</v>
      </c>
    </row>
    <row r="7610" spans="1:9" x14ac:dyDescent="0.25">
      <c r="A7610">
        <v>20140320</v>
      </c>
      <c r="B7610" t="str">
        <f>"114843"</f>
        <v>114843</v>
      </c>
      <c r="C7610" t="str">
        <f>"81358"</f>
        <v>81358</v>
      </c>
      <c r="D7610" t="s">
        <v>736</v>
      </c>
      <c r="E7610" s="1">
        <v>5341.75</v>
      </c>
      <c r="F7610">
        <v>20140317</v>
      </c>
      <c r="G7610" t="s">
        <v>737</v>
      </c>
      <c r="H7610" t="s">
        <v>738</v>
      </c>
      <c r="I7610" t="s">
        <v>21</v>
      </c>
    </row>
    <row r="7611" spans="1:9" x14ac:dyDescent="0.25">
      <c r="A7611">
        <v>20140320</v>
      </c>
      <c r="B7611" t="str">
        <f>"114844"</f>
        <v>114844</v>
      </c>
      <c r="C7611" t="str">
        <f>"81358"</f>
        <v>81358</v>
      </c>
      <c r="D7611" t="s">
        <v>736</v>
      </c>
      <c r="E7611">
        <v>395.7</v>
      </c>
      <c r="F7611">
        <v>20140317</v>
      </c>
      <c r="G7611" t="s">
        <v>737</v>
      </c>
      <c r="H7611" t="s">
        <v>738</v>
      </c>
      <c r="I7611" t="s">
        <v>21</v>
      </c>
    </row>
    <row r="7612" spans="1:9" x14ac:dyDescent="0.25">
      <c r="A7612">
        <v>20140320</v>
      </c>
      <c r="B7612" t="str">
        <f>"114845"</f>
        <v>114845</v>
      </c>
      <c r="C7612" t="str">
        <f>"76775"</f>
        <v>76775</v>
      </c>
      <c r="D7612" t="s">
        <v>2308</v>
      </c>
      <c r="E7612">
        <v>380</v>
      </c>
      <c r="F7612">
        <v>20140317</v>
      </c>
      <c r="G7612" t="s">
        <v>340</v>
      </c>
      <c r="H7612" t="s">
        <v>3700</v>
      </c>
      <c r="I7612" t="s">
        <v>21</v>
      </c>
    </row>
    <row r="7613" spans="1:9" x14ac:dyDescent="0.25">
      <c r="A7613">
        <v>20140320</v>
      </c>
      <c r="B7613" t="str">
        <f>"114846"</f>
        <v>114846</v>
      </c>
      <c r="C7613" t="str">
        <f>"87697"</f>
        <v>87697</v>
      </c>
      <c r="D7613" t="s">
        <v>3701</v>
      </c>
      <c r="E7613">
        <v>751.58</v>
      </c>
      <c r="F7613">
        <v>20140319</v>
      </c>
      <c r="G7613" t="s">
        <v>1773</v>
      </c>
      <c r="H7613" t="s">
        <v>3702</v>
      </c>
      <c r="I7613" t="s">
        <v>21</v>
      </c>
    </row>
    <row r="7614" spans="1:9" x14ac:dyDescent="0.25">
      <c r="A7614">
        <v>20140320</v>
      </c>
      <c r="B7614" t="str">
        <f>"114847"</f>
        <v>114847</v>
      </c>
      <c r="C7614" t="str">
        <f>"83814"</f>
        <v>83814</v>
      </c>
      <c r="D7614" t="s">
        <v>3457</v>
      </c>
      <c r="E7614" s="1">
        <v>8425.39</v>
      </c>
      <c r="F7614">
        <v>20140318</v>
      </c>
      <c r="G7614" t="s">
        <v>1900</v>
      </c>
      <c r="H7614" t="s">
        <v>3703</v>
      </c>
      <c r="I7614" t="s">
        <v>608</v>
      </c>
    </row>
    <row r="7615" spans="1:9" x14ac:dyDescent="0.25">
      <c r="A7615">
        <v>20140320</v>
      </c>
      <c r="B7615" t="str">
        <f>"114847"</f>
        <v>114847</v>
      </c>
      <c r="C7615" t="str">
        <f>"83814"</f>
        <v>83814</v>
      </c>
      <c r="D7615" t="s">
        <v>3457</v>
      </c>
      <c r="E7615" s="1">
        <v>3823.03</v>
      </c>
      <c r="F7615">
        <v>20140318</v>
      </c>
      <c r="G7615" t="s">
        <v>1900</v>
      </c>
      <c r="H7615" t="s">
        <v>3703</v>
      </c>
      <c r="I7615" t="s">
        <v>608</v>
      </c>
    </row>
    <row r="7616" spans="1:9" x14ac:dyDescent="0.25">
      <c r="A7616">
        <v>20140320</v>
      </c>
      <c r="B7616" t="str">
        <f>"114847"</f>
        <v>114847</v>
      </c>
      <c r="C7616" t="str">
        <f>"83814"</f>
        <v>83814</v>
      </c>
      <c r="D7616" t="s">
        <v>3457</v>
      </c>
      <c r="E7616" s="1">
        <v>3823.03</v>
      </c>
      <c r="F7616">
        <v>20140318</v>
      </c>
      <c r="G7616" t="s">
        <v>1900</v>
      </c>
      <c r="H7616" t="s">
        <v>3703</v>
      </c>
      <c r="I7616" t="s">
        <v>608</v>
      </c>
    </row>
    <row r="7617" spans="1:9" x14ac:dyDescent="0.25">
      <c r="A7617">
        <v>20140320</v>
      </c>
      <c r="B7617" t="str">
        <f>"114848"</f>
        <v>114848</v>
      </c>
      <c r="C7617" t="str">
        <f>"87782"</f>
        <v>87782</v>
      </c>
      <c r="D7617" t="s">
        <v>3704</v>
      </c>
      <c r="E7617">
        <v>195</v>
      </c>
      <c r="F7617">
        <v>20140319</v>
      </c>
      <c r="G7617" t="s">
        <v>347</v>
      </c>
      <c r="H7617" t="s">
        <v>361</v>
      </c>
      <c r="I7617" t="s">
        <v>61</v>
      </c>
    </row>
    <row r="7618" spans="1:9" x14ac:dyDescent="0.25">
      <c r="A7618">
        <v>20140320</v>
      </c>
      <c r="B7618" t="str">
        <f>"114849"</f>
        <v>114849</v>
      </c>
      <c r="C7618" t="str">
        <f>"80825"</f>
        <v>80825</v>
      </c>
      <c r="D7618" t="s">
        <v>747</v>
      </c>
      <c r="E7618">
        <v>139.19</v>
      </c>
      <c r="F7618">
        <v>20140317</v>
      </c>
      <c r="G7618" t="s">
        <v>989</v>
      </c>
      <c r="H7618" t="s">
        <v>749</v>
      </c>
      <c r="I7618" t="s">
        <v>61</v>
      </c>
    </row>
    <row r="7619" spans="1:9" x14ac:dyDescent="0.25">
      <c r="A7619">
        <v>20140320</v>
      </c>
      <c r="B7619" t="str">
        <f>"114849"</f>
        <v>114849</v>
      </c>
      <c r="C7619" t="str">
        <f>"80825"</f>
        <v>80825</v>
      </c>
      <c r="D7619" t="s">
        <v>747</v>
      </c>
      <c r="E7619">
        <v>302.38</v>
      </c>
      <c r="F7619">
        <v>20140317</v>
      </c>
      <c r="G7619" t="s">
        <v>989</v>
      </c>
      <c r="H7619" t="s">
        <v>760</v>
      </c>
      <c r="I7619" t="s">
        <v>61</v>
      </c>
    </row>
    <row r="7620" spans="1:9" x14ac:dyDescent="0.25">
      <c r="A7620">
        <v>20140320</v>
      </c>
      <c r="B7620" t="str">
        <f>"114850"</f>
        <v>114850</v>
      </c>
      <c r="C7620" t="str">
        <f>"84132"</f>
        <v>84132</v>
      </c>
      <c r="D7620" t="s">
        <v>1695</v>
      </c>
      <c r="E7620">
        <v>69.95</v>
      </c>
      <c r="F7620">
        <v>20140319</v>
      </c>
      <c r="G7620" t="s">
        <v>1145</v>
      </c>
      <c r="H7620" t="s">
        <v>365</v>
      </c>
      <c r="I7620" t="s">
        <v>73</v>
      </c>
    </row>
    <row r="7621" spans="1:9" x14ac:dyDescent="0.25">
      <c r="A7621">
        <v>20140321</v>
      </c>
      <c r="B7621" t="str">
        <f t="shared" ref="B7621:B7634" si="454">"114851"</f>
        <v>114851</v>
      </c>
      <c r="C7621" t="str">
        <f t="shared" ref="C7621:C7634" si="455">"52460"</f>
        <v>52460</v>
      </c>
      <c r="D7621" t="s">
        <v>452</v>
      </c>
      <c r="E7621">
        <v>418.19</v>
      </c>
      <c r="F7621">
        <v>20140321</v>
      </c>
      <c r="G7621" t="s">
        <v>453</v>
      </c>
      <c r="H7621" t="s">
        <v>454</v>
      </c>
      <c r="I7621" t="s">
        <v>21</v>
      </c>
    </row>
    <row r="7622" spans="1:9" x14ac:dyDescent="0.25">
      <c r="A7622">
        <v>20140321</v>
      </c>
      <c r="B7622" t="str">
        <f t="shared" si="454"/>
        <v>114851</v>
      </c>
      <c r="C7622" t="str">
        <f t="shared" si="455"/>
        <v>52460</v>
      </c>
      <c r="D7622" t="s">
        <v>452</v>
      </c>
      <c r="E7622" s="1">
        <v>2327.75</v>
      </c>
      <c r="F7622">
        <v>20140321</v>
      </c>
      <c r="G7622" t="s">
        <v>455</v>
      </c>
      <c r="H7622" t="s">
        <v>454</v>
      </c>
      <c r="I7622" t="s">
        <v>21</v>
      </c>
    </row>
    <row r="7623" spans="1:9" x14ac:dyDescent="0.25">
      <c r="A7623">
        <v>20140321</v>
      </c>
      <c r="B7623" t="str">
        <f t="shared" si="454"/>
        <v>114851</v>
      </c>
      <c r="C7623" t="str">
        <f t="shared" si="455"/>
        <v>52460</v>
      </c>
      <c r="D7623" t="s">
        <v>452</v>
      </c>
      <c r="E7623" s="1">
        <v>1149.4000000000001</v>
      </c>
      <c r="F7623">
        <v>20140321</v>
      </c>
      <c r="G7623" t="s">
        <v>456</v>
      </c>
      <c r="H7623" t="s">
        <v>454</v>
      </c>
      <c r="I7623" t="s">
        <v>21</v>
      </c>
    </row>
    <row r="7624" spans="1:9" x14ac:dyDescent="0.25">
      <c r="A7624">
        <v>20140321</v>
      </c>
      <c r="B7624" t="str">
        <f t="shared" si="454"/>
        <v>114851</v>
      </c>
      <c r="C7624" t="str">
        <f t="shared" si="455"/>
        <v>52460</v>
      </c>
      <c r="D7624" t="s">
        <v>452</v>
      </c>
      <c r="E7624" s="1">
        <v>1046.8399999999999</v>
      </c>
      <c r="F7624">
        <v>20140321</v>
      </c>
      <c r="G7624" t="s">
        <v>457</v>
      </c>
      <c r="H7624" t="s">
        <v>454</v>
      </c>
      <c r="I7624" t="s">
        <v>21</v>
      </c>
    </row>
    <row r="7625" spans="1:9" x14ac:dyDescent="0.25">
      <c r="A7625">
        <v>20140321</v>
      </c>
      <c r="B7625" t="str">
        <f t="shared" si="454"/>
        <v>114851</v>
      </c>
      <c r="C7625" t="str">
        <f t="shared" si="455"/>
        <v>52460</v>
      </c>
      <c r="D7625" t="s">
        <v>452</v>
      </c>
      <c r="E7625">
        <v>917.97</v>
      </c>
      <c r="F7625">
        <v>20140321</v>
      </c>
      <c r="G7625" t="s">
        <v>458</v>
      </c>
      <c r="H7625" t="s">
        <v>454</v>
      </c>
      <c r="I7625" t="s">
        <v>21</v>
      </c>
    </row>
    <row r="7626" spans="1:9" x14ac:dyDescent="0.25">
      <c r="A7626">
        <v>20140321</v>
      </c>
      <c r="B7626" t="str">
        <f t="shared" si="454"/>
        <v>114851</v>
      </c>
      <c r="C7626" t="str">
        <f t="shared" si="455"/>
        <v>52460</v>
      </c>
      <c r="D7626" t="s">
        <v>452</v>
      </c>
      <c r="E7626" s="1">
        <v>1046.8399999999999</v>
      </c>
      <c r="F7626">
        <v>20140321</v>
      </c>
      <c r="G7626" t="s">
        <v>459</v>
      </c>
      <c r="H7626" t="s">
        <v>454</v>
      </c>
      <c r="I7626" t="s">
        <v>21</v>
      </c>
    </row>
    <row r="7627" spans="1:9" x14ac:dyDescent="0.25">
      <c r="A7627">
        <v>20140321</v>
      </c>
      <c r="B7627" t="str">
        <f t="shared" si="454"/>
        <v>114851</v>
      </c>
      <c r="C7627" t="str">
        <f t="shared" si="455"/>
        <v>52460</v>
      </c>
      <c r="D7627" t="s">
        <v>452</v>
      </c>
      <c r="E7627">
        <v>975.84</v>
      </c>
      <c r="F7627">
        <v>20140321</v>
      </c>
      <c r="G7627" t="s">
        <v>460</v>
      </c>
      <c r="H7627" t="s">
        <v>454</v>
      </c>
      <c r="I7627" t="s">
        <v>21</v>
      </c>
    </row>
    <row r="7628" spans="1:9" x14ac:dyDescent="0.25">
      <c r="A7628">
        <v>20140321</v>
      </c>
      <c r="B7628" t="str">
        <f t="shared" si="454"/>
        <v>114851</v>
      </c>
      <c r="C7628" t="str">
        <f t="shared" si="455"/>
        <v>52460</v>
      </c>
      <c r="D7628" t="s">
        <v>452</v>
      </c>
      <c r="E7628">
        <v>602.36</v>
      </c>
      <c r="F7628">
        <v>20140321</v>
      </c>
      <c r="G7628" t="s">
        <v>461</v>
      </c>
      <c r="H7628" t="s">
        <v>454</v>
      </c>
      <c r="I7628" t="s">
        <v>21</v>
      </c>
    </row>
    <row r="7629" spans="1:9" x14ac:dyDescent="0.25">
      <c r="A7629">
        <v>20140321</v>
      </c>
      <c r="B7629" t="str">
        <f t="shared" si="454"/>
        <v>114851</v>
      </c>
      <c r="C7629" t="str">
        <f t="shared" si="455"/>
        <v>52460</v>
      </c>
      <c r="D7629" t="s">
        <v>452</v>
      </c>
      <c r="E7629" s="1">
        <v>1046.8399999999999</v>
      </c>
      <c r="F7629">
        <v>20140321</v>
      </c>
      <c r="G7629" t="s">
        <v>462</v>
      </c>
      <c r="H7629" t="s">
        <v>454</v>
      </c>
      <c r="I7629" t="s">
        <v>21</v>
      </c>
    </row>
    <row r="7630" spans="1:9" x14ac:dyDescent="0.25">
      <c r="A7630">
        <v>20140321</v>
      </c>
      <c r="B7630" t="str">
        <f t="shared" si="454"/>
        <v>114851</v>
      </c>
      <c r="C7630" t="str">
        <f t="shared" si="455"/>
        <v>52460</v>
      </c>
      <c r="D7630" t="s">
        <v>452</v>
      </c>
      <c r="E7630">
        <v>276.18</v>
      </c>
      <c r="F7630">
        <v>20140321</v>
      </c>
      <c r="G7630" t="s">
        <v>463</v>
      </c>
      <c r="H7630" t="s">
        <v>454</v>
      </c>
      <c r="I7630" t="s">
        <v>21</v>
      </c>
    </row>
    <row r="7631" spans="1:9" x14ac:dyDescent="0.25">
      <c r="A7631">
        <v>20140321</v>
      </c>
      <c r="B7631" t="str">
        <f t="shared" si="454"/>
        <v>114851</v>
      </c>
      <c r="C7631" t="str">
        <f t="shared" si="455"/>
        <v>52460</v>
      </c>
      <c r="D7631" t="s">
        <v>452</v>
      </c>
      <c r="E7631">
        <v>418.19</v>
      </c>
      <c r="F7631">
        <v>20140321</v>
      </c>
      <c r="G7631" t="s">
        <v>464</v>
      </c>
      <c r="H7631" t="s">
        <v>454</v>
      </c>
      <c r="I7631" t="s">
        <v>21</v>
      </c>
    </row>
    <row r="7632" spans="1:9" x14ac:dyDescent="0.25">
      <c r="A7632">
        <v>20140321</v>
      </c>
      <c r="B7632" t="str">
        <f t="shared" si="454"/>
        <v>114851</v>
      </c>
      <c r="C7632" t="str">
        <f t="shared" si="455"/>
        <v>52460</v>
      </c>
      <c r="D7632" t="s">
        <v>452</v>
      </c>
      <c r="E7632">
        <v>465.55</v>
      </c>
      <c r="F7632">
        <v>20140321</v>
      </c>
      <c r="G7632" t="s">
        <v>465</v>
      </c>
      <c r="H7632" t="s">
        <v>454</v>
      </c>
      <c r="I7632" t="s">
        <v>21</v>
      </c>
    </row>
    <row r="7633" spans="1:9" x14ac:dyDescent="0.25">
      <c r="A7633">
        <v>20140321</v>
      </c>
      <c r="B7633" t="str">
        <f t="shared" si="454"/>
        <v>114851</v>
      </c>
      <c r="C7633" t="str">
        <f t="shared" si="455"/>
        <v>52460</v>
      </c>
      <c r="D7633" t="s">
        <v>452</v>
      </c>
      <c r="E7633">
        <v>701.7</v>
      </c>
      <c r="F7633">
        <v>20140321</v>
      </c>
      <c r="G7633" t="s">
        <v>466</v>
      </c>
      <c r="H7633" t="s">
        <v>454</v>
      </c>
      <c r="I7633" t="s">
        <v>21</v>
      </c>
    </row>
    <row r="7634" spans="1:9" x14ac:dyDescent="0.25">
      <c r="A7634">
        <v>20140321</v>
      </c>
      <c r="B7634" t="str">
        <f t="shared" si="454"/>
        <v>114851</v>
      </c>
      <c r="C7634" t="str">
        <f t="shared" si="455"/>
        <v>52460</v>
      </c>
      <c r="D7634" t="s">
        <v>452</v>
      </c>
      <c r="E7634">
        <v>276.18</v>
      </c>
      <c r="F7634">
        <v>20140321</v>
      </c>
      <c r="G7634" t="s">
        <v>467</v>
      </c>
      <c r="H7634" t="s">
        <v>454</v>
      </c>
      <c r="I7634" t="s">
        <v>21</v>
      </c>
    </row>
    <row r="7635" spans="1:9" x14ac:dyDescent="0.25">
      <c r="A7635">
        <v>20140321</v>
      </c>
      <c r="B7635" t="str">
        <f t="shared" ref="B7635:B7646" si="456">"114852"</f>
        <v>114852</v>
      </c>
      <c r="C7635" t="str">
        <f t="shared" ref="C7635:C7646" si="457">"84047"</f>
        <v>84047</v>
      </c>
      <c r="D7635" t="s">
        <v>472</v>
      </c>
      <c r="E7635">
        <v>255.75</v>
      </c>
      <c r="F7635">
        <v>20140321</v>
      </c>
      <c r="G7635" t="s">
        <v>473</v>
      </c>
      <c r="H7635" t="s">
        <v>474</v>
      </c>
      <c r="I7635" t="s">
        <v>21</v>
      </c>
    </row>
    <row r="7636" spans="1:9" x14ac:dyDescent="0.25">
      <c r="A7636">
        <v>20140321</v>
      </c>
      <c r="B7636" t="str">
        <f t="shared" si="456"/>
        <v>114852</v>
      </c>
      <c r="C7636" t="str">
        <f t="shared" si="457"/>
        <v>84047</v>
      </c>
      <c r="D7636" t="s">
        <v>472</v>
      </c>
      <c r="E7636">
        <v>150.15</v>
      </c>
      <c r="F7636">
        <v>20140321</v>
      </c>
      <c r="G7636" t="s">
        <v>475</v>
      </c>
      <c r="H7636" t="s">
        <v>474</v>
      </c>
      <c r="I7636" t="s">
        <v>21</v>
      </c>
    </row>
    <row r="7637" spans="1:9" x14ac:dyDescent="0.25">
      <c r="A7637">
        <v>20140321</v>
      </c>
      <c r="B7637" t="str">
        <f t="shared" si="456"/>
        <v>114852</v>
      </c>
      <c r="C7637" t="str">
        <f t="shared" si="457"/>
        <v>84047</v>
      </c>
      <c r="D7637" t="s">
        <v>472</v>
      </c>
      <c r="E7637">
        <v>150.15</v>
      </c>
      <c r="F7637">
        <v>20140321</v>
      </c>
      <c r="G7637" t="s">
        <v>476</v>
      </c>
      <c r="H7637" t="s">
        <v>474</v>
      </c>
      <c r="I7637" t="s">
        <v>21</v>
      </c>
    </row>
    <row r="7638" spans="1:9" x14ac:dyDescent="0.25">
      <c r="A7638">
        <v>20140321</v>
      </c>
      <c r="B7638" t="str">
        <f t="shared" si="456"/>
        <v>114852</v>
      </c>
      <c r="C7638" t="str">
        <f t="shared" si="457"/>
        <v>84047</v>
      </c>
      <c r="D7638" t="s">
        <v>472</v>
      </c>
      <c r="E7638">
        <v>150.15</v>
      </c>
      <c r="F7638">
        <v>20140321</v>
      </c>
      <c r="G7638" t="s">
        <v>477</v>
      </c>
      <c r="H7638" t="s">
        <v>474</v>
      </c>
      <c r="I7638" t="s">
        <v>21</v>
      </c>
    </row>
    <row r="7639" spans="1:9" x14ac:dyDescent="0.25">
      <c r="A7639">
        <v>20140321</v>
      </c>
      <c r="B7639" t="str">
        <f t="shared" si="456"/>
        <v>114852</v>
      </c>
      <c r="C7639" t="str">
        <f t="shared" si="457"/>
        <v>84047</v>
      </c>
      <c r="D7639" t="s">
        <v>472</v>
      </c>
      <c r="E7639">
        <v>183.15</v>
      </c>
      <c r="F7639">
        <v>20140321</v>
      </c>
      <c r="G7639" t="s">
        <v>478</v>
      </c>
      <c r="H7639" t="s">
        <v>474</v>
      </c>
      <c r="I7639" t="s">
        <v>21</v>
      </c>
    </row>
    <row r="7640" spans="1:9" x14ac:dyDescent="0.25">
      <c r="A7640">
        <v>20140321</v>
      </c>
      <c r="B7640" t="str">
        <f t="shared" si="456"/>
        <v>114852</v>
      </c>
      <c r="C7640" t="str">
        <f t="shared" si="457"/>
        <v>84047</v>
      </c>
      <c r="D7640" t="s">
        <v>472</v>
      </c>
      <c r="E7640">
        <v>150.15</v>
      </c>
      <c r="F7640">
        <v>20140321</v>
      </c>
      <c r="G7640" t="s">
        <v>479</v>
      </c>
      <c r="H7640" t="s">
        <v>474</v>
      </c>
      <c r="I7640" t="s">
        <v>21</v>
      </c>
    </row>
    <row r="7641" spans="1:9" x14ac:dyDescent="0.25">
      <c r="A7641">
        <v>20140321</v>
      </c>
      <c r="B7641" t="str">
        <f t="shared" si="456"/>
        <v>114852</v>
      </c>
      <c r="C7641" t="str">
        <f t="shared" si="457"/>
        <v>84047</v>
      </c>
      <c r="D7641" t="s">
        <v>472</v>
      </c>
      <c r="E7641">
        <v>150.15</v>
      </c>
      <c r="F7641">
        <v>20140321</v>
      </c>
      <c r="G7641" t="s">
        <v>480</v>
      </c>
      <c r="H7641" t="s">
        <v>474</v>
      </c>
      <c r="I7641" t="s">
        <v>21</v>
      </c>
    </row>
    <row r="7642" spans="1:9" x14ac:dyDescent="0.25">
      <c r="A7642">
        <v>20140321</v>
      </c>
      <c r="B7642" t="str">
        <f t="shared" si="456"/>
        <v>114852</v>
      </c>
      <c r="C7642" t="str">
        <f t="shared" si="457"/>
        <v>84047</v>
      </c>
      <c r="D7642" t="s">
        <v>472</v>
      </c>
      <c r="E7642">
        <v>150.15</v>
      </c>
      <c r="F7642">
        <v>20140321</v>
      </c>
      <c r="G7642" t="s">
        <v>481</v>
      </c>
      <c r="H7642" t="s">
        <v>474</v>
      </c>
      <c r="I7642" t="s">
        <v>21</v>
      </c>
    </row>
    <row r="7643" spans="1:9" x14ac:dyDescent="0.25">
      <c r="A7643">
        <v>20140321</v>
      </c>
      <c r="B7643" t="str">
        <f t="shared" si="456"/>
        <v>114852</v>
      </c>
      <c r="C7643" t="str">
        <f t="shared" si="457"/>
        <v>84047</v>
      </c>
      <c r="D7643" t="s">
        <v>472</v>
      </c>
      <c r="E7643">
        <v>87.45</v>
      </c>
      <c r="F7643">
        <v>20140321</v>
      </c>
      <c r="G7643" t="s">
        <v>482</v>
      </c>
      <c r="H7643" t="s">
        <v>474</v>
      </c>
      <c r="I7643" t="s">
        <v>21</v>
      </c>
    </row>
    <row r="7644" spans="1:9" x14ac:dyDescent="0.25">
      <c r="A7644">
        <v>20140321</v>
      </c>
      <c r="B7644" t="str">
        <f t="shared" si="456"/>
        <v>114852</v>
      </c>
      <c r="C7644" t="str">
        <f t="shared" si="457"/>
        <v>84047</v>
      </c>
      <c r="D7644" t="s">
        <v>472</v>
      </c>
      <c r="E7644">
        <v>150.15</v>
      </c>
      <c r="F7644">
        <v>20140321</v>
      </c>
      <c r="G7644" t="s">
        <v>483</v>
      </c>
      <c r="H7644" t="s">
        <v>474</v>
      </c>
      <c r="I7644" t="s">
        <v>21</v>
      </c>
    </row>
    <row r="7645" spans="1:9" x14ac:dyDescent="0.25">
      <c r="A7645">
        <v>20140321</v>
      </c>
      <c r="B7645" t="str">
        <f t="shared" si="456"/>
        <v>114852</v>
      </c>
      <c r="C7645" t="str">
        <f t="shared" si="457"/>
        <v>84047</v>
      </c>
      <c r="D7645" t="s">
        <v>472</v>
      </c>
      <c r="E7645">
        <v>177.65</v>
      </c>
      <c r="F7645">
        <v>20140321</v>
      </c>
      <c r="G7645" t="s">
        <v>484</v>
      </c>
      <c r="H7645" t="s">
        <v>474</v>
      </c>
      <c r="I7645" t="s">
        <v>21</v>
      </c>
    </row>
    <row r="7646" spans="1:9" x14ac:dyDescent="0.25">
      <c r="A7646">
        <v>20140321</v>
      </c>
      <c r="B7646" t="str">
        <f t="shared" si="456"/>
        <v>114852</v>
      </c>
      <c r="C7646" t="str">
        <f t="shared" si="457"/>
        <v>84047</v>
      </c>
      <c r="D7646" t="s">
        <v>472</v>
      </c>
      <c r="E7646">
        <v>123.75</v>
      </c>
      <c r="F7646">
        <v>20140321</v>
      </c>
      <c r="G7646" t="s">
        <v>485</v>
      </c>
      <c r="H7646" t="s">
        <v>474</v>
      </c>
      <c r="I7646" t="s">
        <v>21</v>
      </c>
    </row>
    <row r="7647" spans="1:9" x14ac:dyDescent="0.25">
      <c r="A7647">
        <v>20140321</v>
      </c>
      <c r="B7647" t="str">
        <f>"114853"</f>
        <v>114853</v>
      </c>
      <c r="C7647" t="str">
        <f>"00728"</f>
        <v>00728</v>
      </c>
      <c r="D7647" t="s">
        <v>1557</v>
      </c>
      <c r="E7647" s="1">
        <v>1557.99</v>
      </c>
      <c r="F7647">
        <v>20140321</v>
      </c>
      <c r="G7647" t="s">
        <v>1772</v>
      </c>
      <c r="H7647" t="s">
        <v>3705</v>
      </c>
      <c r="I7647" t="s">
        <v>21</v>
      </c>
    </row>
    <row r="7648" spans="1:9" x14ac:dyDescent="0.25">
      <c r="A7648">
        <v>20140321</v>
      </c>
      <c r="B7648" t="str">
        <f>"114854"</f>
        <v>114854</v>
      </c>
      <c r="C7648" t="str">
        <f>"11700"</f>
        <v>11700</v>
      </c>
      <c r="D7648" t="s">
        <v>3226</v>
      </c>
      <c r="E7648">
        <v>82</v>
      </c>
      <c r="F7648">
        <v>20140320</v>
      </c>
      <c r="G7648" t="s">
        <v>1071</v>
      </c>
      <c r="H7648" t="s">
        <v>3706</v>
      </c>
      <c r="I7648" t="s">
        <v>21</v>
      </c>
    </row>
    <row r="7649" spans="1:9" x14ac:dyDescent="0.25">
      <c r="A7649">
        <v>20140321</v>
      </c>
      <c r="B7649" t="str">
        <f>"114855"</f>
        <v>114855</v>
      </c>
      <c r="C7649" t="str">
        <f>"11851"</f>
        <v>11851</v>
      </c>
      <c r="D7649" t="s">
        <v>342</v>
      </c>
      <c r="E7649">
        <v>483</v>
      </c>
      <c r="F7649">
        <v>20140320</v>
      </c>
      <c r="G7649" t="s">
        <v>289</v>
      </c>
      <c r="H7649" t="s">
        <v>1029</v>
      </c>
      <c r="I7649" t="s">
        <v>38</v>
      </c>
    </row>
    <row r="7650" spans="1:9" x14ac:dyDescent="0.25">
      <c r="A7650">
        <v>20140321</v>
      </c>
      <c r="B7650" t="str">
        <f>"114856"</f>
        <v>114856</v>
      </c>
      <c r="C7650" t="str">
        <f>"19701"</f>
        <v>19701</v>
      </c>
      <c r="D7650" t="s">
        <v>3707</v>
      </c>
      <c r="E7650">
        <v>275</v>
      </c>
      <c r="F7650">
        <v>20140321</v>
      </c>
      <c r="G7650" t="s">
        <v>2028</v>
      </c>
      <c r="H7650" t="s">
        <v>3708</v>
      </c>
      <c r="I7650" t="s">
        <v>66</v>
      </c>
    </row>
    <row r="7651" spans="1:9" x14ac:dyDescent="0.25">
      <c r="A7651">
        <v>20140321</v>
      </c>
      <c r="B7651" t="str">
        <f>"114857"</f>
        <v>114857</v>
      </c>
      <c r="C7651" t="str">
        <f>"21950"</f>
        <v>21950</v>
      </c>
      <c r="D7651" t="s">
        <v>35</v>
      </c>
      <c r="E7651">
        <v>39</v>
      </c>
      <c r="F7651">
        <v>20140320</v>
      </c>
      <c r="G7651" t="s">
        <v>39</v>
      </c>
      <c r="H7651" t="s">
        <v>357</v>
      </c>
      <c r="I7651" t="s">
        <v>38</v>
      </c>
    </row>
    <row r="7652" spans="1:9" x14ac:dyDescent="0.25">
      <c r="A7652">
        <v>20140321</v>
      </c>
      <c r="B7652" t="str">
        <f>"114858"</f>
        <v>114858</v>
      </c>
      <c r="C7652" t="str">
        <f>"22200"</f>
        <v>22200</v>
      </c>
      <c r="D7652" t="s">
        <v>519</v>
      </c>
      <c r="E7652">
        <v>63</v>
      </c>
      <c r="F7652">
        <v>20140321</v>
      </c>
      <c r="G7652" t="s">
        <v>496</v>
      </c>
      <c r="H7652" t="s">
        <v>3709</v>
      </c>
      <c r="I7652" t="s">
        <v>21</v>
      </c>
    </row>
    <row r="7653" spans="1:9" x14ac:dyDescent="0.25">
      <c r="A7653">
        <v>20140321</v>
      </c>
      <c r="B7653" t="str">
        <f>"114859"</f>
        <v>114859</v>
      </c>
      <c r="C7653" t="str">
        <f>"23827"</f>
        <v>23827</v>
      </c>
      <c r="D7653" t="s">
        <v>528</v>
      </c>
      <c r="E7653">
        <v>298.2</v>
      </c>
      <c r="F7653">
        <v>20140320</v>
      </c>
      <c r="G7653" t="s">
        <v>812</v>
      </c>
      <c r="H7653" t="s">
        <v>513</v>
      </c>
      <c r="I7653" t="s">
        <v>25</v>
      </c>
    </row>
    <row r="7654" spans="1:9" x14ac:dyDescent="0.25">
      <c r="A7654">
        <v>20140321</v>
      </c>
      <c r="B7654" t="str">
        <f>"114860"</f>
        <v>114860</v>
      </c>
      <c r="C7654" t="str">
        <f>"23979"</f>
        <v>23979</v>
      </c>
      <c r="D7654" t="s">
        <v>1856</v>
      </c>
      <c r="E7654">
        <v>550</v>
      </c>
      <c r="F7654">
        <v>20140320</v>
      </c>
      <c r="G7654" t="s">
        <v>653</v>
      </c>
      <c r="H7654" t="s">
        <v>679</v>
      </c>
      <c r="I7654" t="s">
        <v>21</v>
      </c>
    </row>
    <row r="7655" spans="1:9" x14ac:dyDescent="0.25">
      <c r="A7655">
        <v>20140321</v>
      </c>
      <c r="B7655" t="str">
        <f>"114861"</f>
        <v>114861</v>
      </c>
      <c r="C7655" t="str">
        <f>"23979"</f>
        <v>23979</v>
      </c>
      <c r="D7655" t="s">
        <v>1856</v>
      </c>
      <c r="E7655">
        <v>475</v>
      </c>
      <c r="F7655">
        <v>20140320</v>
      </c>
      <c r="G7655" t="s">
        <v>2138</v>
      </c>
      <c r="H7655" t="s">
        <v>679</v>
      </c>
      <c r="I7655" t="s">
        <v>21</v>
      </c>
    </row>
    <row r="7656" spans="1:9" x14ac:dyDescent="0.25">
      <c r="A7656">
        <v>20140321</v>
      </c>
      <c r="B7656" t="str">
        <f t="shared" ref="B7656:B7670" si="458">"114862"</f>
        <v>114862</v>
      </c>
      <c r="C7656" t="str">
        <f t="shared" ref="C7656:C7670" si="459">"25516"</f>
        <v>25516</v>
      </c>
      <c r="D7656" t="s">
        <v>529</v>
      </c>
      <c r="E7656">
        <v>452.26</v>
      </c>
      <c r="F7656">
        <v>20140321</v>
      </c>
      <c r="G7656" t="s">
        <v>496</v>
      </c>
      <c r="H7656" t="s">
        <v>414</v>
      </c>
      <c r="I7656" t="s">
        <v>21</v>
      </c>
    </row>
    <row r="7657" spans="1:9" x14ac:dyDescent="0.25">
      <c r="A7657">
        <v>20140321</v>
      </c>
      <c r="B7657" t="str">
        <f t="shared" si="458"/>
        <v>114862</v>
      </c>
      <c r="C7657" t="str">
        <f t="shared" si="459"/>
        <v>25516</v>
      </c>
      <c r="D7657" t="s">
        <v>529</v>
      </c>
      <c r="E7657">
        <v>113.7</v>
      </c>
      <c r="F7657">
        <v>20140321</v>
      </c>
      <c r="G7657" t="s">
        <v>413</v>
      </c>
      <c r="H7657" t="s">
        <v>414</v>
      </c>
      <c r="I7657" t="s">
        <v>21</v>
      </c>
    </row>
    <row r="7658" spans="1:9" x14ac:dyDescent="0.25">
      <c r="A7658">
        <v>20140321</v>
      </c>
      <c r="B7658" t="str">
        <f t="shared" si="458"/>
        <v>114862</v>
      </c>
      <c r="C7658" t="str">
        <f t="shared" si="459"/>
        <v>25516</v>
      </c>
      <c r="D7658" t="s">
        <v>529</v>
      </c>
      <c r="E7658" s="1">
        <v>3086.22</v>
      </c>
      <c r="F7658">
        <v>20140321</v>
      </c>
      <c r="G7658" t="s">
        <v>473</v>
      </c>
      <c r="H7658" t="s">
        <v>414</v>
      </c>
      <c r="I7658" t="s">
        <v>21</v>
      </c>
    </row>
    <row r="7659" spans="1:9" x14ac:dyDescent="0.25">
      <c r="A7659">
        <v>20140321</v>
      </c>
      <c r="B7659" t="str">
        <f t="shared" si="458"/>
        <v>114862</v>
      </c>
      <c r="C7659" t="str">
        <f t="shared" si="459"/>
        <v>25516</v>
      </c>
      <c r="D7659" t="s">
        <v>529</v>
      </c>
      <c r="E7659" s="1">
        <v>2266.17</v>
      </c>
      <c r="F7659">
        <v>20140321</v>
      </c>
      <c r="G7659" t="s">
        <v>475</v>
      </c>
      <c r="H7659" t="s">
        <v>414</v>
      </c>
      <c r="I7659" t="s">
        <v>21</v>
      </c>
    </row>
    <row r="7660" spans="1:9" x14ac:dyDescent="0.25">
      <c r="A7660">
        <v>20140321</v>
      </c>
      <c r="B7660" t="str">
        <f t="shared" si="458"/>
        <v>114862</v>
      </c>
      <c r="C7660" t="str">
        <f t="shared" si="459"/>
        <v>25516</v>
      </c>
      <c r="D7660" t="s">
        <v>529</v>
      </c>
      <c r="E7660">
        <v>688.31</v>
      </c>
      <c r="F7660">
        <v>20140321</v>
      </c>
      <c r="G7660" t="s">
        <v>476</v>
      </c>
      <c r="H7660" t="s">
        <v>414</v>
      </c>
      <c r="I7660" t="s">
        <v>21</v>
      </c>
    </row>
    <row r="7661" spans="1:9" x14ac:dyDescent="0.25">
      <c r="A7661">
        <v>20140321</v>
      </c>
      <c r="B7661" t="str">
        <f t="shared" si="458"/>
        <v>114862</v>
      </c>
      <c r="C7661" t="str">
        <f t="shared" si="459"/>
        <v>25516</v>
      </c>
      <c r="D7661" t="s">
        <v>529</v>
      </c>
      <c r="E7661">
        <v>413.4</v>
      </c>
      <c r="F7661">
        <v>20140321</v>
      </c>
      <c r="G7661" t="s">
        <v>477</v>
      </c>
      <c r="H7661" t="s">
        <v>414</v>
      </c>
      <c r="I7661" t="s">
        <v>21</v>
      </c>
    </row>
    <row r="7662" spans="1:9" x14ac:dyDescent="0.25">
      <c r="A7662">
        <v>20140321</v>
      </c>
      <c r="B7662" t="str">
        <f t="shared" si="458"/>
        <v>114862</v>
      </c>
      <c r="C7662" t="str">
        <f t="shared" si="459"/>
        <v>25516</v>
      </c>
      <c r="D7662" t="s">
        <v>529</v>
      </c>
      <c r="E7662">
        <v>984.47</v>
      </c>
      <c r="F7662">
        <v>20140321</v>
      </c>
      <c r="G7662" t="s">
        <v>478</v>
      </c>
      <c r="H7662" t="s">
        <v>414</v>
      </c>
      <c r="I7662" t="s">
        <v>21</v>
      </c>
    </row>
    <row r="7663" spans="1:9" x14ac:dyDescent="0.25">
      <c r="A7663">
        <v>20140321</v>
      </c>
      <c r="B7663" t="str">
        <f t="shared" si="458"/>
        <v>114862</v>
      </c>
      <c r="C7663" t="str">
        <f t="shared" si="459"/>
        <v>25516</v>
      </c>
      <c r="D7663" t="s">
        <v>529</v>
      </c>
      <c r="E7663" s="1">
        <v>1933.77</v>
      </c>
      <c r="F7663">
        <v>20140321</v>
      </c>
      <c r="G7663" t="s">
        <v>479</v>
      </c>
      <c r="H7663" t="s">
        <v>414</v>
      </c>
      <c r="I7663" t="s">
        <v>21</v>
      </c>
    </row>
    <row r="7664" spans="1:9" x14ac:dyDescent="0.25">
      <c r="A7664">
        <v>20140321</v>
      </c>
      <c r="B7664" t="str">
        <f t="shared" si="458"/>
        <v>114862</v>
      </c>
      <c r="C7664" t="str">
        <f t="shared" si="459"/>
        <v>25516</v>
      </c>
      <c r="D7664" t="s">
        <v>529</v>
      </c>
      <c r="E7664">
        <v>697.87</v>
      </c>
      <c r="F7664">
        <v>20140321</v>
      </c>
      <c r="G7664" t="s">
        <v>480</v>
      </c>
      <c r="H7664" t="s">
        <v>414</v>
      </c>
      <c r="I7664" t="s">
        <v>21</v>
      </c>
    </row>
    <row r="7665" spans="1:9" x14ac:dyDescent="0.25">
      <c r="A7665">
        <v>20140321</v>
      </c>
      <c r="B7665" t="str">
        <f t="shared" si="458"/>
        <v>114862</v>
      </c>
      <c r="C7665" t="str">
        <f t="shared" si="459"/>
        <v>25516</v>
      </c>
      <c r="D7665" t="s">
        <v>529</v>
      </c>
      <c r="E7665" s="1">
        <v>1440.55</v>
      </c>
      <c r="F7665">
        <v>20140321</v>
      </c>
      <c r="G7665" t="s">
        <v>481</v>
      </c>
      <c r="H7665" t="s">
        <v>414</v>
      </c>
      <c r="I7665" t="s">
        <v>21</v>
      </c>
    </row>
    <row r="7666" spans="1:9" x14ac:dyDescent="0.25">
      <c r="A7666">
        <v>20140321</v>
      </c>
      <c r="B7666" t="str">
        <f t="shared" si="458"/>
        <v>114862</v>
      </c>
      <c r="C7666" t="str">
        <f t="shared" si="459"/>
        <v>25516</v>
      </c>
      <c r="D7666" t="s">
        <v>529</v>
      </c>
      <c r="E7666" s="1">
        <v>2962.22</v>
      </c>
      <c r="F7666">
        <v>20140321</v>
      </c>
      <c r="G7666" t="s">
        <v>482</v>
      </c>
      <c r="H7666" t="s">
        <v>414</v>
      </c>
      <c r="I7666" t="s">
        <v>21</v>
      </c>
    </row>
    <row r="7667" spans="1:9" x14ac:dyDescent="0.25">
      <c r="A7667">
        <v>20140321</v>
      </c>
      <c r="B7667" t="str">
        <f t="shared" si="458"/>
        <v>114862</v>
      </c>
      <c r="C7667" t="str">
        <f t="shared" si="459"/>
        <v>25516</v>
      </c>
      <c r="D7667" t="s">
        <v>529</v>
      </c>
      <c r="E7667">
        <v>254.07</v>
      </c>
      <c r="F7667">
        <v>20140321</v>
      </c>
      <c r="G7667" t="s">
        <v>483</v>
      </c>
      <c r="H7667" t="s">
        <v>414</v>
      </c>
      <c r="I7667" t="s">
        <v>21</v>
      </c>
    </row>
    <row r="7668" spans="1:9" x14ac:dyDescent="0.25">
      <c r="A7668">
        <v>20140321</v>
      </c>
      <c r="B7668" t="str">
        <f t="shared" si="458"/>
        <v>114862</v>
      </c>
      <c r="C7668" t="str">
        <f t="shared" si="459"/>
        <v>25516</v>
      </c>
      <c r="D7668" t="s">
        <v>529</v>
      </c>
      <c r="E7668">
        <v>288.74</v>
      </c>
      <c r="F7668">
        <v>20140321</v>
      </c>
      <c r="G7668" t="s">
        <v>484</v>
      </c>
      <c r="H7668" t="s">
        <v>414</v>
      </c>
      <c r="I7668" t="s">
        <v>21</v>
      </c>
    </row>
    <row r="7669" spans="1:9" x14ac:dyDescent="0.25">
      <c r="A7669">
        <v>20140321</v>
      </c>
      <c r="B7669" t="str">
        <f t="shared" si="458"/>
        <v>114862</v>
      </c>
      <c r="C7669" t="str">
        <f t="shared" si="459"/>
        <v>25516</v>
      </c>
      <c r="D7669" t="s">
        <v>529</v>
      </c>
      <c r="E7669">
        <v>516.01</v>
      </c>
      <c r="F7669">
        <v>20140321</v>
      </c>
      <c r="G7669" t="s">
        <v>485</v>
      </c>
      <c r="H7669" t="s">
        <v>414</v>
      </c>
      <c r="I7669" t="s">
        <v>21</v>
      </c>
    </row>
    <row r="7670" spans="1:9" x14ac:dyDescent="0.25">
      <c r="A7670">
        <v>20140321</v>
      </c>
      <c r="B7670" t="str">
        <f t="shared" si="458"/>
        <v>114862</v>
      </c>
      <c r="C7670" t="str">
        <f t="shared" si="459"/>
        <v>25516</v>
      </c>
      <c r="D7670" t="s">
        <v>529</v>
      </c>
      <c r="E7670">
        <v>356.17</v>
      </c>
      <c r="F7670">
        <v>20140321</v>
      </c>
      <c r="G7670" t="s">
        <v>331</v>
      </c>
      <c r="H7670" t="s">
        <v>414</v>
      </c>
      <c r="I7670" t="s">
        <v>12</v>
      </c>
    </row>
    <row r="7671" spans="1:9" x14ac:dyDescent="0.25">
      <c r="A7671">
        <v>20140321</v>
      </c>
      <c r="B7671" t="str">
        <f>"114863"</f>
        <v>114863</v>
      </c>
      <c r="C7671" t="str">
        <f>"26185"</f>
        <v>26185</v>
      </c>
      <c r="D7671" t="s">
        <v>2447</v>
      </c>
      <c r="E7671" s="1">
        <v>1956</v>
      </c>
      <c r="F7671">
        <v>20140321</v>
      </c>
      <c r="G7671" t="s">
        <v>3710</v>
      </c>
      <c r="H7671" t="s">
        <v>3711</v>
      </c>
      <c r="I7671" t="s">
        <v>61</v>
      </c>
    </row>
    <row r="7672" spans="1:9" x14ac:dyDescent="0.25">
      <c r="A7672">
        <v>20140321</v>
      </c>
      <c r="B7672" t="str">
        <f>"114864"</f>
        <v>114864</v>
      </c>
      <c r="C7672" t="str">
        <f>"84866"</f>
        <v>84866</v>
      </c>
      <c r="D7672" t="s">
        <v>1060</v>
      </c>
      <c r="E7672">
        <v>207.89</v>
      </c>
      <c r="F7672">
        <v>20140320</v>
      </c>
      <c r="G7672" t="s">
        <v>289</v>
      </c>
      <c r="H7672" t="s">
        <v>1741</v>
      </c>
      <c r="I7672" t="s">
        <v>38</v>
      </c>
    </row>
    <row r="7673" spans="1:9" x14ac:dyDescent="0.25">
      <c r="A7673">
        <v>20140321</v>
      </c>
      <c r="B7673" t="str">
        <f>"114865"</f>
        <v>114865</v>
      </c>
      <c r="C7673" t="str">
        <f>"30125"</f>
        <v>30125</v>
      </c>
      <c r="D7673" t="s">
        <v>2509</v>
      </c>
      <c r="E7673" s="1">
        <v>5018.04</v>
      </c>
      <c r="F7673">
        <v>20140321</v>
      </c>
      <c r="G7673" t="s">
        <v>1773</v>
      </c>
      <c r="H7673" t="s">
        <v>3712</v>
      </c>
      <c r="I7673" t="s">
        <v>21</v>
      </c>
    </row>
    <row r="7674" spans="1:9" x14ac:dyDescent="0.25">
      <c r="A7674">
        <v>20140321</v>
      </c>
      <c r="B7674" t="str">
        <f>"114866"</f>
        <v>114866</v>
      </c>
      <c r="C7674" t="str">
        <f>"30600"</f>
        <v>30600</v>
      </c>
      <c r="D7674" t="s">
        <v>2511</v>
      </c>
      <c r="E7674">
        <v>171.48</v>
      </c>
      <c r="F7674">
        <v>20140321</v>
      </c>
      <c r="G7674" t="s">
        <v>1028</v>
      </c>
      <c r="H7674" t="s">
        <v>3713</v>
      </c>
      <c r="I7674" t="s">
        <v>38</v>
      </c>
    </row>
    <row r="7675" spans="1:9" x14ac:dyDescent="0.25">
      <c r="A7675">
        <v>20140321</v>
      </c>
      <c r="B7675" t="str">
        <f>"114867"</f>
        <v>114867</v>
      </c>
      <c r="C7675" t="str">
        <f>"00457"</f>
        <v>00457</v>
      </c>
      <c r="D7675" t="s">
        <v>3714</v>
      </c>
      <c r="E7675">
        <v>799.34</v>
      </c>
      <c r="F7675">
        <v>20140320</v>
      </c>
      <c r="G7675" t="s">
        <v>48</v>
      </c>
      <c r="H7675" t="s">
        <v>3715</v>
      </c>
      <c r="I7675" t="s">
        <v>25</v>
      </c>
    </row>
    <row r="7676" spans="1:9" x14ac:dyDescent="0.25">
      <c r="A7676">
        <v>20140321</v>
      </c>
      <c r="B7676" t="str">
        <f>"114868"</f>
        <v>114868</v>
      </c>
      <c r="C7676" t="str">
        <f>"87363"</f>
        <v>87363</v>
      </c>
      <c r="D7676" t="s">
        <v>3355</v>
      </c>
      <c r="E7676">
        <v>158.80000000000001</v>
      </c>
      <c r="F7676">
        <v>20140320</v>
      </c>
      <c r="G7676" t="s">
        <v>189</v>
      </c>
      <c r="H7676" t="s">
        <v>408</v>
      </c>
      <c r="I7676" t="s">
        <v>25</v>
      </c>
    </row>
    <row r="7677" spans="1:9" x14ac:dyDescent="0.25">
      <c r="A7677">
        <v>20140321</v>
      </c>
      <c r="B7677" t="str">
        <f>"114869"</f>
        <v>114869</v>
      </c>
      <c r="C7677" t="str">
        <f>"86459"</f>
        <v>86459</v>
      </c>
      <c r="D7677" t="s">
        <v>881</v>
      </c>
      <c r="E7677" s="1">
        <v>1272</v>
      </c>
      <c r="F7677">
        <v>20140321</v>
      </c>
      <c r="G7677" t="s">
        <v>1200</v>
      </c>
      <c r="H7677" t="s">
        <v>3716</v>
      </c>
      <c r="I7677" t="s">
        <v>61</v>
      </c>
    </row>
    <row r="7678" spans="1:9" x14ac:dyDescent="0.25">
      <c r="A7678">
        <v>20140321</v>
      </c>
      <c r="B7678" t="str">
        <f>"114869"</f>
        <v>114869</v>
      </c>
      <c r="C7678" t="str">
        <f>"86459"</f>
        <v>86459</v>
      </c>
      <c r="D7678" t="s">
        <v>881</v>
      </c>
      <c r="E7678" s="1">
        <v>2708</v>
      </c>
      <c r="F7678">
        <v>20140321</v>
      </c>
      <c r="G7678" t="s">
        <v>3617</v>
      </c>
      <c r="H7678" t="s">
        <v>3717</v>
      </c>
      <c r="I7678" t="s">
        <v>61</v>
      </c>
    </row>
    <row r="7679" spans="1:9" x14ac:dyDescent="0.25">
      <c r="A7679">
        <v>20140321</v>
      </c>
      <c r="B7679" t="str">
        <f>"114869"</f>
        <v>114869</v>
      </c>
      <c r="C7679" t="str">
        <f>"86459"</f>
        <v>86459</v>
      </c>
      <c r="D7679" t="s">
        <v>881</v>
      </c>
      <c r="E7679" s="1">
        <v>1650</v>
      </c>
      <c r="F7679">
        <v>20140321</v>
      </c>
      <c r="G7679" t="s">
        <v>329</v>
      </c>
      <c r="I7679" t="s">
        <v>25</v>
      </c>
    </row>
    <row r="7680" spans="1:9" x14ac:dyDescent="0.25">
      <c r="A7680">
        <v>20140321</v>
      </c>
      <c r="B7680" t="str">
        <f>"114869"</f>
        <v>114869</v>
      </c>
      <c r="C7680" t="str">
        <f>"86459"</f>
        <v>86459</v>
      </c>
      <c r="D7680" t="s">
        <v>881</v>
      </c>
      <c r="E7680" s="1">
        <v>1005</v>
      </c>
      <c r="F7680">
        <v>20140321</v>
      </c>
      <c r="G7680" t="s">
        <v>329</v>
      </c>
      <c r="I7680" t="s">
        <v>25</v>
      </c>
    </row>
    <row r="7681" spans="1:9" x14ac:dyDescent="0.25">
      <c r="A7681">
        <v>20140321</v>
      </c>
      <c r="B7681" t="str">
        <f>"114870"</f>
        <v>114870</v>
      </c>
      <c r="C7681" t="str">
        <f>"39315"</f>
        <v>39315</v>
      </c>
      <c r="D7681" t="s">
        <v>420</v>
      </c>
      <c r="E7681">
        <v>140.85</v>
      </c>
      <c r="F7681">
        <v>20140321</v>
      </c>
      <c r="G7681" t="s">
        <v>410</v>
      </c>
      <c r="H7681" t="s">
        <v>411</v>
      </c>
      <c r="I7681" t="s">
        <v>12</v>
      </c>
    </row>
    <row r="7682" spans="1:9" x14ac:dyDescent="0.25">
      <c r="A7682">
        <v>20140321</v>
      </c>
      <c r="B7682" t="str">
        <f>"114871"</f>
        <v>114871</v>
      </c>
      <c r="C7682" t="str">
        <f>"87304"</f>
        <v>87304</v>
      </c>
      <c r="D7682" t="s">
        <v>3718</v>
      </c>
      <c r="E7682" s="1">
        <v>141507.29</v>
      </c>
      <c r="F7682">
        <v>20140320</v>
      </c>
      <c r="G7682" t="s">
        <v>3719</v>
      </c>
      <c r="H7682" t="s">
        <v>3720</v>
      </c>
      <c r="I7682" t="s">
        <v>21</v>
      </c>
    </row>
    <row r="7683" spans="1:9" x14ac:dyDescent="0.25">
      <c r="A7683">
        <v>20140321</v>
      </c>
      <c r="B7683" t="str">
        <f>"114872"</f>
        <v>114872</v>
      </c>
      <c r="C7683" t="str">
        <f>"82992"</f>
        <v>82992</v>
      </c>
      <c r="D7683" t="s">
        <v>3721</v>
      </c>
      <c r="E7683">
        <v>869.43</v>
      </c>
      <c r="F7683">
        <v>20140321</v>
      </c>
      <c r="G7683" t="s">
        <v>1774</v>
      </c>
      <c r="H7683" t="s">
        <v>3722</v>
      </c>
      <c r="I7683" t="s">
        <v>21</v>
      </c>
    </row>
    <row r="7684" spans="1:9" x14ac:dyDescent="0.25">
      <c r="A7684">
        <v>20140321</v>
      </c>
      <c r="B7684" t="str">
        <f>"114873"</f>
        <v>114873</v>
      </c>
      <c r="C7684" t="str">
        <f>"44875"</f>
        <v>44875</v>
      </c>
      <c r="D7684" t="s">
        <v>424</v>
      </c>
      <c r="E7684">
        <v>51.75</v>
      </c>
      <c r="F7684">
        <v>20140321</v>
      </c>
      <c r="G7684" t="s">
        <v>410</v>
      </c>
      <c r="H7684" t="s">
        <v>411</v>
      </c>
      <c r="I7684" t="s">
        <v>12</v>
      </c>
    </row>
    <row r="7685" spans="1:9" x14ac:dyDescent="0.25">
      <c r="A7685">
        <v>20140321</v>
      </c>
      <c r="B7685" t="str">
        <f>"114874"</f>
        <v>114874</v>
      </c>
      <c r="C7685" t="str">
        <f>"46500"</f>
        <v>46500</v>
      </c>
      <c r="D7685" t="s">
        <v>626</v>
      </c>
      <c r="E7685">
        <v>125</v>
      </c>
      <c r="F7685">
        <v>20140320</v>
      </c>
      <c r="G7685" t="s">
        <v>3723</v>
      </c>
      <c r="H7685" t="s">
        <v>414</v>
      </c>
      <c r="I7685" t="s">
        <v>25</v>
      </c>
    </row>
    <row r="7686" spans="1:9" x14ac:dyDescent="0.25">
      <c r="A7686">
        <v>20140321</v>
      </c>
      <c r="B7686" t="str">
        <f>"114875"</f>
        <v>114875</v>
      </c>
      <c r="C7686" t="str">
        <f>"87792"</f>
        <v>87792</v>
      </c>
      <c r="D7686" t="s">
        <v>3724</v>
      </c>
      <c r="E7686">
        <v>200</v>
      </c>
      <c r="F7686">
        <v>20140320</v>
      </c>
      <c r="G7686" t="s">
        <v>159</v>
      </c>
      <c r="H7686" t="s">
        <v>3725</v>
      </c>
      <c r="I7686" t="s">
        <v>25</v>
      </c>
    </row>
    <row r="7687" spans="1:9" x14ac:dyDescent="0.25">
      <c r="A7687">
        <v>20140321</v>
      </c>
      <c r="B7687" t="str">
        <f>"114876"</f>
        <v>114876</v>
      </c>
      <c r="C7687" t="str">
        <f>"87473"</f>
        <v>87473</v>
      </c>
      <c r="D7687" t="s">
        <v>160</v>
      </c>
      <c r="E7687">
        <v>585.92999999999995</v>
      </c>
      <c r="F7687">
        <v>20140320</v>
      </c>
      <c r="G7687" t="s">
        <v>159</v>
      </c>
      <c r="H7687" t="s">
        <v>354</v>
      </c>
      <c r="I7687" t="s">
        <v>25</v>
      </c>
    </row>
    <row r="7688" spans="1:9" x14ac:dyDescent="0.25">
      <c r="A7688">
        <v>20140321</v>
      </c>
      <c r="B7688" t="str">
        <f>"114877"</f>
        <v>114877</v>
      </c>
      <c r="C7688" t="str">
        <f>"52518"</f>
        <v>52518</v>
      </c>
      <c r="D7688" t="s">
        <v>647</v>
      </c>
      <c r="E7688" s="1">
        <v>2643.01</v>
      </c>
      <c r="F7688">
        <v>20140321</v>
      </c>
      <c r="G7688" t="s">
        <v>498</v>
      </c>
      <c r="H7688" t="s">
        <v>499</v>
      </c>
      <c r="I7688" t="s">
        <v>21</v>
      </c>
    </row>
    <row r="7689" spans="1:9" x14ac:dyDescent="0.25">
      <c r="A7689">
        <v>20140321</v>
      </c>
      <c r="B7689" t="str">
        <f>"114877"</f>
        <v>114877</v>
      </c>
      <c r="C7689" t="str">
        <f>"52518"</f>
        <v>52518</v>
      </c>
      <c r="D7689" t="s">
        <v>647</v>
      </c>
      <c r="E7689" s="1">
        <v>2534.02</v>
      </c>
      <c r="F7689">
        <v>20140321</v>
      </c>
      <c r="G7689" t="s">
        <v>496</v>
      </c>
      <c r="H7689" t="s">
        <v>414</v>
      </c>
      <c r="I7689" t="s">
        <v>21</v>
      </c>
    </row>
    <row r="7690" spans="1:9" x14ac:dyDescent="0.25">
      <c r="A7690">
        <v>20140321</v>
      </c>
      <c r="B7690" t="str">
        <f>"114877"</f>
        <v>114877</v>
      </c>
      <c r="C7690" t="str">
        <f>"52518"</f>
        <v>52518</v>
      </c>
      <c r="D7690" t="s">
        <v>647</v>
      </c>
      <c r="E7690">
        <v>37.97</v>
      </c>
      <c r="F7690">
        <v>20140321</v>
      </c>
      <c r="G7690" t="s">
        <v>413</v>
      </c>
      <c r="H7690" t="s">
        <v>414</v>
      </c>
      <c r="I7690" t="s">
        <v>21</v>
      </c>
    </row>
    <row r="7691" spans="1:9" x14ac:dyDescent="0.25">
      <c r="A7691">
        <v>20140321</v>
      </c>
      <c r="B7691" t="str">
        <f>"114877"</f>
        <v>114877</v>
      </c>
      <c r="C7691" t="str">
        <f>"52518"</f>
        <v>52518</v>
      </c>
      <c r="D7691" t="s">
        <v>647</v>
      </c>
      <c r="E7691">
        <v>16.989999999999998</v>
      </c>
      <c r="F7691">
        <v>20140321</v>
      </c>
      <c r="G7691" t="s">
        <v>392</v>
      </c>
      <c r="H7691" t="s">
        <v>414</v>
      </c>
      <c r="I7691" t="s">
        <v>21</v>
      </c>
    </row>
    <row r="7692" spans="1:9" x14ac:dyDescent="0.25">
      <c r="A7692">
        <v>20140321</v>
      </c>
      <c r="B7692" t="str">
        <f>"114877"</f>
        <v>114877</v>
      </c>
      <c r="C7692" t="str">
        <f>"52518"</f>
        <v>52518</v>
      </c>
      <c r="D7692" t="s">
        <v>647</v>
      </c>
      <c r="E7692">
        <v>49.75</v>
      </c>
      <c r="F7692">
        <v>20140321</v>
      </c>
      <c r="G7692" t="s">
        <v>392</v>
      </c>
      <c r="H7692" t="s">
        <v>414</v>
      </c>
      <c r="I7692" t="s">
        <v>21</v>
      </c>
    </row>
    <row r="7693" spans="1:9" x14ac:dyDescent="0.25">
      <c r="A7693">
        <v>20140321</v>
      </c>
      <c r="B7693" t="str">
        <f>"114878"</f>
        <v>114878</v>
      </c>
      <c r="C7693" t="str">
        <f>"55675"</f>
        <v>55675</v>
      </c>
      <c r="D7693" t="s">
        <v>1114</v>
      </c>
      <c r="E7693">
        <v>492.88</v>
      </c>
      <c r="F7693">
        <v>20140321</v>
      </c>
      <c r="G7693" t="s">
        <v>2254</v>
      </c>
      <c r="H7693" t="s">
        <v>3726</v>
      </c>
      <c r="I7693" t="s">
        <v>21</v>
      </c>
    </row>
    <row r="7694" spans="1:9" x14ac:dyDescent="0.25">
      <c r="A7694">
        <v>20140321</v>
      </c>
      <c r="B7694" t="str">
        <f>"114879"</f>
        <v>114879</v>
      </c>
      <c r="C7694" t="str">
        <f>"58675"</f>
        <v>58675</v>
      </c>
      <c r="D7694" t="s">
        <v>657</v>
      </c>
      <c r="E7694" s="1">
        <v>2619.3200000000002</v>
      </c>
      <c r="F7694">
        <v>20140321</v>
      </c>
      <c r="G7694" t="s">
        <v>498</v>
      </c>
      <c r="H7694" t="s">
        <v>499</v>
      </c>
      <c r="I7694" t="s">
        <v>21</v>
      </c>
    </row>
    <row r="7695" spans="1:9" x14ac:dyDescent="0.25">
      <c r="A7695">
        <v>20140321</v>
      </c>
      <c r="B7695" t="str">
        <f>"114880"</f>
        <v>114880</v>
      </c>
      <c r="C7695" t="str">
        <f>"87787"</f>
        <v>87787</v>
      </c>
      <c r="D7695" t="s">
        <v>3727</v>
      </c>
      <c r="E7695">
        <v>695</v>
      </c>
      <c r="F7695">
        <v>20140320</v>
      </c>
      <c r="G7695" t="s">
        <v>2138</v>
      </c>
      <c r="H7695" t="s">
        <v>679</v>
      </c>
      <c r="I7695" t="s">
        <v>21</v>
      </c>
    </row>
    <row r="7696" spans="1:9" x14ac:dyDescent="0.25">
      <c r="A7696">
        <v>20140321</v>
      </c>
      <c r="B7696" t="str">
        <f>"114881"</f>
        <v>114881</v>
      </c>
      <c r="C7696" t="str">
        <f>"84597"</f>
        <v>84597</v>
      </c>
      <c r="D7696" t="s">
        <v>1508</v>
      </c>
      <c r="E7696" s="1">
        <v>4775.49</v>
      </c>
      <c r="F7696">
        <v>20140321</v>
      </c>
      <c r="G7696" t="s">
        <v>340</v>
      </c>
      <c r="H7696" t="s">
        <v>525</v>
      </c>
      <c r="I7696" t="s">
        <v>21</v>
      </c>
    </row>
    <row r="7697" spans="1:9" x14ac:dyDescent="0.25">
      <c r="A7697">
        <v>20140321</v>
      </c>
      <c r="B7697" t="str">
        <f>"114881"</f>
        <v>114881</v>
      </c>
      <c r="C7697" t="str">
        <f>"84597"</f>
        <v>84597</v>
      </c>
      <c r="D7697" t="s">
        <v>1508</v>
      </c>
      <c r="E7697">
        <v>638.27</v>
      </c>
      <c r="F7697">
        <v>20140321</v>
      </c>
      <c r="G7697" t="s">
        <v>498</v>
      </c>
      <c r="H7697" t="s">
        <v>499</v>
      </c>
      <c r="I7697" t="s">
        <v>21</v>
      </c>
    </row>
    <row r="7698" spans="1:9" x14ac:dyDescent="0.25">
      <c r="A7698">
        <v>20140321</v>
      </c>
      <c r="B7698" t="str">
        <f>"114882"</f>
        <v>114882</v>
      </c>
      <c r="C7698" t="str">
        <f>"84578"</f>
        <v>84578</v>
      </c>
      <c r="D7698" t="s">
        <v>3259</v>
      </c>
      <c r="E7698">
        <v>150</v>
      </c>
      <c r="F7698">
        <v>20140320</v>
      </c>
      <c r="G7698" t="s">
        <v>1488</v>
      </c>
      <c r="H7698" t="s">
        <v>357</v>
      </c>
      <c r="I7698" t="s">
        <v>25</v>
      </c>
    </row>
    <row r="7699" spans="1:9" x14ac:dyDescent="0.25">
      <c r="A7699">
        <v>20140321</v>
      </c>
      <c r="B7699" t="str">
        <f>"114883"</f>
        <v>114883</v>
      </c>
      <c r="C7699" t="str">
        <f>"65430"</f>
        <v>65430</v>
      </c>
      <c r="D7699" t="s">
        <v>1518</v>
      </c>
      <c r="E7699">
        <v>32.99</v>
      </c>
      <c r="F7699">
        <v>20140321</v>
      </c>
      <c r="G7699" t="s">
        <v>498</v>
      </c>
      <c r="H7699" t="s">
        <v>499</v>
      </c>
      <c r="I7699" t="s">
        <v>21</v>
      </c>
    </row>
    <row r="7700" spans="1:9" x14ac:dyDescent="0.25">
      <c r="A7700">
        <v>20140321</v>
      </c>
      <c r="B7700" t="str">
        <f>"114883"</f>
        <v>114883</v>
      </c>
      <c r="C7700" t="str">
        <f>"65430"</f>
        <v>65430</v>
      </c>
      <c r="D7700" t="s">
        <v>1518</v>
      </c>
      <c r="E7700">
        <v>67.23</v>
      </c>
      <c r="F7700">
        <v>20140321</v>
      </c>
      <c r="G7700" t="s">
        <v>498</v>
      </c>
      <c r="H7700" t="s">
        <v>499</v>
      </c>
      <c r="I7700" t="s">
        <v>21</v>
      </c>
    </row>
    <row r="7701" spans="1:9" x14ac:dyDescent="0.25">
      <c r="A7701">
        <v>20140321</v>
      </c>
      <c r="B7701" t="str">
        <f>"114884"</f>
        <v>114884</v>
      </c>
      <c r="C7701" t="str">
        <f>"70681"</f>
        <v>70681</v>
      </c>
      <c r="D7701" t="s">
        <v>3191</v>
      </c>
      <c r="E7701" s="1">
        <v>1500</v>
      </c>
      <c r="F7701">
        <v>20140321</v>
      </c>
      <c r="G7701" t="s">
        <v>1145</v>
      </c>
      <c r="H7701" t="s">
        <v>1054</v>
      </c>
      <c r="I7701" t="s">
        <v>73</v>
      </c>
    </row>
    <row r="7702" spans="1:9" x14ac:dyDescent="0.25">
      <c r="A7702">
        <v>20140321</v>
      </c>
      <c r="B7702" t="str">
        <f>"114885"</f>
        <v>114885</v>
      </c>
      <c r="C7702" t="str">
        <f>"82080"</f>
        <v>82080</v>
      </c>
      <c r="D7702" t="s">
        <v>3443</v>
      </c>
      <c r="E7702">
        <v>257</v>
      </c>
      <c r="F7702">
        <v>20140321</v>
      </c>
      <c r="G7702" t="s">
        <v>982</v>
      </c>
      <c r="H7702" t="s">
        <v>3728</v>
      </c>
      <c r="I7702" t="s">
        <v>21</v>
      </c>
    </row>
    <row r="7703" spans="1:9" x14ac:dyDescent="0.25">
      <c r="A7703">
        <v>20140321</v>
      </c>
      <c r="B7703" t="str">
        <f>"114886"</f>
        <v>114886</v>
      </c>
      <c r="C7703" t="str">
        <f>"83988"</f>
        <v>83988</v>
      </c>
      <c r="D7703" t="s">
        <v>3729</v>
      </c>
      <c r="E7703">
        <v>276.69</v>
      </c>
      <c r="F7703">
        <v>20140321</v>
      </c>
      <c r="G7703" t="s">
        <v>3730</v>
      </c>
      <c r="H7703" t="s">
        <v>3731</v>
      </c>
      <c r="I7703" t="s">
        <v>38</v>
      </c>
    </row>
    <row r="7704" spans="1:9" x14ac:dyDescent="0.25">
      <c r="A7704">
        <v>20140321</v>
      </c>
      <c r="B7704" t="str">
        <f>"114886"</f>
        <v>114886</v>
      </c>
      <c r="C7704" t="str">
        <f>"83988"</f>
        <v>83988</v>
      </c>
      <c r="D7704" t="s">
        <v>3729</v>
      </c>
      <c r="E7704">
        <v>100</v>
      </c>
      <c r="F7704">
        <v>20140321</v>
      </c>
      <c r="G7704" t="s">
        <v>3730</v>
      </c>
      <c r="H7704" t="s">
        <v>3732</v>
      </c>
      <c r="I7704" t="s">
        <v>38</v>
      </c>
    </row>
    <row r="7705" spans="1:9" x14ac:dyDescent="0.25">
      <c r="A7705">
        <v>20140321</v>
      </c>
      <c r="B7705" t="str">
        <f>"114887"</f>
        <v>114887</v>
      </c>
      <c r="C7705" t="str">
        <f>"75600"</f>
        <v>75600</v>
      </c>
      <c r="D7705" t="s">
        <v>714</v>
      </c>
      <c r="E7705">
        <v>79.099999999999994</v>
      </c>
      <c r="F7705">
        <v>20140321</v>
      </c>
      <c r="G7705" t="s">
        <v>498</v>
      </c>
      <c r="H7705" t="s">
        <v>499</v>
      </c>
      <c r="I7705" t="s">
        <v>21</v>
      </c>
    </row>
    <row r="7706" spans="1:9" x14ac:dyDescent="0.25">
      <c r="A7706">
        <v>20140321</v>
      </c>
      <c r="B7706" t="str">
        <f>"114887"</f>
        <v>114887</v>
      </c>
      <c r="C7706" t="str">
        <f>"75600"</f>
        <v>75600</v>
      </c>
      <c r="D7706" t="s">
        <v>714</v>
      </c>
      <c r="E7706">
        <v>192.84</v>
      </c>
      <c r="F7706">
        <v>20140321</v>
      </c>
      <c r="G7706" t="s">
        <v>498</v>
      </c>
      <c r="H7706" t="s">
        <v>499</v>
      </c>
      <c r="I7706" t="s">
        <v>21</v>
      </c>
    </row>
    <row r="7707" spans="1:9" x14ac:dyDescent="0.25">
      <c r="A7707">
        <v>20140321</v>
      </c>
      <c r="B7707" t="str">
        <f>"114887"</f>
        <v>114887</v>
      </c>
      <c r="C7707" t="str">
        <f>"75600"</f>
        <v>75600</v>
      </c>
      <c r="D7707" t="s">
        <v>714</v>
      </c>
      <c r="E7707">
        <v>881.48</v>
      </c>
      <c r="F7707">
        <v>20140321</v>
      </c>
      <c r="G7707" t="s">
        <v>498</v>
      </c>
      <c r="H7707" t="s">
        <v>499</v>
      </c>
      <c r="I7707" t="s">
        <v>21</v>
      </c>
    </row>
    <row r="7708" spans="1:9" x14ac:dyDescent="0.25">
      <c r="A7708">
        <v>20140321</v>
      </c>
      <c r="B7708" t="str">
        <f>"114888"</f>
        <v>114888</v>
      </c>
      <c r="C7708" t="str">
        <f>"81358"</f>
        <v>81358</v>
      </c>
      <c r="D7708" t="s">
        <v>736</v>
      </c>
      <c r="E7708">
        <v>192.08</v>
      </c>
      <c r="F7708">
        <v>20140321</v>
      </c>
      <c r="G7708" t="s">
        <v>737</v>
      </c>
      <c r="H7708" t="s">
        <v>738</v>
      </c>
      <c r="I7708" t="s">
        <v>21</v>
      </c>
    </row>
    <row r="7709" spans="1:9" x14ac:dyDescent="0.25">
      <c r="A7709">
        <v>20140327</v>
      </c>
      <c r="B7709" t="str">
        <f>"114889"</f>
        <v>114889</v>
      </c>
      <c r="C7709" t="str">
        <f>"00954"</f>
        <v>00954</v>
      </c>
      <c r="D7709" t="s">
        <v>445</v>
      </c>
      <c r="E7709">
        <v>50</v>
      </c>
      <c r="F7709">
        <v>20140325</v>
      </c>
      <c r="G7709" t="s">
        <v>1426</v>
      </c>
      <c r="H7709" t="s">
        <v>1138</v>
      </c>
      <c r="I7709" t="s">
        <v>38</v>
      </c>
    </row>
    <row r="7710" spans="1:9" x14ac:dyDescent="0.25">
      <c r="A7710">
        <v>20140327</v>
      </c>
      <c r="B7710" t="str">
        <f>"114890"</f>
        <v>114890</v>
      </c>
      <c r="C7710" t="str">
        <f>"87259"</f>
        <v>87259</v>
      </c>
      <c r="D7710" t="s">
        <v>3733</v>
      </c>
      <c r="E7710">
        <v>120.03</v>
      </c>
      <c r="F7710">
        <v>20140326</v>
      </c>
      <c r="G7710" t="s">
        <v>3099</v>
      </c>
      <c r="H7710" t="s">
        <v>765</v>
      </c>
      <c r="I7710" t="s">
        <v>61</v>
      </c>
    </row>
    <row r="7711" spans="1:9" x14ac:dyDescent="0.25">
      <c r="A7711">
        <v>20140327</v>
      </c>
      <c r="B7711" t="str">
        <f>"114891"</f>
        <v>114891</v>
      </c>
      <c r="C7711" t="str">
        <f>"00120"</f>
        <v>00120</v>
      </c>
      <c r="D7711" t="s">
        <v>336</v>
      </c>
      <c r="E7711">
        <v>103.49</v>
      </c>
      <c r="F7711">
        <v>20140324</v>
      </c>
      <c r="G7711" t="s">
        <v>337</v>
      </c>
      <c r="H7711" t="s">
        <v>547</v>
      </c>
      <c r="I7711" t="s">
        <v>21</v>
      </c>
    </row>
    <row r="7712" spans="1:9" x14ac:dyDescent="0.25">
      <c r="A7712">
        <v>20140327</v>
      </c>
      <c r="B7712" t="str">
        <f>"114892"</f>
        <v>114892</v>
      </c>
      <c r="C7712" t="str">
        <f>"86517"</f>
        <v>86517</v>
      </c>
      <c r="D7712" t="s">
        <v>2101</v>
      </c>
      <c r="E7712" s="1">
        <v>4040.75</v>
      </c>
      <c r="F7712">
        <v>20140326</v>
      </c>
      <c r="G7712" t="s">
        <v>404</v>
      </c>
      <c r="H7712" t="s">
        <v>2102</v>
      </c>
      <c r="I7712" t="s">
        <v>12</v>
      </c>
    </row>
    <row r="7713" spans="1:9" x14ac:dyDescent="0.25">
      <c r="A7713">
        <v>20140327</v>
      </c>
      <c r="B7713" t="str">
        <f>"114893"</f>
        <v>114893</v>
      </c>
      <c r="C7713" t="str">
        <f>"87788"</f>
        <v>87788</v>
      </c>
      <c r="D7713" t="s">
        <v>3734</v>
      </c>
      <c r="E7713">
        <v>157.16</v>
      </c>
      <c r="F7713">
        <v>20140320</v>
      </c>
      <c r="G7713" t="s">
        <v>3099</v>
      </c>
      <c r="H7713" t="s">
        <v>765</v>
      </c>
      <c r="I7713" t="s">
        <v>61</v>
      </c>
    </row>
    <row r="7714" spans="1:9" x14ac:dyDescent="0.25">
      <c r="A7714">
        <v>20140327</v>
      </c>
      <c r="B7714" t="str">
        <f>"114894"</f>
        <v>114894</v>
      </c>
      <c r="C7714" t="str">
        <f>"84595"</f>
        <v>84595</v>
      </c>
      <c r="D7714" t="s">
        <v>3264</v>
      </c>
      <c r="E7714">
        <v>91.4</v>
      </c>
      <c r="F7714">
        <v>20140320</v>
      </c>
      <c r="G7714" t="s">
        <v>3099</v>
      </c>
      <c r="H7714" t="s">
        <v>765</v>
      </c>
      <c r="I7714" t="s">
        <v>61</v>
      </c>
    </row>
    <row r="7715" spans="1:9" x14ac:dyDescent="0.25">
      <c r="A7715">
        <v>20140327</v>
      </c>
      <c r="B7715" t="str">
        <f>"114894"</f>
        <v>114894</v>
      </c>
      <c r="C7715" t="str">
        <f>"84595"</f>
        <v>84595</v>
      </c>
      <c r="D7715" t="s">
        <v>3264</v>
      </c>
      <c r="E7715">
        <v>96.4</v>
      </c>
      <c r="F7715">
        <v>20140320</v>
      </c>
      <c r="G7715" t="s">
        <v>3099</v>
      </c>
      <c r="H7715" t="s">
        <v>765</v>
      </c>
      <c r="I7715" t="s">
        <v>61</v>
      </c>
    </row>
    <row r="7716" spans="1:9" x14ac:dyDescent="0.25">
      <c r="A7716">
        <v>20140327</v>
      </c>
      <c r="B7716" t="str">
        <f>"114894"</f>
        <v>114894</v>
      </c>
      <c r="C7716" t="str">
        <f>"84595"</f>
        <v>84595</v>
      </c>
      <c r="D7716" t="s">
        <v>3264</v>
      </c>
      <c r="E7716">
        <v>54.15</v>
      </c>
      <c r="F7716">
        <v>20140320</v>
      </c>
      <c r="G7716" t="s">
        <v>3099</v>
      </c>
      <c r="H7716" t="s">
        <v>765</v>
      </c>
      <c r="I7716" t="s">
        <v>61</v>
      </c>
    </row>
    <row r="7717" spans="1:9" x14ac:dyDescent="0.25">
      <c r="A7717">
        <v>20140327</v>
      </c>
      <c r="B7717" t="str">
        <f>"114895"</f>
        <v>114895</v>
      </c>
      <c r="C7717" t="str">
        <f>"84594"</f>
        <v>84594</v>
      </c>
      <c r="D7717" t="s">
        <v>3265</v>
      </c>
      <c r="E7717">
        <v>91.4</v>
      </c>
      <c r="F7717">
        <v>20140320</v>
      </c>
      <c r="G7717" t="s">
        <v>3099</v>
      </c>
      <c r="H7717" t="s">
        <v>765</v>
      </c>
      <c r="I7717" t="s">
        <v>61</v>
      </c>
    </row>
    <row r="7718" spans="1:9" x14ac:dyDescent="0.25">
      <c r="A7718">
        <v>20140327</v>
      </c>
      <c r="B7718" t="str">
        <f>"114895"</f>
        <v>114895</v>
      </c>
      <c r="C7718" t="str">
        <f>"84594"</f>
        <v>84594</v>
      </c>
      <c r="D7718" t="s">
        <v>3265</v>
      </c>
      <c r="E7718">
        <v>111.4</v>
      </c>
      <c r="F7718">
        <v>20140320</v>
      </c>
      <c r="G7718" t="s">
        <v>3099</v>
      </c>
      <c r="H7718" t="s">
        <v>765</v>
      </c>
      <c r="I7718" t="s">
        <v>61</v>
      </c>
    </row>
    <row r="7719" spans="1:9" x14ac:dyDescent="0.25">
      <c r="A7719">
        <v>20140327</v>
      </c>
      <c r="B7719" t="str">
        <f>"114895"</f>
        <v>114895</v>
      </c>
      <c r="C7719" t="str">
        <f>"84594"</f>
        <v>84594</v>
      </c>
      <c r="D7719" t="s">
        <v>3265</v>
      </c>
      <c r="E7719">
        <v>69.150000000000006</v>
      </c>
      <c r="F7719">
        <v>20140320</v>
      </c>
      <c r="G7719" t="s">
        <v>3099</v>
      </c>
      <c r="H7719" t="s">
        <v>765</v>
      </c>
      <c r="I7719" t="s">
        <v>61</v>
      </c>
    </row>
    <row r="7720" spans="1:9" x14ac:dyDescent="0.25">
      <c r="A7720">
        <v>20140327</v>
      </c>
      <c r="B7720" t="str">
        <f>"114896"</f>
        <v>114896</v>
      </c>
      <c r="C7720" t="str">
        <f>"52460"</f>
        <v>52460</v>
      </c>
      <c r="D7720" t="s">
        <v>452</v>
      </c>
      <c r="E7720">
        <v>64.11</v>
      </c>
      <c r="F7720">
        <v>20140326</v>
      </c>
      <c r="G7720" t="s">
        <v>145</v>
      </c>
      <c r="H7720" t="s">
        <v>3735</v>
      </c>
      <c r="I7720" t="s">
        <v>38</v>
      </c>
    </row>
    <row r="7721" spans="1:9" x14ac:dyDescent="0.25">
      <c r="A7721">
        <v>20140327</v>
      </c>
      <c r="B7721" t="str">
        <f>"114897"</f>
        <v>114897</v>
      </c>
      <c r="C7721" t="str">
        <f>"87715"</f>
        <v>87715</v>
      </c>
      <c r="D7721" t="s">
        <v>3100</v>
      </c>
      <c r="E7721">
        <v>155.78</v>
      </c>
      <c r="F7721">
        <v>20140320</v>
      </c>
      <c r="G7721" t="s">
        <v>3099</v>
      </c>
      <c r="H7721" t="s">
        <v>765</v>
      </c>
      <c r="I7721" t="s">
        <v>61</v>
      </c>
    </row>
    <row r="7722" spans="1:9" x14ac:dyDescent="0.25">
      <c r="A7722">
        <v>20140327</v>
      </c>
      <c r="B7722" t="str">
        <f>"114897"</f>
        <v>114897</v>
      </c>
      <c r="C7722" t="str">
        <f>"87715"</f>
        <v>87715</v>
      </c>
      <c r="D7722" t="s">
        <v>3100</v>
      </c>
      <c r="E7722">
        <v>128.12</v>
      </c>
      <c r="F7722">
        <v>20140326</v>
      </c>
      <c r="G7722" t="s">
        <v>3099</v>
      </c>
      <c r="H7722" t="s">
        <v>765</v>
      </c>
      <c r="I7722" t="s">
        <v>61</v>
      </c>
    </row>
    <row r="7723" spans="1:9" x14ac:dyDescent="0.25">
      <c r="A7723">
        <v>20140327</v>
      </c>
      <c r="B7723" t="str">
        <f>"114898"</f>
        <v>114898</v>
      </c>
      <c r="C7723" t="str">
        <f>"86393"</f>
        <v>86393</v>
      </c>
      <c r="D7723" t="s">
        <v>3736</v>
      </c>
      <c r="E7723">
        <v>211</v>
      </c>
      <c r="F7723">
        <v>20140324</v>
      </c>
      <c r="G7723" t="s">
        <v>99</v>
      </c>
      <c r="H7723" t="s">
        <v>388</v>
      </c>
      <c r="I7723" t="s">
        <v>21</v>
      </c>
    </row>
    <row r="7724" spans="1:9" x14ac:dyDescent="0.25">
      <c r="A7724">
        <v>20140327</v>
      </c>
      <c r="B7724" t="str">
        <f>"114899"</f>
        <v>114899</v>
      </c>
      <c r="C7724" t="str">
        <f>"00500"</f>
        <v>00500</v>
      </c>
      <c r="D7724" t="s">
        <v>486</v>
      </c>
      <c r="E7724">
        <v>721.2</v>
      </c>
      <c r="F7724">
        <v>20140325</v>
      </c>
      <c r="G7724" t="s">
        <v>1705</v>
      </c>
      <c r="H7724" t="s">
        <v>488</v>
      </c>
      <c r="I7724" t="s">
        <v>21</v>
      </c>
    </row>
    <row r="7725" spans="1:9" x14ac:dyDescent="0.25">
      <c r="A7725">
        <v>20140327</v>
      </c>
      <c r="B7725" t="str">
        <f>"114900"</f>
        <v>114900</v>
      </c>
      <c r="C7725" t="str">
        <f>"66825"</f>
        <v>66825</v>
      </c>
      <c r="D7725" t="s">
        <v>2325</v>
      </c>
      <c r="E7725" s="1">
        <v>5070.83</v>
      </c>
      <c r="F7725">
        <v>20140325</v>
      </c>
      <c r="G7725" t="s">
        <v>2326</v>
      </c>
      <c r="H7725" t="s">
        <v>488</v>
      </c>
      <c r="I7725" t="s">
        <v>21</v>
      </c>
    </row>
    <row r="7726" spans="1:9" x14ac:dyDescent="0.25">
      <c r="A7726">
        <v>20140327</v>
      </c>
      <c r="B7726" t="str">
        <f>"114901"</f>
        <v>114901</v>
      </c>
      <c r="C7726" t="str">
        <f>"07655"</f>
        <v>07655</v>
      </c>
      <c r="D7726" t="s">
        <v>3737</v>
      </c>
      <c r="E7726">
        <v>92.71</v>
      </c>
      <c r="F7726">
        <v>20140326</v>
      </c>
      <c r="G7726" t="s">
        <v>581</v>
      </c>
      <c r="H7726" t="s">
        <v>2691</v>
      </c>
      <c r="I7726" t="s">
        <v>21</v>
      </c>
    </row>
    <row r="7727" spans="1:9" x14ac:dyDescent="0.25">
      <c r="A7727">
        <v>20140327</v>
      </c>
      <c r="B7727" t="str">
        <f t="shared" ref="B7727:B7734" si="460">"114902"</f>
        <v>114902</v>
      </c>
      <c r="C7727" t="str">
        <f t="shared" ref="C7727:C7734" si="461">"00255"</f>
        <v>00255</v>
      </c>
      <c r="D7727" t="s">
        <v>489</v>
      </c>
      <c r="E7727">
        <v>732.71</v>
      </c>
      <c r="F7727">
        <v>20140324</v>
      </c>
      <c r="G7727" t="s">
        <v>1350</v>
      </c>
      <c r="H7727" t="s">
        <v>488</v>
      </c>
      <c r="I7727" t="s">
        <v>21</v>
      </c>
    </row>
    <row r="7728" spans="1:9" x14ac:dyDescent="0.25">
      <c r="A7728">
        <v>20140327</v>
      </c>
      <c r="B7728" t="str">
        <f t="shared" si="460"/>
        <v>114902</v>
      </c>
      <c r="C7728" t="str">
        <f t="shared" si="461"/>
        <v>00255</v>
      </c>
      <c r="D7728" t="s">
        <v>489</v>
      </c>
      <c r="E7728" s="1">
        <v>7408.52</v>
      </c>
      <c r="F7728">
        <v>20140324</v>
      </c>
      <c r="G7728" t="s">
        <v>1351</v>
      </c>
      <c r="H7728" t="s">
        <v>488</v>
      </c>
      <c r="I7728" t="s">
        <v>21</v>
      </c>
    </row>
    <row r="7729" spans="1:9" x14ac:dyDescent="0.25">
      <c r="A7729">
        <v>20140327</v>
      </c>
      <c r="B7729" t="str">
        <f t="shared" si="460"/>
        <v>114902</v>
      </c>
      <c r="C7729" t="str">
        <f t="shared" si="461"/>
        <v>00255</v>
      </c>
      <c r="D7729" t="s">
        <v>489</v>
      </c>
      <c r="E7729" s="1">
        <v>1597.93</v>
      </c>
      <c r="F7729">
        <v>20140324</v>
      </c>
      <c r="G7729" t="s">
        <v>491</v>
      </c>
      <c r="H7729" t="s">
        <v>488</v>
      </c>
      <c r="I7729" t="s">
        <v>21</v>
      </c>
    </row>
    <row r="7730" spans="1:9" x14ac:dyDescent="0.25">
      <c r="A7730">
        <v>20140327</v>
      </c>
      <c r="B7730" t="str">
        <f t="shared" si="460"/>
        <v>114902</v>
      </c>
      <c r="C7730" t="str">
        <f t="shared" si="461"/>
        <v>00255</v>
      </c>
      <c r="D7730" t="s">
        <v>489</v>
      </c>
      <c r="E7730" s="1">
        <v>2414.61</v>
      </c>
      <c r="F7730">
        <v>20140325</v>
      </c>
      <c r="G7730" t="s">
        <v>1185</v>
      </c>
      <c r="H7730" t="s">
        <v>488</v>
      </c>
      <c r="I7730" t="s">
        <v>21</v>
      </c>
    </row>
    <row r="7731" spans="1:9" x14ac:dyDescent="0.25">
      <c r="A7731">
        <v>20140327</v>
      </c>
      <c r="B7731" t="str">
        <f t="shared" si="460"/>
        <v>114902</v>
      </c>
      <c r="C7731" t="str">
        <f t="shared" si="461"/>
        <v>00255</v>
      </c>
      <c r="D7731" t="s">
        <v>489</v>
      </c>
      <c r="E7731" s="1">
        <v>2479.2399999999998</v>
      </c>
      <c r="F7731">
        <v>20140324</v>
      </c>
      <c r="G7731" t="s">
        <v>493</v>
      </c>
      <c r="H7731" t="s">
        <v>488</v>
      </c>
      <c r="I7731" t="s">
        <v>21</v>
      </c>
    </row>
    <row r="7732" spans="1:9" x14ac:dyDescent="0.25">
      <c r="A7732">
        <v>20140327</v>
      </c>
      <c r="B7732" t="str">
        <f t="shared" si="460"/>
        <v>114902</v>
      </c>
      <c r="C7732" t="str">
        <f t="shared" si="461"/>
        <v>00255</v>
      </c>
      <c r="D7732" t="s">
        <v>489</v>
      </c>
      <c r="E7732">
        <v>462.07</v>
      </c>
      <c r="F7732">
        <v>20140324</v>
      </c>
      <c r="G7732" t="s">
        <v>771</v>
      </c>
      <c r="H7732" t="s">
        <v>488</v>
      </c>
      <c r="I7732" t="s">
        <v>21</v>
      </c>
    </row>
    <row r="7733" spans="1:9" x14ac:dyDescent="0.25">
      <c r="A7733">
        <v>20140327</v>
      </c>
      <c r="B7733" t="str">
        <f t="shared" si="460"/>
        <v>114902</v>
      </c>
      <c r="C7733" t="str">
        <f t="shared" si="461"/>
        <v>00255</v>
      </c>
      <c r="D7733" t="s">
        <v>489</v>
      </c>
      <c r="E7733">
        <v>896.71</v>
      </c>
      <c r="F7733">
        <v>20140324</v>
      </c>
      <c r="G7733" t="s">
        <v>494</v>
      </c>
      <c r="H7733" t="s">
        <v>488</v>
      </c>
      <c r="I7733" t="s">
        <v>21</v>
      </c>
    </row>
    <row r="7734" spans="1:9" x14ac:dyDescent="0.25">
      <c r="A7734">
        <v>20140327</v>
      </c>
      <c r="B7734" t="str">
        <f t="shared" si="460"/>
        <v>114902</v>
      </c>
      <c r="C7734" t="str">
        <f t="shared" si="461"/>
        <v>00255</v>
      </c>
      <c r="D7734" t="s">
        <v>489</v>
      </c>
      <c r="E7734">
        <v>173.98</v>
      </c>
      <c r="F7734">
        <v>20140324</v>
      </c>
      <c r="G7734" t="s">
        <v>1186</v>
      </c>
      <c r="H7734" t="s">
        <v>488</v>
      </c>
      <c r="I7734" t="s">
        <v>21</v>
      </c>
    </row>
    <row r="7735" spans="1:9" x14ac:dyDescent="0.25">
      <c r="A7735">
        <v>20140327</v>
      </c>
      <c r="B7735" t="str">
        <f>"114903"</f>
        <v>114903</v>
      </c>
      <c r="C7735" t="str">
        <f>"00728"</f>
        <v>00728</v>
      </c>
      <c r="D7735" t="s">
        <v>1557</v>
      </c>
      <c r="E7735">
        <v>185</v>
      </c>
      <c r="F7735">
        <v>20140326</v>
      </c>
      <c r="G7735" t="s">
        <v>3658</v>
      </c>
      <c r="H7735" t="s">
        <v>3738</v>
      </c>
      <c r="I7735" t="s">
        <v>21</v>
      </c>
    </row>
    <row r="7736" spans="1:9" x14ac:dyDescent="0.25">
      <c r="A7736">
        <v>20140327</v>
      </c>
      <c r="B7736" t="str">
        <f>"114904"</f>
        <v>114904</v>
      </c>
      <c r="C7736" t="str">
        <f>"81301"</f>
        <v>81301</v>
      </c>
      <c r="D7736" t="s">
        <v>779</v>
      </c>
      <c r="E7736">
        <v>30.78</v>
      </c>
      <c r="F7736">
        <v>20140326</v>
      </c>
      <c r="G7736" t="s">
        <v>2211</v>
      </c>
      <c r="H7736" t="s">
        <v>563</v>
      </c>
      <c r="I7736" t="s">
        <v>2212</v>
      </c>
    </row>
    <row r="7737" spans="1:9" x14ac:dyDescent="0.25">
      <c r="A7737">
        <v>20140327</v>
      </c>
      <c r="B7737" t="str">
        <f>"114904"</f>
        <v>114904</v>
      </c>
      <c r="C7737" t="str">
        <f>"81301"</f>
        <v>81301</v>
      </c>
      <c r="D7737" t="s">
        <v>779</v>
      </c>
      <c r="E7737">
        <v>25.92</v>
      </c>
      <c r="F7737">
        <v>20140326</v>
      </c>
      <c r="G7737" t="s">
        <v>2211</v>
      </c>
      <c r="H7737" t="s">
        <v>563</v>
      </c>
      <c r="I7737" t="s">
        <v>2212</v>
      </c>
    </row>
    <row r="7738" spans="1:9" x14ac:dyDescent="0.25">
      <c r="A7738">
        <v>20140327</v>
      </c>
      <c r="B7738" t="str">
        <f>"114905"</f>
        <v>114905</v>
      </c>
      <c r="C7738" t="str">
        <f>"87789"</f>
        <v>87789</v>
      </c>
      <c r="D7738" t="s">
        <v>3739</v>
      </c>
      <c r="E7738">
        <v>150.9</v>
      </c>
      <c r="F7738">
        <v>20140320</v>
      </c>
      <c r="G7738" t="s">
        <v>3099</v>
      </c>
      <c r="H7738" t="s">
        <v>765</v>
      </c>
      <c r="I7738" t="s">
        <v>61</v>
      </c>
    </row>
    <row r="7739" spans="1:9" x14ac:dyDescent="0.25">
      <c r="A7739">
        <v>20140327</v>
      </c>
      <c r="B7739" t="str">
        <f>"114906"</f>
        <v>114906</v>
      </c>
      <c r="C7739" t="str">
        <f>"84001"</f>
        <v>84001</v>
      </c>
      <c r="D7739" t="s">
        <v>791</v>
      </c>
      <c r="E7739">
        <v>540</v>
      </c>
      <c r="F7739">
        <v>20140325</v>
      </c>
      <c r="G7739" t="s">
        <v>356</v>
      </c>
      <c r="H7739" t="s">
        <v>357</v>
      </c>
      <c r="I7739" t="s">
        <v>61</v>
      </c>
    </row>
    <row r="7740" spans="1:9" x14ac:dyDescent="0.25">
      <c r="A7740">
        <v>20140327</v>
      </c>
      <c r="B7740" t="str">
        <f>"114907"</f>
        <v>114907</v>
      </c>
      <c r="C7740" t="str">
        <f>"87264"</f>
        <v>87264</v>
      </c>
      <c r="D7740" t="s">
        <v>1361</v>
      </c>
      <c r="E7740">
        <v>100</v>
      </c>
      <c r="F7740">
        <v>20140324</v>
      </c>
      <c r="G7740" t="s">
        <v>1362</v>
      </c>
      <c r="H7740" t="s">
        <v>3740</v>
      </c>
      <c r="I7740" t="s">
        <v>21</v>
      </c>
    </row>
    <row r="7741" spans="1:9" x14ac:dyDescent="0.25">
      <c r="A7741">
        <v>20140327</v>
      </c>
      <c r="B7741" t="str">
        <f>"114907"</f>
        <v>114907</v>
      </c>
      <c r="C7741" t="str">
        <f>"87264"</f>
        <v>87264</v>
      </c>
      <c r="D7741" t="s">
        <v>1361</v>
      </c>
      <c r="E7741">
        <v>19</v>
      </c>
      <c r="F7741">
        <v>20140326</v>
      </c>
      <c r="G7741" t="s">
        <v>1010</v>
      </c>
      <c r="H7741" t="s">
        <v>2592</v>
      </c>
      <c r="I7741" t="s">
        <v>21</v>
      </c>
    </row>
    <row r="7742" spans="1:9" x14ac:dyDescent="0.25">
      <c r="A7742">
        <v>20140327</v>
      </c>
      <c r="B7742" t="str">
        <f>"114907"</f>
        <v>114907</v>
      </c>
      <c r="C7742" t="str">
        <f>"87264"</f>
        <v>87264</v>
      </c>
      <c r="D7742" t="s">
        <v>1361</v>
      </c>
      <c r="E7742">
        <v>81</v>
      </c>
      <c r="F7742">
        <v>20140326</v>
      </c>
      <c r="G7742" t="s">
        <v>1359</v>
      </c>
      <c r="H7742" t="s">
        <v>2592</v>
      </c>
      <c r="I7742" t="s">
        <v>21</v>
      </c>
    </row>
    <row r="7743" spans="1:9" x14ac:dyDescent="0.25">
      <c r="A7743">
        <v>20140327</v>
      </c>
      <c r="B7743" t="str">
        <f>"114908"</f>
        <v>114908</v>
      </c>
      <c r="C7743" t="str">
        <f>"86533"</f>
        <v>86533</v>
      </c>
      <c r="D7743" t="s">
        <v>505</v>
      </c>
      <c r="E7743">
        <v>175.5</v>
      </c>
      <c r="F7743">
        <v>20140324</v>
      </c>
      <c r="G7743" t="s">
        <v>794</v>
      </c>
      <c r="H7743" t="s">
        <v>525</v>
      </c>
      <c r="I7743" t="s">
        <v>21</v>
      </c>
    </row>
    <row r="7744" spans="1:9" x14ac:dyDescent="0.25">
      <c r="A7744">
        <v>20140327</v>
      </c>
      <c r="B7744" t="str">
        <f>"114908"</f>
        <v>114908</v>
      </c>
      <c r="C7744" t="str">
        <f>"86533"</f>
        <v>86533</v>
      </c>
      <c r="D7744" t="s">
        <v>505</v>
      </c>
      <c r="E7744">
        <v>69</v>
      </c>
      <c r="F7744">
        <v>20140324</v>
      </c>
      <c r="G7744" t="s">
        <v>506</v>
      </c>
      <c r="H7744" t="s">
        <v>414</v>
      </c>
      <c r="I7744" t="s">
        <v>21</v>
      </c>
    </row>
    <row r="7745" spans="1:9" x14ac:dyDescent="0.25">
      <c r="A7745">
        <v>20140327</v>
      </c>
      <c r="B7745" t="str">
        <f>"114908"</f>
        <v>114908</v>
      </c>
      <c r="C7745" t="str">
        <f>"86533"</f>
        <v>86533</v>
      </c>
      <c r="D7745" t="s">
        <v>505</v>
      </c>
      <c r="E7745">
        <v>20.38</v>
      </c>
      <c r="F7745">
        <v>20140324</v>
      </c>
      <c r="G7745" t="s">
        <v>506</v>
      </c>
      <c r="H7745" t="s">
        <v>414</v>
      </c>
      <c r="I7745" t="s">
        <v>21</v>
      </c>
    </row>
    <row r="7746" spans="1:9" x14ac:dyDescent="0.25">
      <c r="A7746">
        <v>20140327</v>
      </c>
      <c r="B7746" t="str">
        <f>"114908"</f>
        <v>114908</v>
      </c>
      <c r="C7746" t="str">
        <f>"86533"</f>
        <v>86533</v>
      </c>
      <c r="D7746" t="s">
        <v>505</v>
      </c>
      <c r="E7746">
        <v>60</v>
      </c>
      <c r="F7746">
        <v>20140326</v>
      </c>
      <c r="G7746" t="s">
        <v>2122</v>
      </c>
      <c r="H7746" t="s">
        <v>414</v>
      </c>
      <c r="I7746" t="s">
        <v>21</v>
      </c>
    </row>
    <row r="7747" spans="1:9" x14ac:dyDescent="0.25">
      <c r="A7747">
        <v>20140327</v>
      </c>
      <c r="B7747" t="str">
        <f>"114909"</f>
        <v>114909</v>
      </c>
      <c r="C7747" t="str">
        <f>"84466"</f>
        <v>84466</v>
      </c>
      <c r="D7747" t="s">
        <v>1366</v>
      </c>
      <c r="E7747">
        <v>110.88</v>
      </c>
      <c r="F7747">
        <v>20140326</v>
      </c>
      <c r="G7747" t="s">
        <v>442</v>
      </c>
      <c r="H7747" t="s">
        <v>365</v>
      </c>
      <c r="I7747" t="s">
        <v>66</v>
      </c>
    </row>
    <row r="7748" spans="1:9" x14ac:dyDescent="0.25">
      <c r="A7748">
        <v>20140327</v>
      </c>
      <c r="B7748" t="str">
        <f>"114910"</f>
        <v>114910</v>
      </c>
      <c r="C7748" t="str">
        <f>"87796"</f>
        <v>87796</v>
      </c>
      <c r="D7748" t="s">
        <v>3741</v>
      </c>
      <c r="E7748">
        <v>6</v>
      </c>
      <c r="F7748">
        <v>20140326</v>
      </c>
      <c r="G7748" t="s">
        <v>426</v>
      </c>
      <c r="H7748" t="s">
        <v>354</v>
      </c>
      <c r="I7748" t="s">
        <v>21</v>
      </c>
    </row>
    <row r="7749" spans="1:9" x14ac:dyDescent="0.25">
      <c r="A7749">
        <v>20140327</v>
      </c>
      <c r="B7749" t="str">
        <f>"114911"</f>
        <v>114911</v>
      </c>
      <c r="C7749" t="str">
        <f>"15883"</f>
        <v>15883</v>
      </c>
      <c r="D7749" t="s">
        <v>3742</v>
      </c>
      <c r="E7749">
        <v>114.24</v>
      </c>
      <c r="F7749">
        <v>20140320</v>
      </c>
      <c r="G7749" t="s">
        <v>3743</v>
      </c>
      <c r="H7749" t="s">
        <v>765</v>
      </c>
      <c r="I7749" t="s">
        <v>61</v>
      </c>
    </row>
    <row r="7750" spans="1:9" x14ac:dyDescent="0.25">
      <c r="A7750">
        <v>20140327</v>
      </c>
      <c r="B7750" t="str">
        <f t="shared" ref="B7750:B7787" si="462">"114912"</f>
        <v>114912</v>
      </c>
      <c r="C7750" t="str">
        <f t="shared" ref="C7750:C7787" si="463">"83878"</f>
        <v>83878</v>
      </c>
      <c r="D7750" t="s">
        <v>1016</v>
      </c>
      <c r="E7750">
        <v>163.85</v>
      </c>
      <c r="F7750">
        <v>20140326</v>
      </c>
      <c r="G7750" t="s">
        <v>1959</v>
      </c>
      <c r="H7750" t="s">
        <v>1018</v>
      </c>
      <c r="I7750" t="s">
        <v>61</v>
      </c>
    </row>
    <row r="7751" spans="1:9" x14ac:dyDescent="0.25">
      <c r="A7751">
        <v>20140327</v>
      </c>
      <c r="B7751" t="str">
        <f t="shared" si="462"/>
        <v>114912</v>
      </c>
      <c r="C7751" t="str">
        <f t="shared" si="463"/>
        <v>83878</v>
      </c>
      <c r="D7751" t="s">
        <v>1016</v>
      </c>
      <c r="E7751">
        <v>138.46</v>
      </c>
      <c r="F7751">
        <v>20140326</v>
      </c>
      <c r="G7751" t="s">
        <v>1067</v>
      </c>
      <c r="H7751" t="s">
        <v>3744</v>
      </c>
      <c r="I7751" t="s">
        <v>21</v>
      </c>
    </row>
    <row r="7752" spans="1:9" x14ac:dyDescent="0.25">
      <c r="A7752">
        <v>20140327</v>
      </c>
      <c r="B7752" t="str">
        <f t="shared" si="462"/>
        <v>114912</v>
      </c>
      <c r="C7752" t="str">
        <f t="shared" si="463"/>
        <v>83878</v>
      </c>
      <c r="D7752" t="s">
        <v>1016</v>
      </c>
      <c r="E7752">
        <v>197.05</v>
      </c>
      <c r="F7752">
        <v>20140326</v>
      </c>
      <c r="G7752" t="s">
        <v>1067</v>
      </c>
      <c r="H7752" t="s">
        <v>3745</v>
      </c>
      <c r="I7752" t="s">
        <v>21</v>
      </c>
    </row>
    <row r="7753" spans="1:9" x14ac:dyDescent="0.25">
      <c r="A7753">
        <v>20140327</v>
      </c>
      <c r="B7753" t="str">
        <f t="shared" si="462"/>
        <v>114912</v>
      </c>
      <c r="C7753" t="str">
        <f t="shared" si="463"/>
        <v>83878</v>
      </c>
      <c r="D7753" t="s">
        <v>1016</v>
      </c>
      <c r="E7753">
        <v>19.760000000000002</v>
      </c>
      <c r="F7753">
        <v>20140326</v>
      </c>
      <c r="G7753" t="s">
        <v>1711</v>
      </c>
      <c r="H7753" t="s">
        <v>1018</v>
      </c>
      <c r="I7753" t="s">
        <v>21</v>
      </c>
    </row>
    <row r="7754" spans="1:9" x14ac:dyDescent="0.25">
      <c r="A7754">
        <v>20140327</v>
      </c>
      <c r="B7754" t="str">
        <f t="shared" si="462"/>
        <v>114912</v>
      </c>
      <c r="C7754" t="str">
        <f t="shared" si="463"/>
        <v>83878</v>
      </c>
      <c r="D7754" t="s">
        <v>1016</v>
      </c>
      <c r="E7754">
        <v>35.96</v>
      </c>
      <c r="F7754">
        <v>20140326</v>
      </c>
      <c r="G7754" t="s">
        <v>1020</v>
      </c>
      <c r="H7754" t="s">
        <v>1018</v>
      </c>
      <c r="I7754" t="s">
        <v>21</v>
      </c>
    </row>
    <row r="7755" spans="1:9" x14ac:dyDescent="0.25">
      <c r="A7755">
        <v>20140327</v>
      </c>
      <c r="B7755" t="str">
        <f t="shared" si="462"/>
        <v>114912</v>
      </c>
      <c r="C7755" t="str">
        <f t="shared" si="463"/>
        <v>83878</v>
      </c>
      <c r="D7755" t="s">
        <v>1016</v>
      </c>
      <c r="E7755">
        <v>241.92</v>
      </c>
      <c r="F7755">
        <v>20140326</v>
      </c>
      <c r="G7755" t="s">
        <v>1020</v>
      </c>
      <c r="H7755" t="s">
        <v>3746</v>
      </c>
      <c r="I7755" t="s">
        <v>21</v>
      </c>
    </row>
    <row r="7756" spans="1:9" x14ac:dyDescent="0.25">
      <c r="A7756">
        <v>20140327</v>
      </c>
      <c r="B7756" t="str">
        <f t="shared" si="462"/>
        <v>114912</v>
      </c>
      <c r="C7756" t="str">
        <f t="shared" si="463"/>
        <v>83878</v>
      </c>
      <c r="D7756" t="s">
        <v>1016</v>
      </c>
      <c r="E7756">
        <v>227.63</v>
      </c>
      <c r="F7756">
        <v>20140326</v>
      </c>
      <c r="G7756" t="s">
        <v>1020</v>
      </c>
      <c r="H7756" t="s">
        <v>3747</v>
      </c>
      <c r="I7756" t="s">
        <v>21</v>
      </c>
    </row>
    <row r="7757" spans="1:9" x14ac:dyDescent="0.25">
      <c r="A7757">
        <v>20140327</v>
      </c>
      <c r="B7757" t="str">
        <f t="shared" si="462"/>
        <v>114912</v>
      </c>
      <c r="C7757" t="str">
        <f t="shared" si="463"/>
        <v>83878</v>
      </c>
      <c r="D7757" t="s">
        <v>1016</v>
      </c>
      <c r="E7757" s="1">
        <v>1409</v>
      </c>
      <c r="F7757">
        <v>20140326</v>
      </c>
      <c r="G7757" t="s">
        <v>2354</v>
      </c>
      <c r="H7757" t="s">
        <v>1018</v>
      </c>
      <c r="I7757" t="s">
        <v>21</v>
      </c>
    </row>
    <row r="7758" spans="1:9" x14ac:dyDescent="0.25">
      <c r="A7758">
        <v>20140327</v>
      </c>
      <c r="B7758" t="str">
        <f t="shared" si="462"/>
        <v>114912</v>
      </c>
      <c r="C7758" t="str">
        <f t="shared" si="463"/>
        <v>83878</v>
      </c>
      <c r="D7758" t="s">
        <v>1016</v>
      </c>
      <c r="E7758">
        <v>110.06</v>
      </c>
      <c r="F7758">
        <v>20140326</v>
      </c>
      <c r="G7758" t="s">
        <v>834</v>
      </c>
      <c r="H7758" t="s">
        <v>1018</v>
      </c>
      <c r="I7758" t="s">
        <v>21</v>
      </c>
    </row>
    <row r="7759" spans="1:9" x14ac:dyDescent="0.25">
      <c r="A7759">
        <v>20140327</v>
      </c>
      <c r="B7759" t="str">
        <f t="shared" si="462"/>
        <v>114912</v>
      </c>
      <c r="C7759" t="str">
        <f t="shared" si="463"/>
        <v>83878</v>
      </c>
      <c r="D7759" t="s">
        <v>1016</v>
      </c>
      <c r="E7759">
        <v>267.16000000000003</v>
      </c>
      <c r="F7759">
        <v>20140326</v>
      </c>
      <c r="G7759" t="s">
        <v>834</v>
      </c>
      <c r="H7759" t="s">
        <v>1018</v>
      </c>
      <c r="I7759" t="s">
        <v>21</v>
      </c>
    </row>
    <row r="7760" spans="1:9" x14ac:dyDescent="0.25">
      <c r="A7760">
        <v>20140327</v>
      </c>
      <c r="B7760" t="str">
        <f t="shared" si="462"/>
        <v>114912</v>
      </c>
      <c r="C7760" t="str">
        <f t="shared" si="463"/>
        <v>83878</v>
      </c>
      <c r="D7760" t="s">
        <v>1016</v>
      </c>
      <c r="E7760">
        <v>5.52</v>
      </c>
      <c r="F7760">
        <v>20140326</v>
      </c>
      <c r="G7760" t="s">
        <v>808</v>
      </c>
      <c r="H7760" t="s">
        <v>1018</v>
      </c>
      <c r="I7760" t="s">
        <v>21</v>
      </c>
    </row>
    <row r="7761" spans="1:9" x14ac:dyDescent="0.25">
      <c r="A7761">
        <v>20140327</v>
      </c>
      <c r="B7761" t="str">
        <f t="shared" si="462"/>
        <v>114912</v>
      </c>
      <c r="C7761" t="str">
        <f t="shared" si="463"/>
        <v>83878</v>
      </c>
      <c r="D7761" t="s">
        <v>1016</v>
      </c>
      <c r="E7761">
        <v>199.99</v>
      </c>
      <c r="F7761">
        <v>20140326</v>
      </c>
      <c r="G7761" t="s">
        <v>3748</v>
      </c>
      <c r="H7761" t="s">
        <v>1018</v>
      </c>
      <c r="I7761" t="s">
        <v>21</v>
      </c>
    </row>
    <row r="7762" spans="1:9" x14ac:dyDescent="0.25">
      <c r="A7762">
        <v>20140327</v>
      </c>
      <c r="B7762" t="str">
        <f t="shared" si="462"/>
        <v>114912</v>
      </c>
      <c r="C7762" t="str">
        <f t="shared" si="463"/>
        <v>83878</v>
      </c>
      <c r="D7762" t="s">
        <v>1016</v>
      </c>
      <c r="E7762">
        <v>31.94</v>
      </c>
      <c r="F7762">
        <v>20140326</v>
      </c>
      <c r="G7762" t="s">
        <v>2358</v>
      </c>
      <c r="H7762" t="s">
        <v>1018</v>
      </c>
      <c r="I7762" t="s">
        <v>21</v>
      </c>
    </row>
    <row r="7763" spans="1:9" x14ac:dyDescent="0.25">
      <c r="A7763">
        <v>20140327</v>
      </c>
      <c r="B7763" t="str">
        <f t="shared" si="462"/>
        <v>114912</v>
      </c>
      <c r="C7763" t="str">
        <f t="shared" si="463"/>
        <v>83878</v>
      </c>
      <c r="D7763" t="s">
        <v>1016</v>
      </c>
      <c r="E7763">
        <v>61.24</v>
      </c>
      <c r="F7763">
        <v>20140326</v>
      </c>
      <c r="G7763" t="s">
        <v>1227</v>
      </c>
      <c r="H7763" t="s">
        <v>1018</v>
      </c>
      <c r="I7763" t="s">
        <v>21</v>
      </c>
    </row>
    <row r="7764" spans="1:9" x14ac:dyDescent="0.25">
      <c r="A7764">
        <v>20140327</v>
      </c>
      <c r="B7764" t="str">
        <f t="shared" si="462"/>
        <v>114912</v>
      </c>
      <c r="C7764" t="str">
        <f t="shared" si="463"/>
        <v>83878</v>
      </c>
      <c r="D7764" t="s">
        <v>1016</v>
      </c>
      <c r="E7764">
        <v>981.67</v>
      </c>
      <c r="F7764">
        <v>20140326</v>
      </c>
      <c r="G7764" t="s">
        <v>1329</v>
      </c>
      <c r="H7764" t="s">
        <v>1018</v>
      </c>
      <c r="I7764" t="s">
        <v>21</v>
      </c>
    </row>
    <row r="7765" spans="1:9" x14ac:dyDescent="0.25">
      <c r="A7765">
        <v>20140327</v>
      </c>
      <c r="B7765" t="str">
        <f t="shared" si="462"/>
        <v>114912</v>
      </c>
      <c r="C7765" t="str">
        <f t="shared" si="463"/>
        <v>83878</v>
      </c>
      <c r="D7765" t="s">
        <v>1016</v>
      </c>
      <c r="E7765" s="1">
        <v>1168.49</v>
      </c>
      <c r="F7765">
        <v>20140326</v>
      </c>
      <c r="G7765" t="s">
        <v>1329</v>
      </c>
      <c r="H7765" t="s">
        <v>1018</v>
      </c>
      <c r="I7765" t="s">
        <v>21</v>
      </c>
    </row>
    <row r="7766" spans="1:9" x14ac:dyDescent="0.25">
      <c r="A7766">
        <v>20140327</v>
      </c>
      <c r="B7766" t="str">
        <f t="shared" si="462"/>
        <v>114912</v>
      </c>
      <c r="C7766" t="str">
        <f t="shared" si="463"/>
        <v>83878</v>
      </c>
      <c r="D7766" t="s">
        <v>1016</v>
      </c>
      <c r="E7766">
        <v>26.97</v>
      </c>
      <c r="F7766">
        <v>20140326</v>
      </c>
      <c r="G7766" t="s">
        <v>496</v>
      </c>
      <c r="H7766" t="s">
        <v>1018</v>
      </c>
      <c r="I7766" t="s">
        <v>21</v>
      </c>
    </row>
    <row r="7767" spans="1:9" x14ac:dyDescent="0.25">
      <c r="A7767">
        <v>20140327</v>
      </c>
      <c r="B7767" t="str">
        <f t="shared" si="462"/>
        <v>114912</v>
      </c>
      <c r="C7767" t="str">
        <f t="shared" si="463"/>
        <v>83878</v>
      </c>
      <c r="D7767" t="s">
        <v>1016</v>
      </c>
      <c r="E7767">
        <v>73.349999999999994</v>
      </c>
      <c r="F7767">
        <v>20140326</v>
      </c>
      <c r="G7767" t="s">
        <v>557</v>
      </c>
      <c r="H7767" t="s">
        <v>1018</v>
      </c>
      <c r="I7767" t="s">
        <v>21</v>
      </c>
    </row>
    <row r="7768" spans="1:9" x14ac:dyDescent="0.25">
      <c r="A7768">
        <v>20140327</v>
      </c>
      <c r="B7768" t="str">
        <f t="shared" si="462"/>
        <v>114912</v>
      </c>
      <c r="C7768" t="str">
        <f t="shared" si="463"/>
        <v>83878</v>
      </c>
      <c r="D7768" t="s">
        <v>1016</v>
      </c>
      <c r="E7768">
        <v>208.46</v>
      </c>
      <c r="F7768">
        <v>20140326</v>
      </c>
      <c r="G7768" t="s">
        <v>585</v>
      </c>
      <c r="H7768" t="s">
        <v>1018</v>
      </c>
      <c r="I7768" t="s">
        <v>21</v>
      </c>
    </row>
    <row r="7769" spans="1:9" x14ac:dyDescent="0.25">
      <c r="A7769">
        <v>20140327</v>
      </c>
      <c r="B7769" t="str">
        <f t="shared" si="462"/>
        <v>114912</v>
      </c>
      <c r="C7769" t="str">
        <f t="shared" si="463"/>
        <v>83878</v>
      </c>
      <c r="D7769" t="s">
        <v>1016</v>
      </c>
      <c r="E7769">
        <v>58.94</v>
      </c>
      <c r="F7769">
        <v>20140326</v>
      </c>
      <c r="G7769" t="s">
        <v>837</v>
      </c>
      <c r="H7769" t="s">
        <v>1018</v>
      </c>
      <c r="I7769" t="s">
        <v>21</v>
      </c>
    </row>
    <row r="7770" spans="1:9" x14ac:dyDescent="0.25">
      <c r="A7770">
        <v>20140327</v>
      </c>
      <c r="B7770" t="str">
        <f t="shared" si="462"/>
        <v>114912</v>
      </c>
      <c r="C7770" t="str">
        <f t="shared" si="463"/>
        <v>83878</v>
      </c>
      <c r="D7770" t="s">
        <v>1016</v>
      </c>
      <c r="E7770">
        <v>13.24</v>
      </c>
      <c r="F7770">
        <v>20140326</v>
      </c>
      <c r="G7770" t="s">
        <v>1026</v>
      </c>
      <c r="H7770" t="s">
        <v>1018</v>
      </c>
      <c r="I7770" t="s">
        <v>21</v>
      </c>
    </row>
    <row r="7771" spans="1:9" x14ac:dyDescent="0.25">
      <c r="A7771">
        <v>20140327</v>
      </c>
      <c r="B7771" t="str">
        <f t="shared" si="462"/>
        <v>114912</v>
      </c>
      <c r="C7771" t="str">
        <f t="shared" si="463"/>
        <v>83878</v>
      </c>
      <c r="D7771" t="s">
        <v>1016</v>
      </c>
      <c r="E7771">
        <v>296.68</v>
      </c>
      <c r="F7771">
        <v>20140326</v>
      </c>
      <c r="G7771" t="s">
        <v>926</v>
      </c>
      <c r="H7771" t="s">
        <v>1018</v>
      </c>
      <c r="I7771" t="s">
        <v>21</v>
      </c>
    </row>
    <row r="7772" spans="1:9" x14ac:dyDescent="0.25">
      <c r="A7772">
        <v>20140327</v>
      </c>
      <c r="B7772" t="str">
        <f t="shared" si="462"/>
        <v>114912</v>
      </c>
      <c r="C7772" t="str">
        <f t="shared" si="463"/>
        <v>83878</v>
      </c>
      <c r="D7772" t="s">
        <v>1016</v>
      </c>
      <c r="E7772">
        <v>50</v>
      </c>
      <c r="F7772">
        <v>20140326</v>
      </c>
      <c r="G7772" t="s">
        <v>975</v>
      </c>
      <c r="H7772" t="s">
        <v>1018</v>
      </c>
      <c r="I7772" t="s">
        <v>21</v>
      </c>
    </row>
    <row r="7773" spans="1:9" x14ac:dyDescent="0.25">
      <c r="A7773">
        <v>20140327</v>
      </c>
      <c r="B7773" t="str">
        <f t="shared" si="462"/>
        <v>114912</v>
      </c>
      <c r="C7773" t="str">
        <f t="shared" si="463"/>
        <v>83878</v>
      </c>
      <c r="D7773" t="s">
        <v>1016</v>
      </c>
      <c r="E7773">
        <v>15.09</v>
      </c>
      <c r="F7773">
        <v>20140326</v>
      </c>
      <c r="G7773" t="s">
        <v>367</v>
      </c>
      <c r="H7773" t="s">
        <v>1018</v>
      </c>
      <c r="I7773" t="s">
        <v>21</v>
      </c>
    </row>
    <row r="7774" spans="1:9" x14ac:dyDescent="0.25">
      <c r="A7774">
        <v>20140327</v>
      </c>
      <c r="B7774" t="str">
        <f t="shared" si="462"/>
        <v>114912</v>
      </c>
      <c r="C7774" t="str">
        <f t="shared" si="463"/>
        <v>83878</v>
      </c>
      <c r="D7774" t="s">
        <v>1016</v>
      </c>
      <c r="E7774">
        <v>289.81</v>
      </c>
      <c r="F7774">
        <v>20140326</v>
      </c>
      <c r="G7774" t="s">
        <v>367</v>
      </c>
      <c r="H7774" t="s">
        <v>1018</v>
      </c>
      <c r="I7774" t="s">
        <v>21</v>
      </c>
    </row>
    <row r="7775" spans="1:9" x14ac:dyDescent="0.25">
      <c r="A7775">
        <v>20140327</v>
      </c>
      <c r="B7775" t="str">
        <f t="shared" si="462"/>
        <v>114912</v>
      </c>
      <c r="C7775" t="str">
        <f t="shared" si="463"/>
        <v>83878</v>
      </c>
      <c r="D7775" t="s">
        <v>1016</v>
      </c>
      <c r="E7775">
        <v>238.12</v>
      </c>
      <c r="F7775">
        <v>20140326</v>
      </c>
      <c r="G7775" t="s">
        <v>704</v>
      </c>
      <c r="H7775" t="s">
        <v>1018</v>
      </c>
      <c r="I7775" t="s">
        <v>21</v>
      </c>
    </row>
    <row r="7776" spans="1:9" x14ac:dyDescent="0.25">
      <c r="A7776">
        <v>20140327</v>
      </c>
      <c r="B7776" t="str">
        <f t="shared" si="462"/>
        <v>114912</v>
      </c>
      <c r="C7776" t="str">
        <f t="shared" si="463"/>
        <v>83878</v>
      </c>
      <c r="D7776" t="s">
        <v>1016</v>
      </c>
      <c r="E7776">
        <v>67.94</v>
      </c>
      <c r="F7776">
        <v>20140326</v>
      </c>
      <c r="G7776" t="s">
        <v>482</v>
      </c>
      <c r="H7776" t="s">
        <v>1018</v>
      </c>
      <c r="I7776" t="s">
        <v>21</v>
      </c>
    </row>
    <row r="7777" spans="1:9" x14ac:dyDescent="0.25">
      <c r="A7777">
        <v>20140327</v>
      </c>
      <c r="B7777" t="str">
        <f t="shared" si="462"/>
        <v>114912</v>
      </c>
      <c r="C7777" t="str">
        <f t="shared" si="463"/>
        <v>83878</v>
      </c>
      <c r="D7777" t="s">
        <v>1016</v>
      </c>
      <c r="E7777">
        <v>-61.53</v>
      </c>
      <c r="F7777">
        <v>20140327</v>
      </c>
      <c r="G7777" t="s">
        <v>840</v>
      </c>
      <c r="H7777" t="s">
        <v>1018</v>
      </c>
      <c r="I7777" t="s">
        <v>21</v>
      </c>
    </row>
    <row r="7778" spans="1:9" x14ac:dyDescent="0.25">
      <c r="A7778">
        <v>20140327</v>
      </c>
      <c r="B7778" t="str">
        <f t="shared" si="462"/>
        <v>114912</v>
      </c>
      <c r="C7778" t="str">
        <f t="shared" si="463"/>
        <v>83878</v>
      </c>
      <c r="D7778" t="s">
        <v>1016</v>
      </c>
      <c r="E7778" s="1">
        <v>1061.5</v>
      </c>
      <c r="F7778">
        <v>20140326</v>
      </c>
      <c r="G7778" t="s">
        <v>1721</v>
      </c>
      <c r="H7778" t="s">
        <v>1018</v>
      </c>
      <c r="I7778" t="s">
        <v>21</v>
      </c>
    </row>
    <row r="7779" spans="1:9" x14ac:dyDescent="0.25">
      <c r="A7779">
        <v>20140327</v>
      </c>
      <c r="B7779" t="str">
        <f t="shared" si="462"/>
        <v>114912</v>
      </c>
      <c r="C7779" t="str">
        <f t="shared" si="463"/>
        <v>83878</v>
      </c>
      <c r="D7779" t="s">
        <v>1016</v>
      </c>
      <c r="E7779" s="1">
        <v>1280.08</v>
      </c>
      <c r="F7779">
        <v>20140326</v>
      </c>
      <c r="G7779" t="s">
        <v>810</v>
      </c>
      <c r="H7779" t="s">
        <v>1018</v>
      </c>
      <c r="I7779" t="s">
        <v>66</v>
      </c>
    </row>
    <row r="7780" spans="1:9" x14ac:dyDescent="0.25">
      <c r="A7780">
        <v>20140327</v>
      </c>
      <c r="B7780" t="str">
        <f t="shared" si="462"/>
        <v>114912</v>
      </c>
      <c r="C7780" t="str">
        <f t="shared" si="463"/>
        <v>83878</v>
      </c>
      <c r="D7780" t="s">
        <v>1016</v>
      </c>
      <c r="E7780">
        <v>67.87</v>
      </c>
      <c r="F7780">
        <v>20140326</v>
      </c>
      <c r="G7780" t="s">
        <v>1404</v>
      </c>
      <c r="H7780" t="s">
        <v>1018</v>
      </c>
      <c r="I7780" t="s">
        <v>12</v>
      </c>
    </row>
    <row r="7781" spans="1:9" x14ac:dyDescent="0.25">
      <c r="A7781">
        <v>20140327</v>
      </c>
      <c r="B7781" t="str">
        <f t="shared" si="462"/>
        <v>114912</v>
      </c>
      <c r="C7781" t="str">
        <f t="shared" si="463"/>
        <v>83878</v>
      </c>
      <c r="D7781" t="s">
        <v>1016</v>
      </c>
      <c r="E7781">
        <v>818.76</v>
      </c>
      <c r="F7781">
        <v>20140326</v>
      </c>
      <c r="G7781" t="s">
        <v>202</v>
      </c>
      <c r="H7781" t="s">
        <v>1018</v>
      </c>
      <c r="I7781" t="s">
        <v>12</v>
      </c>
    </row>
    <row r="7782" spans="1:9" x14ac:dyDescent="0.25">
      <c r="A7782">
        <v>20140327</v>
      </c>
      <c r="B7782" t="str">
        <f t="shared" si="462"/>
        <v>114912</v>
      </c>
      <c r="C7782" t="str">
        <f t="shared" si="463"/>
        <v>83878</v>
      </c>
      <c r="D7782" t="s">
        <v>1016</v>
      </c>
      <c r="E7782">
        <v>170.93</v>
      </c>
      <c r="F7782">
        <v>20140326</v>
      </c>
      <c r="G7782" t="s">
        <v>932</v>
      </c>
      <c r="H7782" t="s">
        <v>1018</v>
      </c>
      <c r="I7782" t="s">
        <v>77</v>
      </c>
    </row>
    <row r="7783" spans="1:9" x14ac:dyDescent="0.25">
      <c r="A7783">
        <v>20140327</v>
      </c>
      <c r="B7783" t="str">
        <f t="shared" si="462"/>
        <v>114912</v>
      </c>
      <c r="C7783" t="str">
        <f t="shared" si="463"/>
        <v>83878</v>
      </c>
      <c r="D7783" t="s">
        <v>1016</v>
      </c>
      <c r="E7783">
        <v>350</v>
      </c>
      <c r="F7783">
        <v>20140326</v>
      </c>
      <c r="G7783" t="s">
        <v>145</v>
      </c>
      <c r="H7783" t="s">
        <v>1018</v>
      </c>
      <c r="I7783" t="s">
        <v>38</v>
      </c>
    </row>
    <row r="7784" spans="1:9" x14ac:dyDescent="0.25">
      <c r="A7784">
        <v>20140327</v>
      </c>
      <c r="B7784" t="str">
        <f t="shared" si="462"/>
        <v>114912</v>
      </c>
      <c r="C7784" t="str">
        <f t="shared" si="463"/>
        <v>83878</v>
      </c>
      <c r="D7784" t="s">
        <v>1016</v>
      </c>
      <c r="E7784">
        <v>172.31</v>
      </c>
      <c r="F7784">
        <v>20140326</v>
      </c>
      <c r="G7784" t="s">
        <v>289</v>
      </c>
      <c r="H7784" t="s">
        <v>1018</v>
      </c>
      <c r="I7784" t="s">
        <v>38</v>
      </c>
    </row>
    <row r="7785" spans="1:9" x14ac:dyDescent="0.25">
      <c r="A7785">
        <v>20140327</v>
      </c>
      <c r="B7785" t="str">
        <f t="shared" si="462"/>
        <v>114912</v>
      </c>
      <c r="C7785" t="str">
        <f t="shared" si="463"/>
        <v>83878</v>
      </c>
      <c r="D7785" t="s">
        <v>1016</v>
      </c>
      <c r="E7785">
        <v>103.78</v>
      </c>
      <c r="F7785">
        <v>20140326</v>
      </c>
      <c r="G7785" t="s">
        <v>119</v>
      </c>
      <c r="H7785" t="s">
        <v>1018</v>
      </c>
      <c r="I7785" t="s">
        <v>38</v>
      </c>
    </row>
    <row r="7786" spans="1:9" x14ac:dyDescent="0.25">
      <c r="A7786">
        <v>20140327</v>
      </c>
      <c r="B7786" t="str">
        <f t="shared" si="462"/>
        <v>114912</v>
      </c>
      <c r="C7786" t="str">
        <f t="shared" si="463"/>
        <v>83878</v>
      </c>
      <c r="D7786" t="s">
        <v>1016</v>
      </c>
      <c r="E7786">
        <v>93.94</v>
      </c>
      <c r="F7786">
        <v>20140326</v>
      </c>
      <c r="G7786" t="s">
        <v>3120</v>
      </c>
      <c r="H7786" t="s">
        <v>1018</v>
      </c>
      <c r="I7786" t="s">
        <v>3121</v>
      </c>
    </row>
    <row r="7787" spans="1:9" x14ac:dyDescent="0.25">
      <c r="A7787">
        <v>20140327</v>
      </c>
      <c r="B7787" t="str">
        <f t="shared" si="462"/>
        <v>114912</v>
      </c>
      <c r="C7787" t="str">
        <f t="shared" si="463"/>
        <v>83878</v>
      </c>
      <c r="D7787" t="s">
        <v>1016</v>
      </c>
      <c r="E7787">
        <v>280.45</v>
      </c>
      <c r="F7787">
        <v>20140326</v>
      </c>
      <c r="G7787" t="s">
        <v>209</v>
      </c>
      <c r="H7787" t="s">
        <v>1018</v>
      </c>
      <c r="I7787" t="s">
        <v>25</v>
      </c>
    </row>
    <row r="7788" spans="1:9" x14ac:dyDescent="0.25">
      <c r="A7788">
        <v>20140327</v>
      </c>
      <c r="B7788" t="str">
        <f>"114913"</f>
        <v>114913</v>
      </c>
      <c r="C7788" t="str">
        <f>"16250"</f>
        <v>16250</v>
      </c>
      <c r="D7788" t="s">
        <v>3749</v>
      </c>
      <c r="E7788">
        <v>60</v>
      </c>
      <c r="F7788">
        <v>20140320</v>
      </c>
      <c r="G7788" t="s">
        <v>3743</v>
      </c>
      <c r="H7788" t="s">
        <v>765</v>
      </c>
      <c r="I7788" t="s">
        <v>61</v>
      </c>
    </row>
    <row r="7789" spans="1:9" x14ac:dyDescent="0.25">
      <c r="A7789">
        <v>20140327</v>
      </c>
      <c r="B7789" t="str">
        <f>"114914"</f>
        <v>114914</v>
      </c>
      <c r="C7789" t="str">
        <f>"87795"</f>
        <v>87795</v>
      </c>
      <c r="D7789" t="s">
        <v>3750</v>
      </c>
      <c r="E7789">
        <v>53.97</v>
      </c>
      <c r="F7789">
        <v>20140326</v>
      </c>
      <c r="G7789" t="s">
        <v>805</v>
      </c>
      <c r="H7789" t="s">
        <v>3751</v>
      </c>
      <c r="I7789" t="s">
        <v>38</v>
      </c>
    </row>
    <row r="7790" spans="1:9" x14ac:dyDescent="0.25">
      <c r="A7790">
        <v>20140327</v>
      </c>
      <c r="B7790" t="str">
        <f>"114915"</f>
        <v>114915</v>
      </c>
      <c r="C7790" t="str">
        <f>"16988"</f>
        <v>16988</v>
      </c>
      <c r="D7790" t="s">
        <v>510</v>
      </c>
      <c r="E7790">
        <v>499.34</v>
      </c>
      <c r="F7790">
        <v>20140324</v>
      </c>
      <c r="G7790" t="s">
        <v>496</v>
      </c>
      <c r="H7790" t="s">
        <v>414</v>
      </c>
      <c r="I7790" t="s">
        <v>21</v>
      </c>
    </row>
    <row r="7791" spans="1:9" x14ac:dyDescent="0.25">
      <c r="A7791">
        <v>20140327</v>
      </c>
      <c r="B7791" t="str">
        <f>"114915"</f>
        <v>114915</v>
      </c>
      <c r="C7791" t="str">
        <f>"16988"</f>
        <v>16988</v>
      </c>
      <c r="D7791" t="s">
        <v>510</v>
      </c>
      <c r="E7791">
        <v>725</v>
      </c>
      <c r="F7791">
        <v>20140325</v>
      </c>
      <c r="G7791" t="s">
        <v>511</v>
      </c>
      <c r="H7791" t="s">
        <v>1368</v>
      </c>
      <c r="I7791" t="s">
        <v>21</v>
      </c>
    </row>
    <row r="7792" spans="1:9" x14ac:dyDescent="0.25">
      <c r="A7792">
        <v>20140327</v>
      </c>
      <c r="B7792" t="str">
        <f>"114915"</f>
        <v>114915</v>
      </c>
      <c r="C7792" t="str">
        <f>"16988"</f>
        <v>16988</v>
      </c>
      <c r="D7792" t="s">
        <v>510</v>
      </c>
      <c r="E7792">
        <v>570.11</v>
      </c>
      <c r="F7792">
        <v>20140324</v>
      </c>
      <c r="G7792" t="s">
        <v>413</v>
      </c>
      <c r="H7792" t="s">
        <v>414</v>
      </c>
      <c r="I7792" t="s">
        <v>21</v>
      </c>
    </row>
    <row r="7793" spans="1:9" x14ac:dyDescent="0.25">
      <c r="A7793">
        <v>20140327</v>
      </c>
      <c r="B7793" t="str">
        <f>"114915"</f>
        <v>114915</v>
      </c>
      <c r="C7793" t="str">
        <f>"16988"</f>
        <v>16988</v>
      </c>
      <c r="D7793" t="s">
        <v>510</v>
      </c>
      <c r="E7793">
        <v>192.78</v>
      </c>
      <c r="F7793">
        <v>20140324</v>
      </c>
      <c r="G7793" t="s">
        <v>392</v>
      </c>
      <c r="H7793" t="s">
        <v>414</v>
      </c>
      <c r="I7793" t="s">
        <v>21</v>
      </c>
    </row>
    <row r="7794" spans="1:9" x14ac:dyDescent="0.25">
      <c r="A7794">
        <v>20140327</v>
      </c>
      <c r="B7794" t="str">
        <f>"114916"</f>
        <v>114916</v>
      </c>
      <c r="C7794" t="str">
        <f>"84398"</f>
        <v>84398</v>
      </c>
      <c r="D7794" t="s">
        <v>349</v>
      </c>
      <c r="E7794" s="1">
        <v>2697.56</v>
      </c>
      <c r="F7794">
        <v>20140326</v>
      </c>
      <c r="G7794" t="s">
        <v>331</v>
      </c>
      <c r="H7794" t="s">
        <v>3752</v>
      </c>
      <c r="I7794" t="s">
        <v>12</v>
      </c>
    </row>
    <row r="7795" spans="1:9" x14ac:dyDescent="0.25">
      <c r="A7795">
        <v>20140327</v>
      </c>
      <c r="B7795" t="str">
        <f>"114917"</f>
        <v>114917</v>
      </c>
      <c r="C7795" t="str">
        <f>"18025"</f>
        <v>18025</v>
      </c>
      <c r="D7795" t="s">
        <v>514</v>
      </c>
      <c r="E7795">
        <v>99.8</v>
      </c>
      <c r="F7795">
        <v>20140326</v>
      </c>
      <c r="G7795" t="s">
        <v>837</v>
      </c>
      <c r="H7795" t="s">
        <v>2336</v>
      </c>
      <c r="I7795" t="s">
        <v>21</v>
      </c>
    </row>
    <row r="7796" spans="1:9" x14ac:dyDescent="0.25">
      <c r="A7796">
        <v>20140327</v>
      </c>
      <c r="B7796" t="str">
        <f t="shared" ref="B7796:B7812" si="464">"114918"</f>
        <v>114918</v>
      </c>
      <c r="C7796" t="str">
        <f t="shared" ref="C7796:C7812" si="465">"18200"</f>
        <v>18200</v>
      </c>
      <c r="D7796" t="s">
        <v>516</v>
      </c>
      <c r="E7796">
        <v>114.12</v>
      </c>
      <c r="F7796">
        <v>20140325</v>
      </c>
      <c r="G7796" t="s">
        <v>456</v>
      </c>
      <c r="H7796" t="s">
        <v>488</v>
      </c>
      <c r="I7796" t="s">
        <v>21</v>
      </c>
    </row>
    <row r="7797" spans="1:9" x14ac:dyDescent="0.25">
      <c r="A7797">
        <v>20140327</v>
      </c>
      <c r="B7797" t="str">
        <f t="shared" si="464"/>
        <v>114918</v>
      </c>
      <c r="C7797" t="str">
        <f t="shared" si="465"/>
        <v>18200</v>
      </c>
      <c r="D7797" t="s">
        <v>516</v>
      </c>
      <c r="E7797">
        <v>432.37</v>
      </c>
      <c r="F7797">
        <v>20140325</v>
      </c>
      <c r="G7797" t="s">
        <v>456</v>
      </c>
      <c r="H7797" t="s">
        <v>488</v>
      </c>
      <c r="I7797" t="s">
        <v>21</v>
      </c>
    </row>
    <row r="7798" spans="1:9" x14ac:dyDescent="0.25">
      <c r="A7798">
        <v>20140327</v>
      </c>
      <c r="B7798" t="str">
        <f t="shared" si="464"/>
        <v>114918</v>
      </c>
      <c r="C7798" t="str">
        <f t="shared" si="465"/>
        <v>18200</v>
      </c>
      <c r="D7798" t="s">
        <v>516</v>
      </c>
      <c r="E7798">
        <v>465.6</v>
      </c>
      <c r="F7798">
        <v>20140325</v>
      </c>
      <c r="G7798" t="s">
        <v>456</v>
      </c>
      <c r="H7798" t="s">
        <v>488</v>
      </c>
      <c r="I7798" t="s">
        <v>21</v>
      </c>
    </row>
    <row r="7799" spans="1:9" x14ac:dyDescent="0.25">
      <c r="A7799">
        <v>20140327</v>
      </c>
      <c r="B7799" t="str">
        <f t="shared" si="464"/>
        <v>114918</v>
      </c>
      <c r="C7799" t="str">
        <f t="shared" si="465"/>
        <v>18200</v>
      </c>
      <c r="D7799" t="s">
        <v>516</v>
      </c>
      <c r="E7799">
        <v>698.65</v>
      </c>
      <c r="F7799">
        <v>20140325</v>
      </c>
      <c r="G7799" t="s">
        <v>457</v>
      </c>
      <c r="H7799" t="s">
        <v>488</v>
      </c>
      <c r="I7799" t="s">
        <v>21</v>
      </c>
    </row>
    <row r="7800" spans="1:9" x14ac:dyDescent="0.25">
      <c r="A7800">
        <v>20140327</v>
      </c>
      <c r="B7800" t="str">
        <f t="shared" si="464"/>
        <v>114918</v>
      </c>
      <c r="C7800" t="str">
        <f t="shared" si="465"/>
        <v>18200</v>
      </c>
      <c r="D7800" t="s">
        <v>516</v>
      </c>
      <c r="E7800">
        <v>484.35</v>
      </c>
      <c r="F7800">
        <v>20140325</v>
      </c>
      <c r="G7800" t="s">
        <v>458</v>
      </c>
      <c r="H7800" t="s">
        <v>488</v>
      </c>
      <c r="I7800" t="s">
        <v>21</v>
      </c>
    </row>
    <row r="7801" spans="1:9" x14ac:dyDescent="0.25">
      <c r="A7801">
        <v>20140327</v>
      </c>
      <c r="B7801" t="str">
        <f t="shared" si="464"/>
        <v>114918</v>
      </c>
      <c r="C7801" t="str">
        <f t="shared" si="465"/>
        <v>18200</v>
      </c>
      <c r="D7801" t="s">
        <v>516</v>
      </c>
      <c r="E7801">
        <v>446.12</v>
      </c>
      <c r="F7801">
        <v>20140325</v>
      </c>
      <c r="G7801" t="s">
        <v>458</v>
      </c>
      <c r="H7801" t="s">
        <v>488</v>
      </c>
      <c r="I7801" t="s">
        <v>21</v>
      </c>
    </row>
    <row r="7802" spans="1:9" x14ac:dyDescent="0.25">
      <c r="A7802">
        <v>20140327</v>
      </c>
      <c r="B7802" t="str">
        <f t="shared" si="464"/>
        <v>114918</v>
      </c>
      <c r="C7802" t="str">
        <f t="shared" si="465"/>
        <v>18200</v>
      </c>
      <c r="D7802" t="s">
        <v>516</v>
      </c>
      <c r="E7802">
        <v>348.12</v>
      </c>
      <c r="F7802">
        <v>20140325</v>
      </c>
      <c r="G7802" t="s">
        <v>460</v>
      </c>
      <c r="H7802" t="s">
        <v>488</v>
      </c>
      <c r="I7802" t="s">
        <v>21</v>
      </c>
    </row>
    <row r="7803" spans="1:9" x14ac:dyDescent="0.25">
      <c r="A7803">
        <v>20140327</v>
      </c>
      <c r="B7803" t="str">
        <f t="shared" si="464"/>
        <v>114918</v>
      </c>
      <c r="C7803" t="str">
        <f t="shared" si="465"/>
        <v>18200</v>
      </c>
      <c r="D7803" t="s">
        <v>516</v>
      </c>
      <c r="E7803">
        <v>28.49</v>
      </c>
      <c r="F7803">
        <v>20140325</v>
      </c>
      <c r="G7803" t="s">
        <v>460</v>
      </c>
      <c r="H7803" t="s">
        <v>488</v>
      </c>
      <c r="I7803" t="s">
        <v>21</v>
      </c>
    </row>
    <row r="7804" spans="1:9" x14ac:dyDescent="0.25">
      <c r="A7804">
        <v>20140327</v>
      </c>
      <c r="B7804" t="str">
        <f t="shared" si="464"/>
        <v>114918</v>
      </c>
      <c r="C7804" t="str">
        <f t="shared" si="465"/>
        <v>18200</v>
      </c>
      <c r="D7804" t="s">
        <v>516</v>
      </c>
      <c r="E7804">
        <v>144.94999999999999</v>
      </c>
      <c r="F7804">
        <v>20140325</v>
      </c>
      <c r="G7804" t="s">
        <v>461</v>
      </c>
      <c r="H7804" t="s">
        <v>488</v>
      </c>
      <c r="I7804" t="s">
        <v>21</v>
      </c>
    </row>
    <row r="7805" spans="1:9" x14ac:dyDescent="0.25">
      <c r="A7805">
        <v>20140327</v>
      </c>
      <c r="B7805" t="str">
        <f t="shared" si="464"/>
        <v>114918</v>
      </c>
      <c r="C7805" t="str">
        <f t="shared" si="465"/>
        <v>18200</v>
      </c>
      <c r="D7805" t="s">
        <v>516</v>
      </c>
      <c r="E7805">
        <v>98.49</v>
      </c>
      <c r="F7805">
        <v>20140325</v>
      </c>
      <c r="G7805" t="s">
        <v>461</v>
      </c>
      <c r="H7805" t="s">
        <v>488</v>
      </c>
      <c r="I7805" t="s">
        <v>21</v>
      </c>
    </row>
    <row r="7806" spans="1:9" x14ac:dyDescent="0.25">
      <c r="A7806">
        <v>20140327</v>
      </c>
      <c r="B7806" t="str">
        <f t="shared" si="464"/>
        <v>114918</v>
      </c>
      <c r="C7806" t="str">
        <f t="shared" si="465"/>
        <v>18200</v>
      </c>
      <c r="D7806" t="s">
        <v>516</v>
      </c>
      <c r="E7806">
        <v>690.99</v>
      </c>
      <c r="F7806">
        <v>20140325</v>
      </c>
      <c r="G7806" t="s">
        <v>461</v>
      </c>
      <c r="H7806" t="s">
        <v>488</v>
      </c>
      <c r="I7806" t="s">
        <v>21</v>
      </c>
    </row>
    <row r="7807" spans="1:9" x14ac:dyDescent="0.25">
      <c r="A7807">
        <v>20140327</v>
      </c>
      <c r="B7807" t="str">
        <f t="shared" si="464"/>
        <v>114918</v>
      </c>
      <c r="C7807" t="str">
        <f t="shared" si="465"/>
        <v>18200</v>
      </c>
      <c r="D7807" t="s">
        <v>516</v>
      </c>
      <c r="E7807">
        <v>71.489999999999995</v>
      </c>
      <c r="F7807">
        <v>20140325</v>
      </c>
      <c r="G7807" t="s">
        <v>463</v>
      </c>
      <c r="H7807" t="s">
        <v>488</v>
      </c>
      <c r="I7807" t="s">
        <v>21</v>
      </c>
    </row>
    <row r="7808" spans="1:9" x14ac:dyDescent="0.25">
      <c r="A7808">
        <v>20140327</v>
      </c>
      <c r="B7808" t="str">
        <f t="shared" si="464"/>
        <v>114918</v>
      </c>
      <c r="C7808" t="str">
        <f t="shared" si="465"/>
        <v>18200</v>
      </c>
      <c r="D7808" t="s">
        <v>516</v>
      </c>
      <c r="E7808">
        <v>28.49</v>
      </c>
      <c r="F7808">
        <v>20140325</v>
      </c>
      <c r="G7808" t="s">
        <v>463</v>
      </c>
      <c r="H7808" t="s">
        <v>488</v>
      </c>
      <c r="I7808" t="s">
        <v>21</v>
      </c>
    </row>
    <row r="7809" spans="1:9" x14ac:dyDescent="0.25">
      <c r="A7809">
        <v>20140327</v>
      </c>
      <c r="B7809" t="str">
        <f t="shared" si="464"/>
        <v>114918</v>
      </c>
      <c r="C7809" t="str">
        <f t="shared" si="465"/>
        <v>18200</v>
      </c>
      <c r="D7809" t="s">
        <v>516</v>
      </c>
      <c r="E7809">
        <v>172.12</v>
      </c>
      <c r="F7809">
        <v>20140325</v>
      </c>
      <c r="G7809" t="s">
        <v>463</v>
      </c>
      <c r="H7809" t="s">
        <v>488</v>
      </c>
      <c r="I7809" t="s">
        <v>21</v>
      </c>
    </row>
    <row r="7810" spans="1:9" x14ac:dyDescent="0.25">
      <c r="A7810">
        <v>20140327</v>
      </c>
      <c r="B7810" t="str">
        <f t="shared" si="464"/>
        <v>114918</v>
      </c>
      <c r="C7810" t="str">
        <f t="shared" si="465"/>
        <v>18200</v>
      </c>
      <c r="D7810" t="s">
        <v>516</v>
      </c>
      <c r="E7810">
        <v>38</v>
      </c>
      <c r="F7810">
        <v>20140325</v>
      </c>
      <c r="G7810" t="s">
        <v>464</v>
      </c>
      <c r="H7810" t="s">
        <v>488</v>
      </c>
      <c r="I7810" t="s">
        <v>21</v>
      </c>
    </row>
    <row r="7811" spans="1:9" x14ac:dyDescent="0.25">
      <c r="A7811">
        <v>20140327</v>
      </c>
      <c r="B7811" t="str">
        <f t="shared" si="464"/>
        <v>114918</v>
      </c>
      <c r="C7811" t="str">
        <f t="shared" si="465"/>
        <v>18200</v>
      </c>
      <c r="D7811" t="s">
        <v>516</v>
      </c>
      <c r="E7811">
        <v>166.12</v>
      </c>
      <c r="F7811">
        <v>20140325</v>
      </c>
      <c r="G7811" t="s">
        <v>464</v>
      </c>
      <c r="H7811" t="s">
        <v>488</v>
      </c>
      <c r="I7811" t="s">
        <v>21</v>
      </c>
    </row>
    <row r="7812" spans="1:9" x14ac:dyDescent="0.25">
      <c r="A7812">
        <v>20140327</v>
      </c>
      <c r="B7812" t="str">
        <f t="shared" si="464"/>
        <v>114918</v>
      </c>
      <c r="C7812" t="str">
        <f t="shared" si="465"/>
        <v>18200</v>
      </c>
      <c r="D7812" t="s">
        <v>516</v>
      </c>
      <c r="E7812">
        <v>47</v>
      </c>
      <c r="F7812">
        <v>20140325</v>
      </c>
      <c r="G7812" t="s">
        <v>1212</v>
      </c>
      <c r="H7812" t="s">
        <v>488</v>
      </c>
      <c r="I7812" t="s">
        <v>21</v>
      </c>
    </row>
    <row r="7813" spans="1:9" x14ac:dyDescent="0.25">
      <c r="A7813">
        <v>20140327</v>
      </c>
      <c r="B7813" t="str">
        <f>"114919"</f>
        <v>114919</v>
      </c>
      <c r="C7813" t="str">
        <f>"19875"</f>
        <v>19875</v>
      </c>
      <c r="D7813" t="s">
        <v>3374</v>
      </c>
      <c r="E7813" s="1">
        <v>3274.2</v>
      </c>
      <c r="F7813">
        <v>20140324</v>
      </c>
      <c r="G7813" t="s">
        <v>810</v>
      </c>
      <c r="H7813" t="s">
        <v>921</v>
      </c>
      <c r="I7813" t="s">
        <v>66</v>
      </c>
    </row>
    <row r="7814" spans="1:9" x14ac:dyDescent="0.25">
      <c r="A7814">
        <v>20140327</v>
      </c>
      <c r="B7814" t="str">
        <f>"114920"</f>
        <v>114920</v>
      </c>
      <c r="C7814" t="str">
        <f>"87732"</f>
        <v>87732</v>
      </c>
      <c r="D7814" t="s">
        <v>3284</v>
      </c>
      <c r="E7814">
        <v>53.19</v>
      </c>
      <c r="F7814">
        <v>20140324</v>
      </c>
      <c r="G7814" t="s">
        <v>810</v>
      </c>
      <c r="H7814" t="s">
        <v>365</v>
      </c>
      <c r="I7814" t="s">
        <v>66</v>
      </c>
    </row>
    <row r="7815" spans="1:9" x14ac:dyDescent="0.25">
      <c r="A7815">
        <v>20140327</v>
      </c>
      <c r="B7815" t="str">
        <f>"114921"</f>
        <v>114921</v>
      </c>
      <c r="C7815" t="str">
        <f>"81251"</f>
        <v>81251</v>
      </c>
      <c r="D7815" t="s">
        <v>1571</v>
      </c>
      <c r="E7815">
        <v>25.69</v>
      </c>
      <c r="F7815">
        <v>20140326</v>
      </c>
      <c r="G7815" t="s">
        <v>404</v>
      </c>
      <c r="H7815" t="s">
        <v>913</v>
      </c>
      <c r="I7815" t="s">
        <v>12</v>
      </c>
    </row>
    <row r="7816" spans="1:9" x14ac:dyDescent="0.25">
      <c r="A7816">
        <v>20140327</v>
      </c>
      <c r="B7816" t="str">
        <f>"114921"</f>
        <v>114921</v>
      </c>
      <c r="C7816" t="str">
        <f>"81251"</f>
        <v>81251</v>
      </c>
      <c r="D7816" t="s">
        <v>1571</v>
      </c>
      <c r="E7816">
        <v>52.12</v>
      </c>
      <c r="F7816">
        <v>20140326</v>
      </c>
      <c r="G7816" t="s">
        <v>410</v>
      </c>
      <c r="H7816" t="s">
        <v>3753</v>
      </c>
      <c r="I7816" t="s">
        <v>12</v>
      </c>
    </row>
    <row r="7817" spans="1:9" x14ac:dyDescent="0.25">
      <c r="A7817">
        <v>20140327</v>
      </c>
      <c r="B7817" t="str">
        <f>"114921"</f>
        <v>114921</v>
      </c>
      <c r="C7817" t="str">
        <f>"81251"</f>
        <v>81251</v>
      </c>
      <c r="D7817" t="s">
        <v>1571</v>
      </c>
      <c r="E7817">
        <v>56.03</v>
      </c>
      <c r="F7817">
        <v>20140326</v>
      </c>
      <c r="G7817" t="s">
        <v>202</v>
      </c>
      <c r="H7817" t="s">
        <v>3754</v>
      </c>
      <c r="I7817" t="s">
        <v>12</v>
      </c>
    </row>
    <row r="7818" spans="1:9" x14ac:dyDescent="0.25">
      <c r="A7818">
        <v>20140327</v>
      </c>
      <c r="B7818" t="str">
        <f>"114922"</f>
        <v>114922</v>
      </c>
      <c r="C7818" t="str">
        <f>"23827"</f>
        <v>23827</v>
      </c>
      <c r="D7818" t="s">
        <v>528</v>
      </c>
      <c r="E7818">
        <v>218.8</v>
      </c>
      <c r="F7818">
        <v>20140325</v>
      </c>
      <c r="G7818" t="s">
        <v>156</v>
      </c>
      <c r="H7818" t="s">
        <v>513</v>
      </c>
      <c r="I7818" t="s">
        <v>25</v>
      </c>
    </row>
    <row r="7819" spans="1:9" x14ac:dyDescent="0.25">
      <c r="A7819">
        <v>20140327</v>
      </c>
      <c r="B7819" t="str">
        <f>"114923"</f>
        <v>114923</v>
      </c>
      <c r="C7819" t="str">
        <f>"87786"</f>
        <v>87786</v>
      </c>
      <c r="D7819" t="s">
        <v>3651</v>
      </c>
      <c r="E7819">
        <v>55.44</v>
      </c>
      <c r="F7819">
        <v>20140324</v>
      </c>
      <c r="G7819" t="s">
        <v>1112</v>
      </c>
      <c r="H7819" t="s">
        <v>365</v>
      </c>
      <c r="I7819" t="s">
        <v>66</v>
      </c>
    </row>
    <row r="7820" spans="1:9" x14ac:dyDescent="0.25">
      <c r="A7820">
        <v>20140327</v>
      </c>
      <c r="B7820" t="str">
        <f>"114924"</f>
        <v>114924</v>
      </c>
      <c r="C7820" t="str">
        <f>"87528"</f>
        <v>87528</v>
      </c>
      <c r="D7820" t="s">
        <v>1048</v>
      </c>
      <c r="E7820">
        <v>630</v>
      </c>
      <c r="F7820">
        <v>20140326</v>
      </c>
      <c r="G7820" t="s">
        <v>1049</v>
      </c>
      <c r="H7820" t="s">
        <v>1050</v>
      </c>
      <c r="I7820" t="s">
        <v>21</v>
      </c>
    </row>
    <row r="7821" spans="1:9" x14ac:dyDescent="0.25">
      <c r="A7821">
        <v>20140327</v>
      </c>
      <c r="B7821" t="str">
        <f>"114925"</f>
        <v>114925</v>
      </c>
      <c r="C7821" t="str">
        <f>"87797"</f>
        <v>87797</v>
      </c>
      <c r="D7821" t="s">
        <v>3755</v>
      </c>
      <c r="E7821">
        <v>100</v>
      </c>
      <c r="F7821">
        <v>20140326</v>
      </c>
      <c r="G7821" t="s">
        <v>837</v>
      </c>
      <c r="H7821" t="s">
        <v>3756</v>
      </c>
      <c r="I7821" t="s">
        <v>21</v>
      </c>
    </row>
    <row r="7822" spans="1:9" x14ac:dyDescent="0.25">
      <c r="A7822">
        <v>20140327</v>
      </c>
      <c r="B7822" t="str">
        <f>"114926"</f>
        <v>114926</v>
      </c>
      <c r="C7822" t="str">
        <f>"83130"</f>
        <v>83130</v>
      </c>
      <c r="D7822" t="s">
        <v>3757</v>
      </c>
      <c r="E7822">
        <v>99</v>
      </c>
      <c r="F7822">
        <v>20140326</v>
      </c>
      <c r="G7822" t="s">
        <v>3430</v>
      </c>
      <c r="H7822" t="s">
        <v>765</v>
      </c>
      <c r="I7822" t="s">
        <v>61</v>
      </c>
    </row>
    <row r="7823" spans="1:9" x14ac:dyDescent="0.25">
      <c r="A7823">
        <v>20140327</v>
      </c>
      <c r="B7823" t="str">
        <f>"114927"</f>
        <v>114927</v>
      </c>
      <c r="C7823" t="str">
        <f>"25579"</f>
        <v>25579</v>
      </c>
      <c r="D7823" t="s">
        <v>3758</v>
      </c>
      <c r="E7823">
        <v>91.86</v>
      </c>
      <c r="F7823">
        <v>20140326</v>
      </c>
      <c r="G7823" t="s">
        <v>3430</v>
      </c>
      <c r="H7823" t="s">
        <v>765</v>
      </c>
      <c r="I7823" t="s">
        <v>61</v>
      </c>
    </row>
    <row r="7824" spans="1:9" x14ac:dyDescent="0.25">
      <c r="A7824">
        <v>20140327</v>
      </c>
      <c r="B7824" t="str">
        <f t="shared" ref="B7824:B7833" si="466">"114928"</f>
        <v>114928</v>
      </c>
      <c r="C7824" t="str">
        <f t="shared" ref="C7824:C7833" si="467">"26990"</f>
        <v>26990</v>
      </c>
      <c r="D7824" t="s">
        <v>548</v>
      </c>
      <c r="E7824">
        <v>80</v>
      </c>
      <c r="F7824">
        <v>20140326</v>
      </c>
      <c r="G7824" t="s">
        <v>1227</v>
      </c>
      <c r="H7824" t="s">
        <v>1054</v>
      </c>
      <c r="I7824" t="s">
        <v>21</v>
      </c>
    </row>
    <row r="7825" spans="1:9" x14ac:dyDescent="0.25">
      <c r="A7825">
        <v>20140327</v>
      </c>
      <c r="B7825" t="str">
        <f t="shared" si="466"/>
        <v>114928</v>
      </c>
      <c r="C7825" t="str">
        <f t="shared" si="467"/>
        <v>26990</v>
      </c>
      <c r="D7825" t="s">
        <v>548</v>
      </c>
      <c r="E7825">
        <v>40</v>
      </c>
      <c r="F7825">
        <v>20140326</v>
      </c>
      <c r="G7825" t="s">
        <v>3759</v>
      </c>
      <c r="H7825" t="s">
        <v>1054</v>
      </c>
      <c r="I7825" t="s">
        <v>21</v>
      </c>
    </row>
    <row r="7826" spans="1:9" x14ac:dyDescent="0.25">
      <c r="A7826">
        <v>20140327</v>
      </c>
      <c r="B7826" t="str">
        <f t="shared" si="466"/>
        <v>114928</v>
      </c>
      <c r="C7826" t="str">
        <f t="shared" si="467"/>
        <v>26990</v>
      </c>
      <c r="D7826" t="s">
        <v>548</v>
      </c>
      <c r="E7826">
        <v>40</v>
      </c>
      <c r="F7826">
        <v>20140326</v>
      </c>
      <c r="G7826" t="s">
        <v>1409</v>
      </c>
      <c r="H7826" t="s">
        <v>1054</v>
      </c>
      <c r="I7826" t="s">
        <v>21</v>
      </c>
    </row>
    <row r="7827" spans="1:9" x14ac:dyDescent="0.25">
      <c r="A7827">
        <v>20140327</v>
      </c>
      <c r="B7827" t="str">
        <f t="shared" si="466"/>
        <v>114928</v>
      </c>
      <c r="C7827" t="str">
        <f t="shared" si="467"/>
        <v>26990</v>
      </c>
      <c r="D7827" t="s">
        <v>548</v>
      </c>
      <c r="E7827">
        <v>40</v>
      </c>
      <c r="F7827">
        <v>20140326</v>
      </c>
      <c r="G7827" t="s">
        <v>1178</v>
      </c>
      <c r="H7827" t="s">
        <v>1054</v>
      </c>
      <c r="I7827" t="s">
        <v>21</v>
      </c>
    </row>
    <row r="7828" spans="1:9" x14ac:dyDescent="0.25">
      <c r="A7828">
        <v>20140327</v>
      </c>
      <c r="B7828" t="str">
        <f t="shared" si="466"/>
        <v>114928</v>
      </c>
      <c r="C7828" t="str">
        <f t="shared" si="467"/>
        <v>26990</v>
      </c>
      <c r="D7828" t="s">
        <v>548</v>
      </c>
      <c r="E7828">
        <v>40</v>
      </c>
      <c r="F7828">
        <v>20140326</v>
      </c>
      <c r="G7828" t="s">
        <v>364</v>
      </c>
      <c r="H7828" t="s">
        <v>1054</v>
      </c>
      <c r="I7828" t="s">
        <v>21</v>
      </c>
    </row>
    <row r="7829" spans="1:9" x14ac:dyDescent="0.25">
      <c r="A7829">
        <v>20140327</v>
      </c>
      <c r="B7829" t="str">
        <f t="shared" si="466"/>
        <v>114928</v>
      </c>
      <c r="C7829" t="str">
        <f t="shared" si="467"/>
        <v>26990</v>
      </c>
      <c r="D7829" t="s">
        <v>548</v>
      </c>
      <c r="E7829">
        <v>80</v>
      </c>
      <c r="F7829">
        <v>20140326</v>
      </c>
      <c r="G7829" t="s">
        <v>2432</v>
      </c>
      <c r="H7829" t="s">
        <v>1054</v>
      </c>
      <c r="I7829" t="s">
        <v>66</v>
      </c>
    </row>
    <row r="7830" spans="1:9" x14ac:dyDescent="0.25">
      <c r="A7830">
        <v>20140327</v>
      </c>
      <c r="B7830" t="str">
        <f t="shared" si="466"/>
        <v>114928</v>
      </c>
      <c r="C7830" t="str">
        <f t="shared" si="467"/>
        <v>26990</v>
      </c>
      <c r="D7830" t="s">
        <v>548</v>
      </c>
      <c r="E7830">
        <v>80</v>
      </c>
      <c r="F7830">
        <v>20140326</v>
      </c>
      <c r="G7830" t="s">
        <v>2432</v>
      </c>
      <c r="H7830" t="s">
        <v>1054</v>
      </c>
      <c r="I7830" t="s">
        <v>66</v>
      </c>
    </row>
    <row r="7831" spans="1:9" x14ac:dyDescent="0.25">
      <c r="A7831">
        <v>20140327</v>
      </c>
      <c r="B7831" t="str">
        <f t="shared" si="466"/>
        <v>114928</v>
      </c>
      <c r="C7831" t="str">
        <f t="shared" si="467"/>
        <v>26990</v>
      </c>
      <c r="D7831" t="s">
        <v>548</v>
      </c>
      <c r="E7831">
        <v>80</v>
      </c>
      <c r="F7831">
        <v>20140326</v>
      </c>
      <c r="G7831" t="s">
        <v>2432</v>
      </c>
      <c r="H7831" t="s">
        <v>1054</v>
      </c>
      <c r="I7831" t="s">
        <v>66</v>
      </c>
    </row>
    <row r="7832" spans="1:9" x14ac:dyDescent="0.25">
      <c r="A7832">
        <v>20140327</v>
      </c>
      <c r="B7832" t="str">
        <f t="shared" si="466"/>
        <v>114928</v>
      </c>
      <c r="C7832" t="str">
        <f t="shared" si="467"/>
        <v>26990</v>
      </c>
      <c r="D7832" t="s">
        <v>548</v>
      </c>
      <c r="E7832">
        <v>80</v>
      </c>
      <c r="F7832">
        <v>20140326</v>
      </c>
      <c r="G7832" t="s">
        <v>2432</v>
      </c>
      <c r="H7832" t="s">
        <v>1054</v>
      </c>
      <c r="I7832" t="s">
        <v>66</v>
      </c>
    </row>
    <row r="7833" spans="1:9" x14ac:dyDescent="0.25">
      <c r="A7833">
        <v>20140327</v>
      </c>
      <c r="B7833" t="str">
        <f t="shared" si="466"/>
        <v>114928</v>
      </c>
      <c r="C7833" t="str">
        <f t="shared" si="467"/>
        <v>26990</v>
      </c>
      <c r="D7833" t="s">
        <v>548</v>
      </c>
      <c r="E7833">
        <v>10</v>
      </c>
      <c r="F7833">
        <v>20140326</v>
      </c>
      <c r="G7833" t="s">
        <v>810</v>
      </c>
      <c r="H7833" t="s">
        <v>1054</v>
      </c>
      <c r="I7833" t="s">
        <v>66</v>
      </c>
    </row>
    <row r="7834" spans="1:9" x14ac:dyDescent="0.25">
      <c r="A7834">
        <v>20140327</v>
      </c>
      <c r="B7834" t="str">
        <f>"114929"</f>
        <v>114929</v>
      </c>
      <c r="C7834" t="str">
        <f>"28100"</f>
        <v>28100</v>
      </c>
      <c r="D7834" t="s">
        <v>2936</v>
      </c>
      <c r="E7834">
        <v>70</v>
      </c>
      <c r="F7834">
        <v>20140326</v>
      </c>
      <c r="G7834" t="s">
        <v>356</v>
      </c>
      <c r="H7834" t="s">
        <v>357</v>
      </c>
      <c r="I7834" t="s">
        <v>61</v>
      </c>
    </row>
    <row r="7835" spans="1:9" x14ac:dyDescent="0.25">
      <c r="A7835">
        <v>20140327</v>
      </c>
      <c r="B7835" t="str">
        <f>"114930"</f>
        <v>114930</v>
      </c>
      <c r="C7835" t="str">
        <f>"00653"</f>
        <v>00653</v>
      </c>
      <c r="D7835" t="s">
        <v>552</v>
      </c>
      <c r="E7835" s="1">
        <v>2853.6</v>
      </c>
      <c r="F7835">
        <v>20140326</v>
      </c>
      <c r="G7835" t="s">
        <v>124</v>
      </c>
      <c r="H7835" t="s">
        <v>553</v>
      </c>
      <c r="I7835" t="s">
        <v>38</v>
      </c>
    </row>
    <row r="7836" spans="1:9" x14ac:dyDescent="0.25">
      <c r="A7836">
        <v>20140327</v>
      </c>
      <c r="B7836" t="str">
        <f>"114931"</f>
        <v>114931</v>
      </c>
      <c r="C7836" t="str">
        <f>"29227"</f>
        <v>29227</v>
      </c>
      <c r="D7836" t="s">
        <v>1236</v>
      </c>
      <c r="E7836">
        <v>85.26</v>
      </c>
      <c r="F7836">
        <v>20140326</v>
      </c>
      <c r="G7836" t="s">
        <v>367</v>
      </c>
      <c r="H7836" t="s">
        <v>3760</v>
      </c>
      <c r="I7836" t="s">
        <v>21</v>
      </c>
    </row>
    <row r="7837" spans="1:9" x14ac:dyDescent="0.25">
      <c r="A7837">
        <v>20140327</v>
      </c>
      <c r="B7837" t="str">
        <f>"114931"</f>
        <v>114931</v>
      </c>
      <c r="C7837" t="str">
        <f>"29227"</f>
        <v>29227</v>
      </c>
      <c r="D7837" t="s">
        <v>1236</v>
      </c>
      <c r="E7837">
        <v>108.24</v>
      </c>
      <c r="F7837">
        <v>20140326</v>
      </c>
      <c r="G7837" t="s">
        <v>99</v>
      </c>
      <c r="H7837" t="s">
        <v>3760</v>
      </c>
      <c r="I7837" t="s">
        <v>21</v>
      </c>
    </row>
    <row r="7838" spans="1:9" x14ac:dyDescent="0.25">
      <c r="A7838">
        <v>20140327</v>
      </c>
      <c r="B7838" t="str">
        <f>"114931"</f>
        <v>114931</v>
      </c>
      <c r="C7838" t="str">
        <f>"29227"</f>
        <v>29227</v>
      </c>
      <c r="D7838" t="s">
        <v>1236</v>
      </c>
      <c r="E7838">
        <v>78.47</v>
      </c>
      <c r="F7838">
        <v>20140326</v>
      </c>
      <c r="G7838" t="s">
        <v>840</v>
      </c>
      <c r="H7838" t="s">
        <v>3760</v>
      </c>
      <c r="I7838" t="s">
        <v>21</v>
      </c>
    </row>
    <row r="7839" spans="1:9" x14ac:dyDescent="0.25">
      <c r="A7839">
        <v>20140327</v>
      </c>
      <c r="B7839" t="str">
        <f>"114932"</f>
        <v>114932</v>
      </c>
      <c r="C7839" t="str">
        <f>"30000"</f>
        <v>30000</v>
      </c>
      <c r="D7839" t="s">
        <v>556</v>
      </c>
      <c r="E7839">
        <v>128.96</v>
      </c>
      <c r="F7839">
        <v>20140324</v>
      </c>
      <c r="G7839" t="s">
        <v>828</v>
      </c>
      <c r="H7839" t="s">
        <v>3761</v>
      </c>
      <c r="I7839" t="s">
        <v>21</v>
      </c>
    </row>
    <row r="7840" spans="1:9" x14ac:dyDescent="0.25">
      <c r="A7840">
        <v>20140327</v>
      </c>
      <c r="B7840" t="str">
        <f>"114932"</f>
        <v>114932</v>
      </c>
      <c r="C7840" t="str">
        <f>"30000"</f>
        <v>30000</v>
      </c>
      <c r="D7840" t="s">
        <v>556</v>
      </c>
      <c r="E7840" s="1">
        <v>1000</v>
      </c>
      <c r="F7840">
        <v>20140326</v>
      </c>
      <c r="G7840" t="s">
        <v>3762</v>
      </c>
      <c r="H7840" t="s">
        <v>3763</v>
      </c>
      <c r="I7840" t="s">
        <v>21</v>
      </c>
    </row>
    <row r="7841" spans="1:9" x14ac:dyDescent="0.25">
      <c r="A7841">
        <v>20140327</v>
      </c>
      <c r="B7841" t="str">
        <f>"114932"</f>
        <v>114932</v>
      </c>
      <c r="C7841" t="str">
        <f>"30000"</f>
        <v>30000</v>
      </c>
      <c r="D7841" t="s">
        <v>556</v>
      </c>
      <c r="E7841">
        <v>480.39</v>
      </c>
      <c r="F7841">
        <v>20140326</v>
      </c>
      <c r="G7841" t="s">
        <v>3764</v>
      </c>
      <c r="H7841" t="s">
        <v>3763</v>
      </c>
      <c r="I7841" t="s">
        <v>21</v>
      </c>
    </row>
    <row r="7842" spans="1:9" x14ac:dyDescent="0.25">
      <c r="A7842">
        <v>20140327</v>
      </c>
      <c r="B7842" t="str">
        <f>"114932"</f>
        <v>114932</v>
      </c>
      <c r="C7842" t="str">
        <f>"30000"</f>
        <v>30000</v>
      </c>
      <c r="D7842" t="s">
        <v>556</v>
      </c>
      <c r="E7842">
        <v>41.2</v>
      </c>
      <c r="F7842">
        <v>20140326</v>
      </c>
      <c r="G7842" t="s">
        <v>137</v>
      </c>
      <c r="H7842" t="s">
        <v>3765</v>
      </c>
      <c r="I7842" t="s">
        <v>21</v>
      </c>
    </row>
    <row r="7843" spans="1:9" x14ac:dyDescent="0.25">
      <c r="A7843">
        <v>20140327</v>
      </c>
      <c r="B7843" t="str">
        <f>"114933"</f>
        <v>114933</v>
      </c>
      <c r="C7843" t="str">
        <f>"30125"</f>
        <v>30125</v>
      </c>
      <c r="D7843" t="s">
        <v>2509</v>
      </c>
      <c r="E7843">
        <v>99.5</v>
      </c>
      <c r="F7843">
        <v>20140326</v>
      </c>
      <c r="G7843" t="s">
        <v>2622</v>
      </c>
      <c r="H7843" t="s">
        <v>3766</v>
      </c>
      <c r="I7843" t="s">
        <v>21</v>
      </c>
    </row>
    <row r="7844" spans="1:9" x14ac:dyDescent="0.25">
      <c r="A7844">
        <v>20140327</v>
      </c>
      <c r="B7844" t="str">
        <f>"114934"</f>
        <v>114934</v>
      </c>
      <c r="C7844" t="str">
        <f>"30627"</f>
        <v>30627</v>
      </c>
      <c r="D7844" t="s">
        <v>3767</v>
      </c>
      <c r="E7844">
        <v>55</v>
      </c>
      <c r="F7844">
        <v>20140324</v>
      </c>
      <c r="G7844" t="s">
        <v>3430</v>
      </c>
      <c r="H7844" t="s">
        <v>765</v>
      </c>
      <c r="I7844" t="s">
        <v>61</v>
      </c>
    </row>
    <row r="7845" spans="1:9" x14ac:dyDescent="0.25">
      <c r="A7845">
        <v>20140327</v>
      </c>
      <c r="B7845" t="str">
        <f>"114935"</f>
        <v>114935</v>
      </c>
      <c r="C7845" t="str">
        <f>"87793"</f>
        <v>87793</v>
      </c>
      <c r="D7845" t="s">
        <v>3768</v>
      </c>
      <c r="E7845" s="1">
        <v>1200</v>
      </c>
      <c r="F7845">
        <v>20140324</v>
      </c>
      <c r="G7845" t="s">
        <v>159</v>
      </c>
      <c r="H7845" t="s">
        <v>3047</v>
      </c>
      <c r="I7845" t="s">
        <v>25</v>
      </c>
    </row>
    <row r="7846" spans="1:9" x14ac:dyDescent="0.25">
      <c r="A7846">
        <v>20140327</v>
      </c>
      <c r="B7846" t="str">
        <f>"114936"</f>
        <v>114936</v>
      </c>
      <c r="C7846" t="str">
        <f>"30960"</f>
        <v>30960</v>
      </c>
      <c r="D7846" t="s">
        <v>3769</v>
      </c>
      <c r="E7846">
        <v>100</v>
      </c>
      <c r="F7846">
        <v>20140324</v>
      </c>
      <c r="G7846" t="s">
        <v>3430</v>
      </c>
      <c r="H7846" t="s">
        <v>765</v>
      </c>
      <c r="I7846" t="s">
        <v>61</v>
      </c>
    </row>
    <row r="7847" spans="1:9" x14ac:dyDescent="0.25">
      <c r="A7847">
        <v>20140327</v>
      </c>
      <c r="B7847" t="str">
        <f>"114937"</f>
        <v>114937</v>
      </c>
      <c r="C7847" t="str">
        <f>"31970"</f>
        <v>31970</v>
      </c>
      <c r="D7847" t="s">
        <v>3770</v>
      </c>
      <c r="E7847">
        <v>70.92</v>
      </c>
      <c r="F7847">
        <v>20140320</v>
      </c>
      <c r="G7847" t="s">
        <v>3743</v>
      </c>
      <c r="H7847" t="s">
        <v>765</v>
      </c>
      <c r="I7847" t="s">
        <v>61</v>
      </c>
    </row>
    <row r="7848" spans="1:9" x14ac:dyDescent="0.25">
      <c r="A7848">
        <v>20140327</v>
      </c>
      <c r="B7848" t="str">
        <f>"114938"</f>
        <v>114938</v>
      </c>
      <c r="C7848" t="str">
        <f>"87495"</f>
        <v>87495</v>
      </c>
      <c r="D7848" t="s">
        <v>859</v>
      </c>
      <c r="E7848">
        <v>341.81</v>
      </c>
      <c r="F7848">
        <v>20140324</v>
      </c>
      <c r="G7848" t="s">
        <v>3771</v>
      </c>
      <c r="H7848" t="s">
        <v>354</v>
      </c>
      <c r="I7848" t="s">
        <v>21</v>
      </c>
    </row>
    <row r="7849" spans="1:9" x14ac:dyDescent="0.25">
      <c r="A7849">
        <v>20140327</v>
      </c>
      <c r="B7849" t="str">
        <f>"114938"</f>
        <v>114938</v>
      </c>
      <c r="C7849" t="str">
        <f>"87495"</f>
        <v>87495</v>
      </c>
      <c r="D7849" t="s">
        <v>859</v>
      </c>
      <c r="E7849">
        <v>62.1</v>
      </c>
      <c r="F7849">
        <v>20140326</v>
      </c>
      <c r="G7849" t="s">
        <v>3771</v>
      </c>
      <c r="H7849" t="s">
        <v>354</v>
      </c>
      <c r="I7849" t="s">
        <v>21</v>
      </c>
    </row>
    <row r="7850" spans="1:9" x14ac:dyDescent="0.25">
      <c r="A7850">
        <v>20140327</v>
      </c>
      <c r="B7850" t="str">
        <f>"114939"</f>
        <v>114939</v>
      </c>
      <c r="C7850" t="str">
        <f>"86817"</f>
        <v>86817</v>
      </c>
      <c r="D7850" t="s">
        <v>3296</v>
      </c>
      <c r="E7850">
        <v>286.2</v>
      </c>
      <c r="F7850">
        <v>20140326</v>
      </c>
      <c r="G7850" t="s">
        <v>3099</v>
      </c>
      <c r="H7850" t="s">
        <v>765</v>
      </c>
      <c r="I7850" t="s">
        <v>61</v>
      </c>
    </row>
    <row r="7851" spans="1:9" x14ac:dyDescent="0.25">
      <c r="A7851">
        <v>20140327</v>
      </c>
      <c r="B7851" t="str">
        <f>"114939"</f>
        <v>114939</v>
      </c>
      <c r="C7851" t="str">
        <f>"86817"</f>
        <v>86817</v>
      </c>
      <c r="D7851" t="s">
        <v>3296</v>
      </c>
      <c r="E7851">
        <v>146.19999999999999</v>
      </c>
      <c r="F7851">
        <v>20140326</v>
      </c>
      <c r="G7851" t="s">
        <v>3099</v>
      </c>
      <c r="H7851" t="s">
        <v>765</v>
      </c>
      <c r="I7851" t="s">
        <v>61</v>
      </c>
    </row>
    <row r="7852" spans="1:9" x14ac:dyDescent="0.25">
      <c r="A7852">
        <v>20140327</v>
      </c>
      <c r="B7852" t="str">
        <f>"114940"</f>
        <v>114940</v>
      </c>
      <c r="C7852" t="str">
        <f>"83128"</f>
        <v>83128</v>
      </c>
      <c r="D7852" t="s">
        <v>3772</v>
      </c>
      <c r="E7852">
        <v>141.1</v>
      </c>
      <c r="F7852">
        <v>20140320</v>
      </c>
      <c r="G7852" t="s">
        <v>3099</v>
      </c>
      <c r="H7852" t="s">
        <v>765</v>
      </c>
      <c r="I7852" t="s">
        <v>61</v>
      </c>
    </row>
    <row r="7853" spans="1:9" x14ac:dyDescent="0.25">
      <c r="A7853">
        <v>20140327</v>
      </c>
      <c r="B7853" t="str">
        <f>"114940"</f>
        <v>114940</v>
      </c>
      <c r="C7853" t="str">
        <f>"83128"</f>
        <v>83128</v>
      </c>
      <c r="D7853" t="s">
        <v>3772</v>
      </c>
      <c r="E7853">
        <v>252.8</v>
      </c>
      <c r="F7853">
        <v>20140326</v>
      </c>
      <c r="G7853" t="s">
        <v>3099</v>
      </c>
      <c r="H7853" t="s">
        <v>765</v>
      </c>
      <c r="I7853" t="s">
        <v>61</v>
      </c>
    </row>
    <row r="7854" spans="1:9" x14ac:dyDescent="0.25">
      <c r="A7854">
        <v>20140327</v>
      </c>
      <c r="B7854" t="str">
        <f>"114941"</f>
        <v>114941</v>
      </c>
      <c r="C7854" t="str">
        <f>"82929"</f>
        <v>82929</v>
      </c>
      <c r="D7854" t="s">
        <v>3773</v>
      </c>
      <c r="E7854">
        <v>445</v>
      </c>
      <c r="F7854">
        <v>20140324</v>
      </c>
      <c r="G7854" t="s">
        <v>176</v>
      </c>
      <c r="H7854" t="s">
        <v>921</v>
      </c>
      <c r="I7854" t="s">
        <v>25</v>
      </c>
    </row>
    <row r="7855" spans="1:9" x14ac:dyDescent="0.25">
      <c r="A7855">
        <v>20140327</v>
      </c>
      <c r="B7855" t="str">
        <f>"114942"</f>
        <v>114942</v>
      </c>
      <c r="C7855" t="str">
        <f>"83064"</f>
        <v>83064</v>
      </c>
      <c r="D7855" t="s">
        <v>1760</v>
      </c>
      <c r="E7855">
        <v>107.1</v>
      </c>
      <c r="F7855">
        <v>20140325</v>
      </c>
      <c r="G7855" t="s">
        <v>1145</v>
      </c>
      <c r="H7855" t="s">
        <v>365</v>
      </c>
      <c r="I7855" t="s">
        <v>73</v>
      </c>
    </row>
    <row r="7856" spans="1:9" x14ac:dyDescent="0.25">
      <c r="A7856">
        <v>20140327</v>
      </c>
      <c r="B7856" t="str">
        <f>"114943"</f>
        <v>114943</v>
      </c>
      <c r="C7856" t="str">
        <f>"84904"</f>
        <v>84904</v>
      </c>
      <c r="D7856" t="s">
        <v>2855</v>
      </c>
      <c r="E7856">
        <v>150</v>
      </c>
      <c r="F7856">
        <v>20140326</v>
      </c>
      <c r="G7856" t="s">
        <v>1759</v>
      </c>
      <c r="H7856" t="s">
        <v>357</v>
      </c>
      <c r="I7856" t="s">
        <v>61</v>
      </c>
    </row>
    <row r="7857" spans="1:9" x14ac:dyDescent="0.25">
      <c r="A7857">
        <v>20140327</v>
      </c>
      <c r="B7857" t="str">
        <f>"114944"</f>
        <v>114944</v>
      </c>
      <c r="C7857" t="str">
        <f>"84904"</f>
        <v>84904</v>
      </c>
      <c r="D7857" t="s">
        <v>2855</v>
      </c>
      <c r="E7857">
        <v>150</v>
      </c>
      <c r="F7857">
        <v>20140326</v>
      </c>
      <c r="G7857" t="s">
        <v>1759</v>
      </c>
      <c r="H7857" t="s">
        <v>357</v>
      </c>
      <c r="I7857" t="s">
        <v>61</v>
      </c>
    </row>
    <row r="7858" spans="1:9" x14ac:dyDescent="0.25">
      <c r="A7858">
        <v>20140327</v>
      </c>
      <c r="B7858" t="str">
        <f>"114945"</f>
        <v>114945</v>
      </c>
      <c r="C7858" t="str">
        <f>"40448"</f>
        <v>40448</v>
      </c>
      <c r="D7858" t="s">
        <v>613</v>
      </c>
      <c r="E7858">
        <v>150</v>
      </c>
      <c r="F7858">
        <v>20140324</v>
      </c>
      <c r="G7858" t="s">
        <v>340</v>
      </c>
      <c r="H7858" t="s">
        <v>1452</v>
      </c>
      <c r="I7858" t="s">
        <v>21</v>
      </c>
    </row>
    <row r="7859" spans="1:9" x14ac:dyDescent="0.25">
      <c r="A7859">
        <v>20140327</v>
      </c>
      <c r="B7859" t="str">
        <f>"114945"</f>
        <v>114945</v>
      </c>
      <c r="C7859" t="str">
        <f>"40448"</f>
        <v>40448</v>
      </c>
      <c r="D7859" t="s">
        <v>613</v>
      </c>
      <c r="E7859">
        <v>150</v>
      </c>
      <c r="F7859">
        <v>20140324</v>
      </c>
      <c r="G7859" t="s">
        <v>340</v>
      </c>
      <c r="H7859" t="s">
        <v>1452</v>
      </c>
      <c r="I7859" t="s">
        <v>21</v>
      </c>
    </row>
    <row r="7860" spans="1:9" x14ac:dyDescent="0.25">
      <c r="A7860">
        <v>20140327</v>
      </c>
      <c r="B7860" t="str">
        <f>"114945"</f>
        <v>114945</v>
      </c>
      <c r="C7860" t="str">
        <f>"40448"</f>
        <v>40448</v>
      </c>
      <c r="D7860" t="s">
        <v>613</v>
      </c>
      <c r="E7860" s="1">
        <v>3400.2</v>
      </c>
      <c r="F7860">
        <v>20140324</v>
      </c>
      <c r="G7860" t="s">
        <v>340</v>
      </c>
      <c r="H7860" t="s">
        <v>3774</v>
      </c>
      <c r="I7860" t="s">
        <v>21</v>
      </c>
    </row>
    <row r="7861" spans="1:9" x14ac:dyDescent="0.25">
      <c r="A7861">
        <v>20140327</v>
      </c>
      <c r="B7861" t="str">
        <f>"114946"</f>
        <v>114946</v>
      </c>
      <c r="C7861" t="str">
        <f>"87302"</f>
        <v>87302</v>
      </c>
      <c r="D7861" t="s">
        <v>3775</v>
      </c>
      <c r="E7861">
        <v>50.84</v>
      </c>
      <c r="F7861">
        <v>20140320</v>
      </c>
      <c r="G7861" t="s">
        <v>3743</v>
      </c>
      <c r="H7861" t="s">
        <v>765</v>
      </c>
      <c r="I7861" t="s">
        <v>61</v>
      </c>
    </row>
    <row r="7862" spans="1:9" x14ac:dyDescent="0.25">
      <c r="A7862">
        <v>20140327</v>
      </c>
      <c r="B7862" t="str">
        <f>"114947"</f>
        <v>114947</v>
      </c>
      <c r="C7862" t="str">
        <f>"00267"</f>
        <v>00267</v>
      </c>
      <c r="D7862" t="s">
        <v>2000</v>
      </c>
      <c r="E7862" s="1">
        <v>2005.68</v>
      </c>
      <c r="F7862">
        <v>20140324</v>
      </c>
      <c r="G7862" t="s">
        <v>2432</v>
      </c>
      <c r="H7862" t="s">
        <v>921</v>
      </c>
      <c r="I7862" t="s">
        <v>66</v>
      </c>
    </row>
    <row r="7863" spans="1:9" x14ac:dyDescent="0.25">
      <c r="A7863">
        <v>20140327</v>
      </c>
      <c r="B7863" t="str">
        <f>"114948"</f>
        <v>114948</v>
      </c>
      <c r="C7863" t="str">
        <f>"82732"</f>
        <v>82732</v>
      </c>
      <c r="D7863" t="s">
        <v>1453</v>
      </c>
      <c r="E7863">
        <v>280</v>
      </c>
      <c r="F7863">
        <v>20140326</v>
      </c>
      <c r="G7863" t="s">
        <v>1454</v>
      </c>
      <c r="H7863" t="s">
        <v>1455</v>
      </c>
      <c r="I7863" t="s">
        <v>21</v>
      </c>
    </row>
    <row r="7864" spans="1:9" x14ac:dyDescent="0.25">
      <c r="A7864">
        <v>20140327</v>
      </c>
      <c r="B7864" t="str">
        <f>"114949"</f>
        <v>114949</v>
      </c>
      <c r="C7864" t="str">
        <f>"80940"</f>
        <v>80940</v>
      </c>
      <c r="D7864" t="s">
        <v>3675</v>
      </c>
      <c r="E7864">
        <v>130.71</v>
      </c>
      <c r="F7864">
        <v>20140324</v>
      </c>
      <c r="G7864" t="s">
        <v>3430</v>
      </c>
      <c r="H7864" t="s">
        <v>765</v>
      </c>
      <c r="I7864" t="s">
        <v>61</v>
      </c>
    </row>
    <row r="7865" spans="1:9" x14ac:dyDescent="0.25">
      <c r="A7865">
        <v>20140327</v>
      </c>
      <c r="B7865" t="str">
        <f>"114950"</f>
        <v>114950</v>
      </c>
      <c r="C7865" t="str">
        <f>"43210"</f>
        <v>43210</v>
      </c>
      <c r="D7865" t="s">
        <v>3677</v>
      </c>
      <c r="E7865">
        <v>175.71</v>
      </c>
      <c r="F7865">
        <v>20140324</v>
      </c>
      <c r="G7865" t="s">
        <v>3430</v>
      </c>
      <c r="H7865" t="s">
        <v>765</v>
      </c>
      <c r="I7865" t="s">
        <v>61</v>
      </c>
    </row>
    <row r="7866" spans="1:9" x14ac:dyDescent="0.25">
      <c r="A7866">
        <v>20140327</v>
      </c>
      <c r="B7866" t="str">
        <f>"114951"</f>
        <v>114951</v>
      </c>
      <c r="C7866" t="str">
        <f>"87768"</f>
        <v>87768</v>
      </c>
      <c r="D7866" t="s">
        <v>3501</v>
      </c>
      <c r="E7866">
        <v>149.06</v>
      </c>
      <c r="F7866">
        <v>20140320</v>
      </c>
      <c r="G7866" t="s">
        <v>3099</v>
      </c>
      <c r="H7866" t="s">
        <v>765</v>
      </c>
      <c r="I7866" t="s">
        <v>61</v>
      </c>
    </row>
    <row r="7867" spans="1:9" x14ac:dyDescent="0.25">
      <c r="A7867">
        <v>20140327</v>
      </c>
      <c r="B7867" t="str">
        <f>"114952"</f>
        <v>114952</v>
      </c>
      <c r="C7867" t="str">
        <f>"81144"</f>
        <v>81144</v>
      </c>
      <c r="D7867" t="s">
        <v>3776</v>
      </c>
      <c r="E7867">
        <v>43.75</v>
      </c>
      <c r="F7867">
        <v>20140325</v>
      </c>
      <c r="G7867" t="s">
        <v>583</v>
      </c>
      <c r="H7867" t="s">
        <v>354</v>
      </c>
      <c r="I7867" t="s">
        <v>21</v>
      </c>
    </row>
    <row r="7868" spans="1:9" x14ac:dyDescent="0.25">
      <c r="A7868">
        <v>20140327</v>
      </c>
      <c r="B7868" t="str">
        <f>"114953"</f>
        <v>114953</v>
      </c>
      <c r="C7868" t="str">
        <f>"82185"</f>
        <v>82185</v>
      </c>
      <c r="D7868" t="s">
        <v>3565</v>
      </c>
      <c r="E7868">
        <v>379.62</v>
      </c>
      <c r="F7868">
        <v>20140326</v>
      </c>
      <c r="G7868" t="s">
        <v>356</v>
      </c>
      <c r="H7868" t="s">
        <v>357</v>
      </c>
      <c r="I7868" t="s">
        <v>61</v>
      </c>
    </row>
    <row r="7869" spans="1:9" x14ac:dyDescent="0.25">
      <c r="A7869">
        <v>20140327</v>
      </c>
      <c r="B7869" t="str">
        <f>"114954"</f>
        <v>114954</v>
      </c>
      <c r="C7869" t="str">
        <f>"84239"</f>
        <v>84239</v>
      </c>
      <c r="D7869" t="s">
        <v>632</v>
      </c>
      <c r="E7869">
        <v>436</v>
      </c>
      <c r="F7869">
        <v>20140324</v>
      </c>
      <c r="G7869" t="s">
        <v>337</v>
      </c>
      <c r="H7869" t="s">
        <v>634</v>
      </c>
      <c r="I7869" t="s">
        <v>21</v>
      </c>
    </row>
    <row r="7870" spans="1:9" x14ac:dyDescent="0.25">
      <c r="A7870">
        <v>20140327</v>
      </c>
      <c r="B7870" t="str">
        <f>"114955"</f>
        <v>114955</v>
      </c>
      <c r="C7870" t="str">
        <f>"48820"</f>
        <v>48820</v>
      </c>
      <c r="D7870" t="s">
        <v>1106</v>
      </c>
      <c r="E7870">
        <v>101.95</v>
      </c>
      <c r="F7870">
        <v>20140324</v>
      </c>
      <c r="G7870" t="s">
        <v>1067</v>
      </c>
      <c r="H7870" t="s">
        <v>354</v>
      </c>
      <c r="I7870" t="s">
        <v>21</v>
      </c>
    </row>
    <row r="7871" spans="1:9" x14ac:dyDescent="0.25">
      <c r="A7871">
        <v>20140327</v>
      </c>
      <c r="B7871" t="str">
        <f>"114955"</f>
        <v>114955</v>
      </c>
      <c r="C7871" t="str">
        <f>"48820"</f>
        <v>48820</v>
      </c>
      <c r="D7871" t="s">
        <v>1106</v>
      </c>
      <c r="E7871">
        <v>173.46</v>
      </c>
      <c r="F7871">
        <v>20140326</v>
      </c>
      <c r="G7871" t="s">
        <v>209</v>
      </c>
      <c r="H7871" t="s">
        <v>354</v>
      </c>
      <c r="I7871" t="s">
        <v>25</v>
      </c>
    </row>
    <row r="7872" spans="1:9" x14ac:dyDescent="0.25">
      <c r="A7872">
        <v>20140327</v>
      </c>
      <c r="B7872" t="str">
        <f>"114956"</f>
        <v>114956</v>
      </c>
      <c r="C7872" t="str">
        <f>"87404"</f>
        <v>87404</v>
      </c>
      <c r="D7872" t="s">
        <v>1108</v>
      </c>
      <c r="E7872">
        <v>3.87</v>
      </c>
      <c r="F7872">
        <v>20140324</v>
      </c>
      <c r="G7872" t="s">
        <v>426</v>
      </c>
      <c r="H7872" t="s">
        <v>968</v>
      </c>
      <c r="I7872" t="s">
        <v>21</v>
      </c>
    </row>
    <row r="7873" spans="1:9" x14ac:dyDescent="0.25">
      <c r="A7873">
        <v>20140327</v>
      </c>
      <c r="B7873" t="str">
        <f>"114956"</f>
        <v>114956</v>
      </c>
      <c r="C7873" t="str">
        <f>"87404"</f>
        <v>87404</v>
      </c>
      <c r="D7873" t="s">
        <v>1108</v>
      </c>
      <c r="E7873">
        <v>2.3199999999999998</v>
      </c>
      <c r="F7873">
        <v>20140324</v>
      </c>
      <c r="G7873" t="s">
        <v>426</v>
      </c>
      <c r="H7873" t="s">
        <v>968</v>
      </c>
      <c r="I7873" t="s">
        <v>21</v>
      </c>
    </row>
    <row r="7874" spans="1:9" x14ac:dyDescent="0.25">
      <c r="A7874">
        <v>20140327</v>
      </c>
      <c r="B7874" t="str">
        <f>"114957"</f>
        <v>114957</v>
      </c>
      <c r="C7874" t="str">
        <f>"87489"</f>
        <v>87489</v>
      </c>
      <c r="D7874" t="s">
        <v>912</v>
      </c>
      <c r="E7874">
        <v>784.8</v>
      </c>
      <c r="F7874">
        <v>20140326</v>
      </c>
      <c r="G7874" t="s">
        <v>404</v>
      </c>
      <c r="H7874" t="s">
        <v>913</v>
      </c>
      <c r="I7874" t="s">
        <v>12</v>
      </c>
    </row>
    <row r="7875" spans="1:9" x14ac:dyDescent="0.25">
      <c r="A7875">
        <v>20140327</v>
      </c>
      <c r="B7875" t="str">
        <f>"114958"</f>
        <v>114958</v>
      </c>
      <c r="C7875" t="str">
        <f>"85760"</f>
        <v>85760</v>
      </c>
      <c r="D7875" t="s">
        <v>1485</v>
      </c>
      <c r="E7875">
        <v>6</v>
      </c>
      <c r="F7875">
        <v>20140324</v>
      </c>
      <c r="G7875" t="s">
        <v>415</v>
      </c>
      <c r="H7875" t="s">
        <v>414</v>
      </c>
      <c r="I7875" t="s">
        <v>21</v>
      </c>
    </row>
    <row r="7876" spans="1:9" x14ac:dyDescent="0.25">
      <c r="A7876">
        <v>20140327</v>
      </c>
      <c r="B7876" t="str">
        <f>"114959"</f>
        <v>114959</v>
      </c>
      <c r="C7876" t="str">
        <f>"49845"</f>
        <v>49845</v>
      </c>
      <c r="D7876" t="s">
        <v>644</v>
      </c>
      <c r="E7876">
        <v>20</v>
      </c>
      <c r="F7876">
        <v>20140325</v>
      </c>
      <c r="G7876" t="s">
        <v>415</v>
      </c>
      <c r="H7876" t="s">
        <v>3777</v>
      </c>
      <c r="I7876" t="s">
        <v>21</v>
      </c>
    </row>
    <row r="7877" spans="1:9" x14ac:dyDescent="0.25">
      <c r="A7877">
        <v>20140327</v>
      </c>
      <c r="B7877" t="str">
        <f>"114960"</f>
        <v>114960</v>
      </c>
      <c r="C7877" t="str">
        <f>"85984"</f>
        <v>85984</v>
      </c>
      <c r="D7877" t="s">
        <v>2013</v>
      </c>
      <c r="E7877">
        <v>4.5599999999999996</v>
      </c>
      <c r="F7877">
        <v>20140326</v>
      </c>
      <c r="G7877" t="s">
        <v>426</v>
      </c>
      <c r="H7877" t="s">
        <v>968</v>
      </c>
      <c r="I7877" t="s">
        <v>21</v>
      </c>
    </row>
    <row r="7878" spans="1:9" x14ac:dyDescent="0.25">
      <c r="A7878">
        <v>20140327</v>
      </c>
      <c r="B7878" t="str">
        <f>"114961"</f>
        <v>114961</v>
      </c>
      <c r="C7878" t="str">
        <f>"55675"</f>
        <v>55675</v>
      </c>
      <c r="D7878" t="s">
        <v>1114</v>
      </c>
      <c r="E7878">
        <v>48.99</v>
      </c>
      <c r="F7878">
        <v>20140326</v>
      </c>
      <c r="G7878" t="s">
        <v>2122</v>
      </c>
      <c r="H7878" t="s">
        <v>1788</v>
      </c>
      <c r="I7878" t="s">
        <v>21</v>
      </c>
    </row>
    <row r="7879" spans="1:9" x14ac:dyDescent="0.25">
      <c r="A7879">
        <v>20140327</v>
      </c>
      <c r="B7879" t="str">
        <f>"114962"</f>
        <v>114962</v>
      </c>
      <c r="C7879" t="str">
        <f>"86946"</f>
        <v>86946</v>
      </c>
      <c r="D7879" t="s">
        <v>933</v>
      </c>
      <c r="E7879">
        <v>213.42</v>
      </c>
      <c r="F7879">
        <v>20140324</v>
      </c>
      <c r="G7879" t="s">
        <v>36</v>
      </c>
      <c r="H7879" t="s">
        <v>354</v>
      </c>
      <c r="I7879" t="s">
        <v>38</v>
      </c>
    </row>
    <row r="7880" spans="1:9" x14ac:dyDescent="0.25">
      <c r="A7880">
        <v>20140327</v>
      </c>
      <c r="B7880" t="str">
        <f>"114963"</f>
        <v>114963</v>
      </c>
      <c r="C7880" t="str">
        <f>"86964"</f>
        <v>86964</v>
      </c>
      <c r="D7880" t="s">
        <v>1280</v>
      </c>
      <c r="E7880">
        <v>437.25</v>
      </c>
      <c r="F7880">
        <v>20140326</v>
      </c>
      <c r="G7880" t="s">
        <v>1067</v>
      </c>
      <c r="H7880" t="s">
        <v>3778</v>
      </c>
      <c r="I7880" t="s">
        <v>21</v>
      </c>
    </row>
    <row r="7881" spans="1:9" x14ac:dyDescent="0.25">
      <c r="A7881">
        <v>20140327</v>
      </c>
      <c r="B7881" t="str">
        <f>"114964"</f>
        <v>114964</v>
      </c>
      <c r="C7881" t="str">
        <f>"59303"</f>
        <v>59303</v>
      </c>
      <c r="D7881" t="s">
        <v>2557</v>
      </c>
      <c r="E7881">
        <v>330.91</v>
      </c>
      <c r="F7881">
        <v>20140324</v>
      </c>
      <c r="G7881" t="s">
        <v>415</v>
      </c>
      <c r="H7881" t="s">
        <v>414</v>
      </c>
      <c r="I7881" t="s">
        <v>21</v>
      </c>
    </row>
    <row r="7882" spans="1:9" x14ac:dyDescent="0.25">
      <c r="A7882">
        <v>20140327</v>
      </c>
      <c r="B7882" t="str">
        <f>"114965"</f>
        <v>114965</v>
      </c>
      <c r="C7882" t="str">
        <f>"00586"</f>
        <v>00586</v>
      </c>
      <c r="D7882" t="s">
        <v>3779</v>
      </c>
      <c r="E7882">
        <v>5.14</v>
      </c>
      <c r="F7882">
        <v>20140326</v>
      </c>
      <c r="G7882" t="s">
        <v>580</v>
      </c>
      <c r="H7882" t="s">
        <v>2691</v>
      </c>
      <c r="I7882" t="s">
        <v>21</v>
      </c>
    </row>
    <row r="7883" spans="1:9" x14ac:dyDescent="0.25">
      <c r="A7883">
        <v>20140327</v>
      </c>
      <c r="B7883" t="str">
        <f>"114965"</f>
        <v>114965</v>
      </c>
      <c r="C7883" t="str">
        <f>"00586"</f>
        <v>00586</v>
      </c>
      <c r="D7883" t="s">
        <v>3779</v>
      </c>
      <c r="E7883">
        <v>200</v>
      </c>
      <c r="F7883">
        <v>20140326</v>
      </c>
      <c r="G7883" t="s">
        <v>3780</v>
      </c>
      <c r="H7883" t="s">
        <v>2691</v>
      </c>
      <c r="I7883" t="s">
        <v>21</v>
      </c>
    </row>
    <row r="7884" spans="1:9" x14ac:dyDescent="0.25">
      <c r="A7884">
        <v>20140327</v>
      </c>
      <c r="B7884" t="str">
        <f>"114966"</f>
        <v>114966</v>
      </c>
      <c r="C7884" t="str">
        <f>"83448"</f>
        <v>83448</v>
      </c>
      <c r="D7884" t="s">
        <v>2971</v>
      </c>
      <c r="E7884">
        <v>200</v>
      </c>
      <c r="F7884">
        <v>20140326</v>
      </c>
      <c r="G7884" t="s">
        <v>1854</v>
      </c>
      <c r="H7884" t="s">
        <v>357</v>
      </c>
      <c r="I7884" t="s">
        <v>25</v>
      </c>
    </row>
    <row r="7885" spans="1:9" x14ac:dyDescent="0.25">
      <c r="A7885">
        <v>20140327</v>
      </c>
      <c r="B7885" t="str">
        <f>"114967"</f>
        <v>114967</v>
      </c>
      <c r="C7885" t="str">
        <f>"83448"</f>
        <v>83448</v>
      </c>
      <c r="D7885" t="s">
        <v>2971</v>
      </c>
      <c r="E7885">
        <v>120</v>
      </c>
      <c r="F7885">
        <v>20140324</v>
      </c>
      <c r="G7885" t="s">
        <v>2671</v>
      </c>
      <c r="H7885" t="s">
        <v>354</v>
      </c>
      <c r="I7885" t="s">
        <v>66</v>
      </c>
    </row>
    <row r="7886" spans="1:9" x14ac:dyDescent="0.25">
      <c r="A7886">
        <v>20140327</v>
      </c>
      <c r="B7886" t="str">
        <f>"114968"</f>
        <v>114968</v>
      </c>
      <c r="C7886" t="str">
        <f>"87463"</f>
        <v>87463</v>
      </c>
      <c r="D7886" t="s">
        <v>3433</v>
      </c>
      <c r="E7886">
        <v>206.66</v>
      </c>
      <c r="F7886">
        <v>20140325</v>
      </c>
      <c r="G7886" t="s">
        <v>1721</v>
      </c>
      <c r="H7886" t="s">
        <v>365</v>
      </c>
      <c r="I7886" t="s">
        <v>21</v>
      </c>
    </row>
    <row r="7887" spans="1:9" x14ac:dyDescent="0.25">
      <c r="A7887">
        <v>20140327</v>
      </c>
      <c r="B7887" t="str">
        <f>"114968"</f>
        <v>114968</v>
      </c>
      <c r="C7887" t="str">
        <f>"87463"</f>
        <v>87463</v>
      </c>
      <c r="D7887" t="s">
        <v>3433</v>
      </c>
      <c r="E7887">
        <v>125.55</v>
      </c>
      <c r="F7887">
        <v>20140325</v>
      </c>
      <c r="G7887" t="s">
        <v>3781</v>
      </c>
      <c r="H7887" t="s">
        <v>365</v>
      </c>
      <c r="I7887" t="s">
        <v>66</v>
      </c>
    </row>
    <row r="7888" spans="1:9" x14ac:dyDescent="0.25">
      <c r="A7888">
        <v>20140327</v>
      </c>
      <c r="B7888" t="str">
        <f>"114969"</f>
        <v>114969</v>
      </c>
      <c r="C7888" t="str">
        <f>"84078"</f>
        <v>84078</v>
      </c>
      <c r="D7888" t="s">
        <v>3782</v>
      </c>
      <c r="E7888">
        <v>220</v>
      </c>
      <c r="F7888">
        <v>20140325</v>
      </c>
      <c r="G7888" t="s">
        <v>364</v>
      </c>
      <c r="H7888" t="s">
        <v>921</v>
      </c>
      <c r="I7888" t="s">
        <v>21</v>
      </c>
    </row>
    <row r="7889" spans="1:9" x14ac:dyDescent="0.25">
      <c r="A7889">
        <v>20140327</v>
      </c>
      <c r="B7889" t="str">
        <f>"114969"</f>
        <v>114969</v>
      </c>
      <c r="C7889" t="str">
        <f>"84078"</f>
        <v>84078</v>
      </c>
      <c r="D7889" t="s">
        <v>3782</v>
      </c>
      <c r="E7889">
        <v>-220</v>
      </c>
      <c r="F7889">
        <v>20140417</v>
      </c>
      <c r="G7889" t="s">
        <v>364</v>
      </c>
      <c r="H7889" t="s">
        <v>3783</v>
      </c>
      <c r="I7889" t="s">
        <v>21</v>
      </c>
    </row>
    <row r="7890" spans="1:9" x14ac:dyDescent="0.25">
      <c r="A7890">
        <v>20140327</v>
      </c>
      <c r="B7890" t="str">
        <f>"114970"</f>
        <v>114970</v>
      </c>
      <c r="C7890" t="str">
        <f>"68960"</f>
        <v>68960</v>
      </c>
      <c r="D7890" t="s">
        <v>689</v>
      </c>
      <c r="E7890">
        <v>175</v>
      </c>
      <c r="F7890">
        <v>20140326</v>
      </c>
      <c r="G7890" t="s">
        <v>356</v>
      </c>
      <c r="H7890" t="s">
        <v>357</v>
      </c>
      <c r="I7890" t="s">
        <v>61</v>
      </c>
    </row>
    <row r="7891" spans="1:9" x14ac:dyDescent="0.25">
      <c r="A7891">
        <v>20140327</v>
      </c>
      <c r="B7891" t="str">
        <f>"114970"</f>
        <v>114970</v>
      </c>
      <c r="C7891" t="str">
        <f>"68960"</f>
        <v>68960</v>
      </c>
      <c r="D7891" t="s">
        <v>689</v>
      </c>
      <c r="E7891">
        <v>60</v>
      </c>
      <c r="F7891">
        <v>20140326</v>
      </c>
      <c r="G7891" t="s">
        <v>356</v>
      </c>
      <c r="H7891" t="s">
        <v>357</v>
      </c>
      <c r="I7891" t="s">
        <v>61</v>
      </c>
    </row>
    <row r="7892" spans="1:9" x14ac:dyDescent="0.25">
      <c r="A7892">
        <v>20140327</v>
      </c>
      <c r="B7892" t="str">
        <f>"114970"</f>
        <v>114970</v>
      </c>
      <c r="C7892" t="str">
        <f>"68960"</f>
        <v>68960</v>
      </c>
      <c r="D7892" t="s">
        <v>689</v>
      </c>
      <c r="E7892">
        <v>48</v>
      </c>
      <c r="F7892">
        <v>20140326</v>
      </c>
      <c r="G7892" t="s">
        <v>356</v>
      </c>
      <c r="H7892" t="s">
        <v>357</v>
      </c>
      <c r="I7892" t="s">
        <v>61</v>
      </c>
    </row>
    <row r="7893" spans="1:9" x14ac:dyDescent="0.25">
      <c r="A7893">
        <v>20140327</v>
      </c>
      <c r="B7893" t="str">
        <f>"114971"</f>
        <v>114971</v>
      </c>
      <c r="C7893" t="str">
        <f>"69940"</f>
        <v>69940</v>
      </c>
      <c r="D7893" t="s">
        <v>1156</v>
      </c>
      <c r="E7893">
        <v>908.6</v>
      </c>
      <c r="F7893">
        <v>20140326</v>
      </c>
      <c r="G7893" t="s">
        <v>840</v>
      </c>
      <c r="H7893" t="s">
        <v>3784</v>
      </c>
      <c r="I7893" t="s">
        <v>21</v>
      </c>
    </row>
    <row r="7894" spans="1:9" x14ac:dyDescent="0.25">
      <c r="A7894">
        <v>20140327</v>
      </c>
      <c r="B7894" t="str">
        <f>"114971"</f>
        <v>114971</v>
      </c>
      <c r="C7894" t="str">
        <f>"69940"</f>
        <v>69940</v>
      </c>
      <c r="D7894" t="s">
        <v>1156</v>
      </c>
      <c r="E7894" s="1">
        <v>1360.6</v>
      </c>
      <c r="F7894">
        <v>20140326</v>
      </c>
      <c r="G7894" t="s">
        <v>1399</v>
      </c>
      <c r="H7894" t="s">
        <v>3785</v>
      </c>
      <c r="I7894" t="s">
        <v>21</v>
      </c>
    </row>
    <row r="7895" spans="1:9" x14ac:dyDescent="0.25">
      <c r="A7895">
        <v>20140327</v>
      </c>
      <c r="B7895" t="str">
        <f>"114972"</f>
        <v>114972</v>
      </c>
      <c r="C7895" t="str">
        <f>"87799"</f>
        <v>87799</v>
      </c>
      <c r="D7895" t="s">
        <v>3786</v>
      </c>
      <c r="E7895">
        <v>100</v>
      </c>
      <c r="F7895">
        <v>20140326</v>
      </c>
      <c r="G7895" t="s">
        <v>1464</v>
      </c>
      <c r="H7895" t="s">
        <v>3787</v>
      </c>
      <c r="I7895" t="s">
        <v>21</v>
      </c>
    </row>
    <row r="7896" spans="1:9" x14ac:dyDescent="0.25">
      <c r="A7896">
        <v>20140327</v>
      </c>
      <c r="B7896" t="str">
        <f>"114972"</f>
        <v>114972</v>
      </c>
      <c r="C7896" t="str">
        <f>"87799"</f>
        <v>87799</v>
      </c>
      <c r="D7896" t="s">
        <v>3786</v>
      </c>
      <c r="E7896" s="1">
        <v>13950</v>
      </c>
      <c r="F7896">
        <v>20140326</v>
      </c>
      <c r="G7896" t="s">
        <v>413</v>
      </c>
      <c r="H7896" t="s">
        <v>3788</v>
      </c>
      <c r="I7896" t="s">
        <v>21</v>
      </c>
    </row>
    <row r="7897" spans="1:9" x14ac:dyDescent="0.25">
      <c r="A7897">
        <v>20140327</v>
      </c>
      <c r="B7897" t="str">
        <f>"114973"</f>
        <v>114973</v>
      </c>
      <c r="C7897" t="str">
        <f>"86085"</f>
        <v>86085</v>
      </c>
      <c r="D7897" t="s">
        <v>703</v>
      </c>
      <c r="E7897">
        <v>86</v>
      </c>
      <c r="F7897">
        <v>20140324</v>
      </c>
      <c r="G7897" t="s">
        <v>367</v>
      </c>
      <c r="H7897" t="s">
        <v>1535</v>
      </c>
      <c r="I7897" t="s">
        <v>21</v>
      </c>
    </row>
    <row r="7898" spans="1:9" x14ac:dyDescent="0.25">
      <c r="A7898">
        <v>20140327</v>
      </c>
      <c r="B7898" t="str">
        <f>"114973"</f>
        <v>114973</v>
      </c>
      <c r="C7898" t="str">
        <f>"86085"</f>
        <v>86085</v>
      </c>
      <c r="D7898" t="s">
        <v>703</v>
      </c>
      <c r="E7898">
        <v>76</v>
      </c>
      <c r="F7898">
        <v>20140324</v>
      </c>
      <c r="G7898" t="s">
        <v>704</v>
      </c>
      <c r="H7898" t="s">
        <v>1535</v>
      </c>
      <c r="I7898" t="s">
        <v>21</v>
      </c>
    </row>
    <row r="7899" spans="1:9" x14ac:dyDescent="0.25">
      <c r="A7899">
        <v>20140327</v>
      </c>
      <c r="B7899" t="str">
        <f>"114974"</f>
        <v>114974</v>
      </c>
      <c r="C7899" t="str">
        <f>"87790"</f>
        <v>87790</v>
      </c>
      <c r="D7899" t="s">
        <v>3789</v>
      </c>
      <c r="E7899">
        <v>65.64</v>
      </c>
      <c r="F7899">
        <v>20140320</v>
      </c>
      <c r="G7899" t="s">
        <v>3099</v>
      </c>
      <c r="H7899" t="s">
        <v>765</v>
      </c>
      <c r="I7899" t="s">
        <v>61</v>
      </c>
    </row>
    <row r="7900" spans="1:9" x14ac:dyDescent="0.25">
      <c r="A7900">
        <v>20140327</v>
      </c>
      <c r="B7900" t="str">
        <f>"114974"</f>
        <v>114974</v>
      </c>
      <c r="C7900" t="str">
        <f>"87790"</f>
        <v>87790</v>
      </c>
      <c r="D7900" t="s">
        <v>3789</v>
      </c>
      <c r="E7900">
        <v>151.19999999999999</v>
      </c>
      <c r="F7900">
        <v>20140326</v>
      </c>
      <c r="G7900" t="s">
        <v>3099</v>
      </c>
      <c r="H7900" t="s">
        <v>765</v>
      </c>
      <c r="I7900" t="s">
        <v>61</v>
      </c>
    </row>
    <row r="7901" spans="1:9" x14ac:dyDescent="0.25">
      <c r="A7901">
        <v>20140327</v>
      </c>
      <c r="B7901" t="str">
        <f>"114975"</f>
        <v>114975</v>
      </c>
      <c r="C7901" t="str">
        <f>"87798"</f>
        <v>87798</v>
      </c>
      <c r="D7901" t="s">
        <v>3790</v>
      </c>
      <c r="E7901" s="1">
        <v>22250</v>
      </c>
      <c r="F7901">
        <v>20140326</v>
      </c>
      <c r="G7901" t="s">
        <v>1467</v>
      </c>
      <c r="H7901" t="s">
        <v>3791</v>
      </c>
      <c r="I7901" t="s">
        <v>21</v>
      </c>
    </row>
    <row r="7902" spans="1:9" x14ac:dyDescent="0.25">
      <c r="A7902">
        <v>20140327</v>
      </c>
      <c r="B7902" t="str">
        <f>"114976"</f>
        <v>114976</v>
      </c>
      <c r="C7902" t="str">
        <f>"85763"</f>
        <v>85763</v>
      </c>
      <c r="D7902" t="s">
        <v>3792</v>
      </c>
      <c r="E7902">
        <v>600</v>
      </c>
      <c r="F7902">
        <v>20140324</v>
      </c>
      <c r="G7902" t="s">
        <v>746</v>
      </c>
      <c r="H7902" t="s">
        <v>555</v>
      </c>
      <c r="I7902" t="s">
        <v>21</v>
      </c>
    </row>
    <row r="7903" spans="1:9" x14ac:dyDescent="0.25">
      <c r="A7903">
        <v>20140327</v>
      </c>
      <c r="B7903" t="str">
        <f>"114976"</f>
        <v>114976</v>
      </c>
      <c r="C7903" t="str">
        <f>"85763"</f>
        <v>85763</v>
      </c>
      <c r="D7903" t="s">
        <v>3792</v>
      </c>
      <c r="E7903">
        <v>640</v>
      </c>
      <c r="F7903">
        <v>20140324</v>
      </c>
      <c r="G7903" t="s">
        <v>746</v>
      </c>
      <c r="H7903" t="s">
        <v>555</v>
      </c>
      <c r="I7903" t="s">
        <v>21</v>
      </c>
    </row>
    <row r="7904" spans="1:9" x14ac:dyDescent="0.25">
      <c r="A7904">
        <v>20140327</v>
      </c>
      <c r="B7904" t="str">
        <f>"114977"</f>
        <v>114977</v>
      </c>
      <c r="C7904" t="str">
        <f>"69310"</f>
        <v>69310</v>
      </c>
      <c r="D7904" t="s">
        <v>716</v>
      </c>
      <c r="E7904">
        <v>69.290000000000006</v>
      </c>
      <c r="F7904">
        <v>20140324</v>
      </c>
      <c r="G7904" t="s">
        <v>718</v>
      </c>
      <c r="H7904" t="s">
        <v>488</v>
      </c>
      <c r="I7904" t="s">
        <v>21</v>
      </c>
    </row>
    <row r="7905" spans="1:9" x14ac:dyDescent="0.25">
      <c r="A7905">
        <v>20140327</v>
      </c>
      <c r="B7905" t="str">
        <f>"114978"</f>
        <v>114978</v>
      </c>
      <c r="C7905" t="str">
        <f>"86951"</f>
        <v>86951</v>
      </c>
      <c r="D7905" t="s">
        <v>394</v>
      </c>
      <c r="E7905">
        <v>244.02</v>
      </c>
      <c r="F7905">
        <v>20140325</v>
      </c>
      <c r="G7905" t="s">
        <v>337</v>
      </c>
      <c r="H7905" t="s">
        <v>3793</v>
      </c>
      <c r="I7905" t="s">
        <v>21</v>
      </c>
    </row>
    <row r="7906" spans="1:9" x14ac:dyDescent="0.25">
      <c r="A7906">
        <v>20140327</v>
      </c>
      <c r="B7906" t="str">
        <f>"114979"</f>
        <v>114979</v>
      </c>
      <c r="C7906" t="str">
        <f>"76301"</f>
        <v>76301</v>
      </c>
      <c r="D7906" t="s">
        <v>1319</v>
      </c>
      <c r="E7906">
        <v>98</v>
      </c>
      <c r="F7906">
        <v>20140326</v>
      </c>
      <c r="G7906" t="s">
        <v>2441</v>
      </c>
      <c r="H7906" t="s">
        <v>1320</v>
      </c>
      <c r="I7906" t="s">
        <v>21</v>
      </c>
    </row>
    <row r="7907" spans="1:9" x14ac:dyDescent="0.25">
      <c r="A7907">
        <v>20140327</v>
      </c>
      <c r="B7907" t="str">
        <f>"114979"</f>
        <v>114979</v>
      </c>
      <c r="C7907" t="str">
        <f>"76301"</f>
        <v>76301</v>
      </c>
      <c r="D7907" t="s">
        <v>1319</v>
      </c>
      <c r="E7907">
        <v>49</v>
      </c>
      <c r="F7907">
        <v>20140320</v>
      </c>
      <c r="G7907" t="s">
        <v>214</v>
      </c>
      <c r="H7907" t="s">
        <v>1320</v>
      </c>
      <c r="I7907" t="s">
        <v>38</v>
      </c>
    </row>
    <row r="7908" spans="1:9" x14ac:dyDescent="0.25">
      <c r="A7908">
        <v>20140327</v>
      </c>
      <c r="B7908" t="str">
        <f>"114980"</f>
        <v>114980</v>
      </c>
      <c r="C7908" t="str">
        <f>"76825"</f>
        <v>76825</v>
      </c>
      <c r="D7908" t="s">
        <v>2420</v>
      </c>
      <c r="E7908">
        <v>395.68</v>
      </c>
      <c r="F7908">
        <v>20140324</v>
      </c>
      <c r="G7908" t="s">
        <v>2292</v>
      </c>
      <c r="H7908" t="s">
        <v>1109</v>
      </c>
      <c r="I7908" t="s">
        <v>63</v>
      </c>
    </row>
    <row r="7909" spans="1:9" x14ac:dyDescent="0.25">
      <c r="A7909">
        <v>20140327</v>
      </c>
      <c r="B7909" t="str">
        <f>"114981"</f>
        <v>114981</v>
      </c>
      <c r="C7909" t="str">
        <f>"84819"</f>
        <v>84819</v>
      </c>
      <c r="D7909" t="s">
        <v>2899</v>
      </c>
      <c r="E7909">
        <v>180</v>
      </c>
      <c r="F7909">
        <v>20140325</v>
      </c>
      <c r="G7909" t="s">
        <v>347</v>
      </c>
      <c r="H7909" t="s">
        <v>3794</v>
      </c>
      <c r="I7909" t="s">
        <v>61</v>
      </c>
    </row>
    <row r="7910" spans="1:9" x14ac:dyDescent="0.25">
      <c r="A7910">
        <v>20140327</v>
      </c>
      <c r="B7910" t="str">
        <f>"114982"</f>
        <v>114982</v>
      </c>
      <c r="C7910" t="str">
        <f>"84819"</f>
        <v>84819</v>
      </c>
      <c r="D7910" t="s">
        <v>2899</v>
      </c>
      <c r="E7910">
        <v>100</v>
      </c>
      <c r="F7910">
        <v>20140325</v>
      </c>
      <c r="G7910" t="s">
        <v>347</v>
      </c>
      <c r="H7910" t="s">
        <v>3794</v>
      </c>
      <c r="I7910" t="s">
        <v>61</v>
      </c>
    </row>
    <row r="7911" spans="1:9" x14ac:dyDescent="0.25">
      <c r="A7911">
        <v>20140327</v>
      </c>
      <c r="B7911" t="str">
        <f>"114983"</f>
        <v>114983</v>
      </c>
      <c r="C7911" t="str">
        <f>"84780"</f>
        <v>84780</v>
      </c>
      <c r="D7911" t="s">
        <v>3795</v>
      </c>
      <c r="E7911">
        <v>146.19999999999999</v>
      </c>
      <c r="F7911">
        <v>20140326</v>
      </c>
      <c r="G7911" t="s">
        <v>3099</v>
      </c>
      <c r="H7911" t="s">
        <v>765</v>
      </c>
      <c r="I7911" t="s">
        <v>61</v>
      </c>
    </row>
    <row r="7912" spans="1:9" x14ac:dyDescent="0.25">
      <c r="A7912">
        <v>20140327</v>
      </c>
      <c r="B7912" t="str">
        <f>"114984"</f>
        <v>114984</v>
      </c>
      <c r="C7912" t="str">
        <f>"87794"</f>
        <v>87794</v>
      </c>
      <c r="D7912" t="s">
        <v>3796</v>
      </c>
      <c r="E7912">
        <v>177.8</v>
      </c>
      <c r="F7912">
        <v>20140326</v>
      </c>
      <c r="G7912" t="s">
        <v>3099</v>
      </c>
      <c r="H7912" t="s">
        <v>765</v>
      </c>
      <c r="I7912" t="s">
        <v>61</v>
      </c>
    </row>
    <row r="7913" spans="1:9" x14ac:dyDescent="0.25">
      <c r="A7913">
        <v>20140327</v>
      </c>
      <c r="B7913" t="str">
        <f>"114985"</f>
        <v>114985</v>
      </c>
      <c r="C7913" t="str">
        <f>"87791"</f>
        <v>87791</v>
      </c>
      <c r="D7913" t="s">
        <v>3797</v>
      </c>
      <c r="E7913">
        <v>61.76</v>
      </c>
      <c r="F7913">
        <v>20140320</v>
      </c>
      <c r="G7913" t="s">
        <v>3743</v>
      </c>
      <c r="H7913" t="s">
        <v>765</v>
      </c>
      <c r="I7913" t="s">
        <v>61</v>
      </c>
    </row>
    <row r="7914" spans="1:9" x14ac:dyDescent="0.25">
      <c r="A7914">
        <v>20140327</v>
      </c>
      <c r="B7914" t="str">
        <f>"114986"</f>
        <v>114986</v>
      </c>
      <c r="C7914" t="str">
        <f>"85492"</f>
        <v>85492</v>
      </c>
      <c r="D7914" t="s">
        <v>3798</v>
      </c>
      <c r="E7914">
        <v>60</v>
      </c>
      <c r="F7914">
        <v>20140326</v>
      </c>
      <c r="G7914" t="s">
        <v>3743</v>
      </c>
      <c r="H7914" t="s">
        <v>765</v>
      </c>
      <c r="I7914" t="s">
        <v>61</v>
      </c>
    </row>
    <row r="7915" spans="1:9" x14ac:dyDescent="0.25">
      <c r="A7915">
        <v>20140327</v>
      </c>
      <c r="B7915" t="str">
        <f>"114987"</f>
        <v>114987</v>
      </c>
      <c r="C7915" t="str">
        <f>"78385"</f>
        <v>78385</v>
      </c>
      <c r="D7915" t="s">
        <v>985</v>
      </c>
      <c r="E7915">
        <v>56.34</v>
      </c>
      <c r="F7915">
        <v>20140324</v>
      </c>
      <c r="G7915" t="s">
        <v>1734</v>
      </c>
      <c r="H7915" t="s">
        <v>365</v>
      </c>
      <c r="I7915" t="s">
        <v>21</v>
      </c>
    </row>
    <row r="7916" spans="1:9" x14ac:dyDescent="0.25">
      <c r="A7916">
        <v>20140327</v>
      </c>
      <c r="B7916" t="str">
        <f>"114988"</f>
        <v>114988</v>
      </c>
      <c r="C7916" t="str">
        <f>"86840"</f>
        <v>86840</v>
      </c>
      <c r="D7916" t="s">
        <v>3799</v>
      </c>
      <c r="E7916">
        <v>128.12</v>
      </c>
      <c r="F7916">
        <v>20140326</v>
      </c>
      <c r="G7916" t="s">
        <v>3099</v>
      </c>
      <c r="H7916" t="s">
        <v>765</v>
      </c>
      <c r="I7916" t="s">
        <v>61</v>
      </c>
    </row>
    <row r="7917" spans="1:9" x14ac:dyDescent="0.25">
      <c r="A7917">
        <v>20140327</v>
      </c>
      <c r="B7917" t="str">
        <f>"114989"</f>
        <v>114989</v>
      </c>
      <c r="C7917" t="str">
        <f>"81707"</f>
        <v>81707</v>
      </c>
      <c r="D7917" t="s">
        <v>3800</v>
      </c>
      <c r="E7917">
        <v>480</v>
      </c>
      <c r="F7917">
        <v>20140326</v>
      </c>
      <c r="G7917" t="s">
        <v>356</v>
      </c>
      <c r="H7917" t="s">
        <v>357</v>
      </c>
      <c r="I7917" t="s">
        <v>61</v>
      </c>
    </row>
    <row r="7918" spans="1:9" x14ac:dyDescent="0.25">
      <c r="A7918">
        <v>20140327</v>
      </c>
      <c r="B7918" t="str">
        <f>"114990"</f>
        <v>114990</v>
      </c>
      <c r="C7918" t="str">
        <f>"79158"</f>
        <v>79158</v>
      </c>
      <c r="D7918" t="s">
        <v>3801</v>
      </c>
      <c r="E7918">
        <v>6</v>
      </c>
      <c r="F7918">
        <v>20140326</v>
      </c>
      <c r="G7918" t="s">
        <v>426</v>
      </c>
      <c r="H7918" t="s">
        <v>354</v>
      </c>
      <c r="I7918" t="s">
        <v>21</v>
      </c>
    </row>
    <row r="7919" spans="1:9" x14ac:dyDescent="0.25">
      <c r="A7919">
        <v>20140327</v>
      </c>
      <c r="B7919" t="str">
        <f>"114991"</f>
        <v>114991</v>
      </c>
      <c r="C7919" t="str">
        <f>"86280"</f>
        <v>86280</v>
      </c>
      <c r="D7919" t="s">
        <v>3802</v>
      </c>
      <c r="E7919" s="1">
        <v>3184.69</v>
      </c>
      <c r="F7919">
        <v>20140325</v>
      </c>
      <c r="G7919" t="s">
        <v>181</v>
      </c>
      <c r="H7919" t="s">
        <v>3803</v>
      </c>
      <c r="I7919" t="s">
        <v>38</v>
      </c>
    </row>
    <row r="7920" spans="1:9" x14ac:dyDescent="0.25">
      <c r="A7920">
        <v>20140327</v>
      </c>
      <c r="B7920" t="str">
        <f>"114992"</f>
        <v>114992</v>
      </c>
      <c r="C7920" t="str">
        <f>"80825"</f>
        <v>80825</v>
      </c>
      <c r="D7920" t="s">
        <v>747</v>
      </c>
      <c r="E7920">
        <v>139.19</v>
      </c>
      <c r="F7920">
        <v>20140326</v>
      </c>
      <c r="G7920" t="s">
        <v>989</v>
      </c>
      <c r="H7920" t="s">
        <v>749</v>
      </c>
      <c r="I7920" t="s">
        <v>61</v>
      </c>
    </row>
    <row r="7921" spans="1:9" x14ac:dyDescent="0.25">
      <c r="A7921">
        <v>20140327</v>
      </c>
      <c r="B7921" t="str">
        <f>"114992"</f>
        <v>114992</v>
      </c>
      <c r="C7921" t="str">
        <f>"80825"</f>
        <v>80825</v>
      </c>
      <c r="D7921" t="s">
        <v>747</v>
      </c>
      <c r="E7921">
        <v>40.61</v>
      </c>
      <c r="F7921">
        <v>20140326</v>
      </c>
      <c r="G7921" t="s">
        <v>989</v>
      </c>
      <c r="H7921" t="s">
        <v>3804</v>
      </c>
      <c r="I7921" t="s">
        <v>61</v>
      </c>
    </row>
    <row r="7922" spans="1:9" x14ac:dyDescent="0.25">
      <c r="A7922">
        <v>20140327</v>
      </c>
      <c r="B7922" t="str">
        <f>"114992"</f>
        <v>114992</v>
      </c>
      <c r="C7922" t="str">
        <f>"80825"</f>
        <v>80825</v>
      </c>
      <c r="D7922" t="s">
        <v>747</v>
      </c>
      <c r="E7922">
        <v>276.89999999999998</v>
      </c>
      <c r="F7922">
        <v>20140326</v>
      </c>
      <c r="G7922" t="s">
        <v>748</v>
      </c>
      <c r="H7922" t="s">
        <v>749</v>
      </c>
      <c r="I7922" t="s">
        <v>21</v>
      </c>
    </row>
    <row r="7923" spans="1:9" x14ac:dyDescent="0.25">
      <c r="A7923">
        <v>20140327</v>
      </c>
      <c r="B7923" t="str">
        <f>"114993"</f>
        <v>114993</v>
      </c>
      <c r="C7923" t="str">
        <f>"84779"</f>
        <v>84779</v>
      </c>
      <c r="D7923" t="s">
        <v>3805</v>
      </c>
      <c r="E7923">
        <v>131.19999999999999</v>
      </c>
      <c r="F7923">
        <v>20140326</v>
      </c>
      <c r="G7923" t="s">
        <v>3099</v>
      </c>
      <c r="H7923" t="s">
        <v>765</v>
      </c>
      <c r="I7923" t="s">
        <v>61</v>
      </c>
    </row>
    <row r="7924" spans="1:9" x14ac:dyDescent="0.25">
      <c r="A7924">
        <v>20140403</v>
      </c>
      <c r="B7924" t="str">
        <f>"114994"</f>
        <v>114994</v>
      </c>
      <c r="C7924" t="str">
        <f>"86997"</f>
        <v>86997</v>
      </c>
      <c r="D7924" t="s">
        <v>2098</v>
      </c>
      <c r="E7924">
        <v>326.61</v>
      </c>
      <c r="F7924">
        <v>20140401</v>
      </c>
      <c r="G7924" t="s">
        <v>1224</v>
      </c>
      <c r="H7924" t="s">
        <v>414</v>
      </c>
      <c r="I7924" t="s">
        <v>21</v>
      </c>
    </row>
    <row r="7925" spans="1:9" x14ac:dyDescent="0.25">
      <c r="A7925">
        <v>20140403</v>
      </c>
      <c r="B7925" t="str">
        <f>"114995"</f>
        <v>114995</v>
      </c>
      <c r="C7925" t="str">
        <f>"00925"</f>
        <v>00925</v>
      </c>
      <c r="D7925" t="s">
        <v>1553</v>
      </c>
      <c r="E7925">
        <v>822.62</v>
      </c>
      <c r="F7925">
        <v>20140402</v>
      </c>
      <c r="G7925" t="s">
        <v>3463</v>
      </c>
      <c r="H7925" t="s">
        <v>354</v>
      </c>
      <c r="I7925" t="s">
        <v>21</v>
      </c>
    </row>
    <row r="7926" spans="1:9" x14ac:dyDescent="0.25">
      <c r="A7926">
        <v>20140403</v>
      </c>
      <c r="B7926" t="str">
        <f>"114995"</f>
        <v>114995</v>
      </c>
      <c r="C7926" t="str">
        <f>"00925"</f>
        <v>00925</v>
      </c>
      <c r="D7926" t="s">
        <v>1553</v>
      </c>
      <c r="E7926">
        <v>137.1</v>
      </c>
      <c r="F7926">
        <v>20140402</v>
      </c>
      <c r="G7926" t="s">
        <v>181</v>
      </c>
      <c r="H7926" t="s">
        <v>354</v>
      </c>
      <c r="I7926" t="s">
        <v>38</v>
      </c>
    </row>
    <row r="7927" spans="1:9" x14ac:dyDescent="0.25">
      <c r="A7927">
        <v>20140403</v>
      </c>
      <c r="B7927" t="str">
        <f>"114995"</f>
        <v>114995</v>
      </c>
      <c r="C7927" t="str">
        <f>"00925"</f>
        <v>00925</v>
      </c>
      <c r="D7927" t="s">
        <v>1553</v>
      </c>
      <c r="E7927">
        <v>31.27</v>
      </c>
      <c r="F7927">
        <v>20140402</v>
      </c>
      <c r="G7927" t="s">
        <v>1426</v>
      </c>
      <c r="H7927" t="s">
        <v>354</v>
      </c>
      <c r="I7927" t="s">
        <v>38</v>
      </c>
    </row>
    <row r="7928" spans="1:9" x14ac:dyDescent="0.25">
      <c r="A7928">
        <v>20140403</v>
      </c>
      <c r="B7928" t="str">
        <f>"114996"</f>
        <v>114996</v>
      </c>
      <c r="C7928" t="str">
        <f>"00954"</f>
        <v>00954</v>
      </c>
      <c r="D7928" t="s">
        <v>445</v>
      </c>
      <c r="E7928">
        <v>706</v>
      </c>
      <c r="F7928">
        <v>20140402</v>
      </c>
      <c r="G7928" t="s">
        <v>1193</v>
      </c>
      <c r="H7928" t="s">
        <v>1138</v>
      </c>
      <c r="I7928" t="s">
        <v>25</v>
      </c>
    </row>
    <row r="7929" spans="1:9" x14ac:dyDescent="0.25">
      <c r="A7929">
        <v>20140403</v>
      </c>
      <c r="B7929" t="str">
        <f>"114997"</f>
        <v>114997</v>
      </c>
      <c r="C7929" t="str">
        <f>"87000"</f>
        <v>87000</v>
      </c>
      <c r="D7929" t="s">
        <v>3806</v>
      </c>
      <c r="E7929">
        <v>417</v>
      </c>
      <c r="F7929">
        <v>20140402</v>
      </c>
      <c r="G7929" t="s">
        <v>637</v>
      </c>
      <c r="H7929" t="s">
        <v>1535</v>
      </c>
      <c r="I7929" t="s">
        <v>38</v>
      </c>
    </row>
    <row r="7930" spans="1:9" x14ac:dyDescent="0.25">
      <c r="A7930">
        <v>20140403</v>
      </c>
      <c r="B7930" t="str">
        <f>"114998"</f>
        <v>114998</v>
      </c>
      <c r="C7930" t="str">
        <f>"84595"</f>
        <v>84595</v>
      </c>
      <c r="D7930" t="s">
        <v>3264</v>
      </c>
      <c r="E7930">
        <v>129.08000000000001</v>
      </c>
      <c r="F7930">
        <v>20140402</v>
      </c>
      <c r="G7930" t="s">
        <v>3099</v>
      </c>
      <c r="H7930" t="s">
        <v>765</v>
      </c>
      <c r="I7930" t="s">
        <v>61</v>
      </c>
    </row>
    <row r="7931" spans="1:9" x14ac:dyDescent="0.25">
      <c r="A7931">
        <v>20140403</v>
      </c>
      <c r="B7931" t="str">
        <f>"114999"</f>
        <v>114999</v>
      </c>
      <c r="C7931" t="str">
        <f>"84594"</f>
        <v>84594</v>
      </c>
      <c r="D7931" t="s">
        <v>3265</v>
      </c>
      <c r="E7931">
        <v>159.08000000000001</v>
      </c>
      <c r="F7931">
        <v>20140402</v>
      </c>
      <c r="G7931" t="s">
        <v>3099</v>
      </c>
      <c r="H7931" t="s">
        <v>765</v>
      </c>
      <c r="I7931" t="s">
        <v>61</v>
      </c>
    </row>
    <row r="7932" spans="1:9" x14ac:dyDescent="0.25">
      <c r="A7932">
        <v>20140403</v>
      </c>
      <c r="B7932" t="str">
        <f>"115000"</f>
        <v>115000</v>
      </c>
      <c r="C7932" t="str">
        <f>"87466"</f>
        <v>87466</v>
      </c>
      <c r="D7932" t="s">
        <v>468</v>
      </c>
      <c r="E7932">
        <v>180</v>
      </c>
      <c r="F7932">
        <v>20140402</v>
      </c>
      <c r="G7932" t="s">
        <v>469</v>
      </c>
      <c r="H7932" t="s">
        <v>501</v>
      </c>
      <c r="I7932" t="s">
        <v>21</v>
      </c>
    </row>
    <row r="7933" spans="1:9" x14ac:dyDescent="0.25">
      <c r="A7933">
        <v>20140403</v>
      </c>
      <c r="B7933" t="str">
        <f>"115001"</f>
        <v>115001</v>
      </c>
      <c r="C7933" t="str">
        <f>"83932"</f>
        <v>83932</v>
      </c>
      <c r="D7933" t="s">
        <v>3269</v>
      </c>
      <c r="E7933">
        <v>20.25</v>
      </c>
      <c r="F7933">
        <v>20140402</v>
      </c>
      <c r="G7933" t="s">
        <v>410</v>
      </c>
      <c r="H7933" t="s">
        <v>411</v>
      </c>
      <c r="I7933" t="s">
        <v>12</v>
      </c>
    </row>
    <row r="7934" spans="1:9" x14ac:dyDescent="0.25">
      <c r="A7934">
        <v>20140403</v>
      </c>
      <c r="B7934" t="str">
        <f>"115002"</f>
        <v>115002</v>
      </c>
      <c r="C7934" t="str">
        <f>"00500"</f>
        <v>00500</v>
      </c>
      <c r="D7934" t="s">
        <v>486</v>
      </c>
      <c r="E7934" s="1">
        <v>9279.82</v>
      </c>
      <c r="F7934">
        <v>20140401</v>
      </c>
      <c r="G7934" t="s">
        <v>1182</v>
      </c>
      <c r="H7934" t="s">
        <v>488</v>
      </c>
      <c r="I7934" t="s">
        <v>21</v>
      </c>
    </row>
    <row r="7935" spans="1:9" x14ac:dyDescent="0.25">
      <c r="A7935">
        <v>20140403</v>
      </c>
      <c r="B7935" t="str">
        <f>"115003"</f>
        <v>115003</v>
      </c>
      <c r="C7935" t="str">
        <f>"07655"</f>
        <v>07655</v>
      </c>
      <c r="D7935" t="s">
        <v>3737</v>
      </c>
      <c r="E7935">
        <v>66.790000000000006</v>
      </c>
      <c r="F7935">
        <v>20140402</v>
      </c>
      <c r="G7935" t="s">
        <v>214</v>
      </c>
      <c r="H7935" t="s">
        <v>2691</v>
      </c>
      <c r="I7935" t="s">
        <v>38</v>
      </c>
    </row>
    <row r="7936" spans="1:9" x14ac:dyDescent="0.25">
      <c r="A7936">
        <v>20140403</v>
      </c>
      <c r="B7936" t="str">
        <f t="shared" ref="B7936:B7946" si="468">"115004"</f>
        <v>115004</v>
      </c>
      <c r="C7936" t="str">
        <f t="shared" ref="C7936:C7946" si="469">"00255"</f>
        <v>00255</v>
      </c>
      <c r="D7936" t="s">
        <v>489</v>
      </c>
      <c r="E7936">
        <v>909.33</v>
      </c>
      <c r="F7936">
        <v>20140401</v>
      </c>
      <c r="G7936" t="s">
        <v>1350</v>
      </c>
      <c r="H7936" t="s">
        <v>488</v>
      </c>
      <c r="I7936" t="s">
        <v>21</v>
      </c>
    </row>
    <row r="7937" spans="1:9" x14ac:dyDescent="0.25">
      <c r="A7937">
        <v>20140403</v>
      </c>
      <c r="B7937" t="str">
        <f t="shared" si="468"/>
        <v>115004</v>
      </c>
      <c r="C7937" t="str">
        <f t="shared" si="469"/>
        <v>00255</v>
      </c>
      <c r="D7937" t="s">
        <v>489</v>
      </c>
      <c r="E7937" s="1">
        <v>9194.34</v>
      </c>
      <c r="F7937">
        <v>20140401</v>
      </c>
      <c r="G7937" t="s">
        <v>1351</v>
      </c>
      <c r="H7937" t="s">
        <v>488</v>
      </c>
      <c r="I7937" t="s">
        <v>21</v>
      </c>
    </row>
    <row r="7938" spans="1:9" x14ac:dyDescent="0.25">
      <c r="A7938">
        <v>20140403</v>
      </c>
      <c r="B7938" t="str">
        <f t="shared" si="468"/>
        <v>115004</v>
      </c>
      <c r="C7938" t="str">
        <f t="shared" si="469"/>
        <v>00255</v>
      </c>
      <c r="D7938" t="s">
        <v>489</v>
      </c>
      <c r="E7938" s="1">
        <v>2387.75</v>
      </c>
      <c r="F7938">
        <v>20140401</v>
      </c>
      <c r="G7938" t="s">
        <v>1183</v>
      </c>
      <c r="H7938" t="s">
        <v>488</v>
      </c>
      <c r="I7938" t="s">
        <v>21</v>
      </c>
    </row>
    <row r="7939" spans="1:9" x14ac:dyDescent="0.25">
      <c r="A7939">
        <v>20140403</v>
      </c>
      <c r="B7939" t="str">
        <f t="shared" si="468"/>
        <v>115004</v>
      </c>
      <c r="C7939" t="str">
        <f t="shared" si="469"/>
        <v>00255</v>
      </c>
      <c r="D7939" t="s">
        <v>489</v>
      </c>
      <c r="E7939">
        <v>231.74</v>
      </c>
      <c r="F7939">
        <v>20140401</v>
      </c>
      <c r="G7939" t="s">
        <v>1183</v>
      </c>
      <c r="H7939" t="s">
        <v>488</v>
      </c>
      <c r="I7939" t="s">
        <v>21</v>
      </c>
    </row>
    <row r="7940" spans="1:9" x14ac:dyDescent="0.25">
      <c r="A7940">
        <v>20140403</v>
      </c>
      <c r="B7940" t="str">
        <f t="shared" si="468"/>
        <v>115004</v>
      </c>
      <c r="C7940" t="str">
        <f t="shared" si="469"/>
        <v>00255</v>
      </c>
      <c r="D7940" t="s">
        <v>489</v>
      </c>
      <c r="E7940">
        <v>201.72</v>
      </c>
      <c r="F7940">
        <v>20140401</v>
      </c>
      <c r="G7940" t="s">
        <v>490</v>
      </c>
      <c r="H7940" t="s">
        <v>488</v>
      </c>
      <c r="I7940" t="s">
        <v>21</v>
      </c>
    </row>
    <row r="7941" spans="1:9" x14ac:dyDescent="0.25">
      <c r="A7941">
        <v>20140403</v>
      </c>
      <c r="B7941" t="str">
        <f t="shared" si="468"/>
        <v>115004</v>
      </c>
      <c r="C7941" t="str">
        <f t="shared" si="469"/>
        <v>00255</v>
      </c>
      <c r="D7941" t="s">
        <v>489</v>
      </c>
      <c r="E7941" s="1">
        <v>1863.12</v>
      </c>
      <c r="F7941">
        <v>20140401</v>
      </c>
      <c r="G7941" t="s">
        <v>490</v>
      </c>
      <c r="H7941" t="s">
        <v>488</v>
      </c>
      <c r="I7941" t="s">
        <v>21</v>
      </c>
    </row>
    <row r="7942" spans="1:9" x14ac:dyDescent="0.25">
      <c r="A7942">
        <v>20140403</v>
      </c>
      <c r="B7942" t="str">
        <f t="shared" si="468"/>
        <v>115004</v>
      </c>
      <c r="C7942" t="str">
        <f t="shared" si="469"/>
        <v>00255</v>
      </c>
      <c r="D7942" t="s">
        <v>489</v>
      </c>
      <c r="E7942">
        <v>38.380000000000003</v>
      </c>
      <c r="F7942">
        <v>20140401</v>
      </c>
      <c r="G7942" t="s">
        <v>490</v>
      </c>
      <c r="H7942" t="s">
        <v>488</v>
      </c>
      <c r="I7942" t="s">
        <v>21</v>
      </c>
    </row>
    <row r="7943" spans="1:9" x14ac:dyDescent="0.25">
      <c r="A7943">
        <v>20140403</v>
      </c>
      <c r="B7943" t="str">
        <f t="shared" si="468"/>
        <v>115004</v>
      </c>
      <c r="C7943" t="str">
        <f t="shared" si="469"/>
        <v>00255</v>
      </c>
      <c r="D7943" t="s">
        <v>489</v>
      </c>
      <c r="E7943" s="1">
        <v>1409.74</v>
      </c>
      <c r="F7943">
        <v>20140401</v>
      </c>
      <c r="G7943" t="s">
        <v>1184</v>
      </c>
      <c r="H7943" t="s">
        <v>488</v>
      </c>
      <c r="I7943" t="s">
        <v>21</v>
      </c>
    </row>
    <row r="7944" spans="1:9" x14ac:dyDescent="0.25">
      <c r="A7944">
        <v>20140403</v>
      </c>
      <c r="B7944" t="str">
        <f t="shared" si="468"/>
        <v>115004</v>
      </c>
      <c r="C7944" t="str">
        <f t="shared" si="469"/>
        <v>00255</v>
      </c>
      <c r="D7944" t="s">
        <v>489</v>
      </c>
      <c r="E7944">
        <v>160.09</v>
      </c>
      <c r="F7944">
        <v>20140401</v>
      </c>
      <c r="G7944" t="s">
        <v>492</v>
      </c>
      <c r="H7944" t="s">
        <v>488</v>
      </c>
      <c r="I7944" t="s">
        <v>21</v>
      </c>
    </row>
    <row r="7945" spans="1:9" x14ac:dyDescent="0.25">
      <c r="A7945">
        <v>20140403</v>
      </c>
      <c r="B7945" t="str">
        <f t="shared" si="468"/>
        <v>115004</v>
      </c>
      <c r="C7945" t="str">
        <f t="shared" si="469"/>
        <v>00255</v>
      </c>
      <c r="D7945" t="s">
        <v>489</v>
      </c>
      <c r="E7945">
        <v>999.98</v>
      </c>
      <c r="F7945">
        <v>20140401</v>
      </c>
      <c r="G7945" t="s">
        <v>492</v>
      </c>
      <c r="H7945" t="s">
        <v>488</v>
      </c>
      <c r="I7945" t="s">
        <v>21</v>
      </c>
    </row>
    <row r="7946" spans="1:9" x14ac:dyDescent="0.25">
      <c r="A7946">
        <v>20140403</v>
      </c>
      <c r="B7946" t="str">
        <f t="shared" si="468"/>
        <v>115004</v>
      </c>
      <c r="C7946" t="str">
        <f t="shared" si="469"/>
        <v>00255</v>
      </c>
      <c r="D7946" t="s">
        <v>489</v>
      </c>
      <c r="E7946">
        <v>653.41</v>
      </c>
      <c r="F7946">
        <v>20140401</v>
      </c>
      <c r="G7946" t="s">
        <v>1352</v>
      </c>
      <c r="H7946" t="s">
        <v>488</v>
      </c>
      <c r="I7946" t="s">
        <v>21</v>
      </c>
    </row>
    <row r="7947" spans="1:9" x14ac:dyDescent="0.25">
      <c r="A7947">
        <v>20140403</v>
      </c>
      <c r="B7947" t="str">
        <f>"115005"</f>
        <v>115005</v>
      </c>
      <c r="C7947" t="str">
        <f>"83627"</f>
        <v>83627</v>
      </c>
      <c r="D7947" t="s">
        <v>1556</v>
      </c>
      <c r="E7947">
        <v>180</v>
      </c>
      <c r="F7947">
        <v>20140402</v>
      </c>
      <c r="G7947" t="s">
        <v>1759</v>
      </c>
      <c r="H7947" t="s">
        <v>357</v>
      </c>
      <c r="I7947" t="s">
        <v>61</v>
      </c>
    </row>
    <row r="7948" spans="1:9" x14ac:dyDescent="0.25">
      <c r="A7948">
        <v>20140403</v>
      </c>
      <c r="B7948" t="str">
        <f>"115006"</f>
        <v>115006</v>
      </c>
      <c r="C7948" t="str">
        <f>"83627"</f>
        <v>83627</v>
      </c>
      <c r="D7948" t="s">
        <v>1556</v>
      </c>
      <c r="E7948">
        <v>180</v>
      </c>
      <c r="F7948">
        <v>20140402</v>
      </c>
      <c r="G7948" t="s">
        <v>1759</v>
      </c>
      <c r="H7948" t="s">
        <v>357</v>
      </c>
      <c r="I7948" t="s">
        <v>61</v>
      </c>
    </row>
    <row r="7949" spans="1:9" x14ac:dyDescent="0.25">
      <c r="A7949">
        <v>20140403</v>
      </c>
      <c r="B7949" t="str">
        <f>"115007"</f>
        <v>115007</v>
      </c>
      <c r="C7949" t="str">
        <f>"87770"</f>
        <v>87770</v>
      </c>
      <c r="D7949" t="s">
        <v>3807</v>
      </c>
      <c r="E7949">
        <v>340</v>
      </c>
      <c r="F7949">
        <v>20140401</v>
      </c>
      <c r="G7949" t="s">
        <v>415</v>
      </c>
      <c r="H7949" t="s">
        <v>3808</v>
      </c>
      <c r="I7949" t="s">
        <v>21</v>
      </c>
    </row>
    <row r="7950" spans="1:9" x14ac:dyDescent="0.25">
      <c r="A7950">
        <v>20140403</v>
      </c>
      <c r="B7950" t="str">
        <f>"115008"</f>
        <v>115008</v>
      </c>
      <c r="C7950" t="str">
        <f>"87801"</f>
        <v>87801</v>
      </c>
      <c r="D7950" t="s">
        <v>3809</v>
      </c>
      <c r="E7950">
        <v>250</v>
      </c>
      <c r="F7950">
        <v>20140401</v>
      </c>
      <c r="G7950" t="s">
        <v>1911</v>
      </c>
      <c r="H7950" t="s">
        <v>3810</v>
      </c>
      <c r="I7950" t="s">
        <v>21</v>
      </c>
    </row>
    <row r="7951" spans="1:9" x14ac:dyDescent="0.25">
      <c r="A7951">
        <v>20140403</v>
      </c>
      <c r="B7951" t="str">
        <f>"115009"</f>
        <v>115009</v>
      </c>
      <c r="C7951" t="str">
        <f>"87789"</f>
        <v>87789</v>
      </c>
      <c r="D7951" t="s">
        <v>3739</v>
      </c>
      <c r="E7951">
        <v>219.9</v>
      </c>
      <c r="F7951">
        <v>20140402</v>
      </c>
      <c r="G7951" t="s">
        <v>3099</v>
      </c>
      <c r="H7951" t="s">
        <v>765</v>
      </c>
      <c r="I7951" t="s">
        <v>61</v>
      </c>
    </row>
    <row r="7952" spans="1:9" x14ac:dyDescent="0.25">
      <c r="A7952">
        <v>20140403</v>
      </c>
      <c r="B7952" t="str">
        <f>"115010"</f>
        <v>115010</v>
      </c>
      <c r="C7952" t="str">
        <f>"87004"</f>
        <v>87004</v>
      </c>
      <c r="D7952" t="s">
        <v>787</v>
      </c>
      <c r="E7952">
        <v>6.7</v>
      </c>
      <c r="F7952">
        <v>20140402</v>
      </c>
      <c r="G7952" t="s">
        <v>1079</v>
      </c>
      <c r="H7952" t="s">
        <v>354</v>
      </c>
      <c r="I7952" t="s">
        <v>21</v>
      </c>
    </row>
    <row r="7953" spans="1:9" x14ac:dyDescent="0.25">
      <c r="A7953">
        <v>20140403</v>
      </c>
      <c r="B7953" t="str">
        <f>"115011"</f>
        <v>115011</v>
      </c>
      <c r="C7953" t="str">
        <f>"15902"</f>
        <v>15902</v>
      </c>
      <c r="D7953" t="s">
        <v>3633</v>
      </c>
      <c r="E7953">
        <v>563</v>
      </c>
      <c r="F7953">
        <v>20140402</v>
      </c>
      <c r="G7953" t="s">
        <v>3576</v>
      </c>
      <c r="H7953" t="s">
        <v>679</v>
      </c>
      <c r="I7953" t="s">
        <v>21</v>
      </c>
    </row>
    <row r="7954" spans="1:9" x14ac:dyDescent="0.25">
      <c r="A7954">
        <v>20140403</v>
      </c>
      <c r="B7954" t="str">
        <f>"115012"</f>
        <v>115012</v>
      </c>
      <c r="C7954" t="str">
        <f>"86576"</f>
        <v>86576</v>
      </c>
      <c r="D7954" t="s">
        <v>409</v>
      </c>
      <c r="E7954">
        <v>24.75</v>
      </c>
      <c r="F7954">
        <v>20140402</v>
      </c>
      <c r="G7954" t="s">
        <v>410</v>
      </c>
      <c r="H7954" t="s">
        <v>411</v>
      </c>
      <c r="I7954" t="s">
        <v>12</v>
      </c>
    </row>
    <row r="7955" spans="1:9" x14ac:dyDescent="0.25">
      <c r="A7955">
        <v>20140403</v>
      </c>
      <c r="B7955" t="str">
        <f>"115013"</f>
        <v>115013</v>
      </c>
      <c r="C7955" t="str">
        <f>"78600"</f>
        <v>78600</v>
      </c>
      <c r="D7955" t="s">
        <v>1203</v>
      </c>
      <c r="E7955">
        <v>12.98</v>
      </c>
      <c r="F7955">
        <v>20140401</v>
      </c>
      <c r="G7955" t="s">
        <v>498</v>
      </c>
      <c r="H7955" t="s">
        <v>3811</v>
      </c>
      <c r="I7955" t="s">
        <v>21</v>
      </c>
    </row>
    <row r="7956" spans="1:9" x14ac:dyDescent="0.25">
      <c r="A7956">
        <v>20140403</v>
      </c>
      <c r="B7956" t="str">
        <f>"115014"</f>
        <v>115014</v>
      </c>
      <c r="C7956" t="str">
        <f>"87271"</f>
        <v>87271</v>
      </c>
      <c r="D7956" t="s">
        <v>3533</v>
      </c>
      <c r="E7956">
        <v>155.71</v>
      </c>
      <c r="F7956">
        <v>20140402</v>
      </c>
      <c r="G7956" t="s">
        <v>184</v>
      </c>
      <c r="H7956" t="s">
        <v>357</v>
      </c>
      <c r="I7956" t="s">
        <v>25</v>
      </c>
    </row>
    <row r="7957" spans="1:9" x14ac:dyDescent="0.25">
      <c r="A7957">
        <v>20140403</v>
      </c>
      <c r="B7957" t="str">
        <f>"115015"</f>
        <v>115015</v>
      </c>
      <c r="C7957" t="str">
        <f>"85796"</f>
        <v>85796</v>
      </c>
      <c r="D7957" t="s">
        <v>796</v>
      </c>
      <c r="E7957">
        <v>70.11</v>
      </c>
      <c r="F7957">
        <v>20140401</v>
      </c>
      <c r="G7957" t="s">
        <v>1145</v>
      </c>
      <c r="H7957" t="s">
        <v>365</v>
      </c>
      <c r="I7957" t="s">
        <v>73</v>
      </c>
    </row>
    <row r="7958" spans="1:9" x14ac:dyDescent="0.25">
      <c r="A7958">
        <v>20140403</v>
      </c>
      <c r="B7958" t="str">
        <f>"115016"</f>
        <v>115016</v>
      </c>
      <c r="C7958" t="str">
        <f>"16500"</f>
        <v>16500</v>
      </c>
      <c r="D7958" t="s">
        <v>798</v>
      </c>
      <c r="E7958">
        <v>53.9</v>
      </c>
      <c r="F7958">
        <v>20140401</v>
      </c>
      <c r="G7958" t="s">
        <v>367</v>
      </c>
      <c r="H7958" t="s">
        <v>784</v>
      </c>
      <c r="I7958" t="s">
        <v>21</v>
      </c>
    </row>
    <row r="7959" spans="1:9" x14ac:dyDescent="0.25">
      <c r="A7959">
        <v>20140403</v>
      </c>
      <c r="B7959" t="str">
        <f>"115017"</f>
        <v>115017</v>
      </c>
      <c r="C7959" t="str">
        <f>"18025"</f>
        <v>18025</v>
      </c>
      <c r="D7959" t="s">
        <v>514</v>
      </c>
      <c r="E7959">
        <v>299.39999999999998</v>
      </c>
      <c r="F7959">
        <v>20140402</v>
      </c>
      <c r="G7959" t="s">
        <v>1019</v>
      </c>
      <c r="H7959" t="s">
        <v>3812</v>
      </c>
      <c r="I7959" t="s">
        <v>131</v>
      </c>
    </row>
    <row r="7960" spans="1:9" x14ac:dyDescent="0.25">
      <c r="A7960">
        <v>20140403</v>
      </c>
      <c r="B7960" t="str">
        <f>"115018"</f>
        <v>115018</v>
      </c>
      <c r="C7960" t="str">
        <f>"18025"</f>
        <v>18025</v>
      </c>
      <c r="D7960" t="s">
        <v>514</v>
      </c>
      <c r="E7960">
        <v>250</v>
      </c>
      <c r="F7960">
        <v>20140402</v>
      </c>
      <c r="G7960" t="s">
        <v>356</v>
      </c>
      <c r="H7960" t="s">
        <v>2336</v>
      </c>
      <c r="I7960" t="s">
        <v>61</v>
      </c>
    </row>
    <row r="7961" spans="1:9" x14ac:dyDescent="0.25">
      <c r="A7961">
        <v>20140403</v>
      </c>
      <c r="B7961" t="str">
        <f>"115019"</f>
        <v>115019</v>
      </c>
      <c r="C7961" t="str">
        <f>"87084"</f>
        <v>87084</v>
      </c>
      <c r="D7961" t="s">
        <v>1036</v>
      </c>
      <c r="E7961">
        <v>55.98</v>
      </c>
      <c r="F7961">
        <v>20140402</v>
      </c>
      <c r="G7961" t="s">
        <v>3813</v>
      </c>
      <c r="H7961" t="s">
        <v>354</v>
      </c>
      <c r="I7961" t="s">
        <v>21</v>
      </c>
    </row>
    <row r="7962" spans="1:9" x14ac:dyDescent="0.25">
      <c r="A7962">
        <v>20140403</v>
      </c>
      <c r="B7962" t="str">
        <f>"115019"</f>
        <v>115019</v>
      </c>
      <c r="C7962" t="str">
        <f>"87084"</f>
        <v>87084</v>
      </c>
      <c r="D7962" t="s">
        <v>1036</v>
      </c>
      <c r="E7962">
        <v>225.64</v>
      </c>
      <c r="F7962">
        <v>20140401</v>
      </c>
      <c r="G7962" t="s">
        <v>810</v>
      </c>
      <c r="H7962" t="s">
        <v>365</v>
      </c>
      <c r="I7962" t="s">
        <v>66</v>
      </c>
    </row>
    <row r="7963" spans="1:9" x14ac:dyDescent="0.25">
      <c r="A7963">
        <v>20140403</v>
      </c>
      <c r="B7963" t="str">
        <f>"115020"</f>
        <v>115020</v>
      </c>
      <c r="C7963" t="str">
        <f>"81251"</f>
        <v>81251</v>
      </c>
      <c r="D7963" t="s">
        <v>1571</v>
      </c>
      <c r="E7963">
        <v>39.479999999999997</v>
      </c>
      <c r="F7963">
        <v>20140401</v>
      </c>
      <c r="G7963" t="s">
        <v>404</v>
      </c>
      <c r="H7963" t="s">
        <v>3814</v>
      </c>
      <c r="I7963" t="s">
        <v>12</v>
      </c>
    </row>
    <row r="7964" spans="1:9" x14ac:dyDescent="0.25">
      <c r="A7964">
        <v>20140403</v>
      </c>
      <c r="B7964" t="str">
        <f>"115020"</f>
        <v>115020</v>
      </c>
      <c r="C7964" t="str">
        <f>"81251"</f>
        <v>81251</v>
      </c>
      <c r="D7964" t="s">
        <v>1571</v>
      </c>
      <c r="E7964">
        <v>100</v>
      </c>
      <c r="F7964">
        <v>20140401</v>
      </c>
      <c r="G7964" t="s">
        <v>202</v>
      </c>
      <c r="H7964" t="s">
        <v>3815</v>
      </c>
      <c r="I7964" t="s">
        <v>12</v>
      </c>
    </row>
    <row r="7965" spans="1:9" x14ac:dyDescent="0.25">
      <c r="A7965">
        <v>20140403</v>
      </c>
      <c r="B7965" t="str">
        <f>"115021"</f>
        <v>115021</v>
      </c>
      <c r="C7965" t="str">
        <f>"23827"</f>
        <v>23827</v>
      </c>
      <c r="D7965" t="s">
        <v>528</v>
      </c>
      <c r="E7965">
        <v>251</v>
      </c>
      <c r="F7965">
        <v>20140401</v>
      </c>
      <c r="G7965" t="s">
        <v>159</v>
      </c>
      <c r="H7965" t="s">
        <v>3816</v>
      </c>
      <c r="I7965" t="s">
        <v>25</v>
      </c>
    </row>
    <row r="7966" spans="1:9" x14ac:dyDescent="0.25">
      <c r="A7966">
        <v>20140403</v>
      </c>
      <c r="B7966" t="str">
        <f>"115021"</f>
        <v>115021</v>
      </c>
      <c r="C7966" t="str">
        <f>"23827"</f>
        <v>23827</v>
      </c>
      <c r="D7966" t="s">
        <v>528</v>
      </c>
      <c r="E7966">
        <v>568.20000000000005</v>
      </c>
      <c r="F7966">
        <v>20140402</v>
      </c>
      <c r="G7966" t="s">
        <v>150</v>
      </c>
      <c r="H7966" t="s">
        <v>738</v>
      </c>
      <c r="I7966" t="s">
        <v>25</v>
      </c>
    </row>
    <row r="7967" spans="1:9" x14ac:dyDescent="0.25">
      <c r="A7967">
        <v>20140403</v>
      </c>
      <c r="B7967" t="str">
        <f>"115021"</f>
        <v>115021</v>
      </c>
      <c r="C7967" t="str">
        <f>"23827"</f>
        <v>23827</v>
      </c>
      <c r="D7967" t="s">
        <v>528</v>
      </c>
      <c r="E7967">
        <v>744.3</v>
      </c>
      <c r="F7967">
        <v>20140402</v>
      </c>
      <c r="G7967" t="s">
        <v>150</v>
      </c>
      <c r="H7967" t="s">
        <v>738</v>
      </c>
      <c r="I7967" t="s">
        <v>25</v>
      </c>
    </row>
    <row r="7968" spans="1:9" x14ac:dyDescent="0.25">
      <c r="A7968">
        <v>20140403</v>
      </c>
      <c r="B7968" t="str">
        <f>"115022"</f>
        <v>115022</v>
      </c>
      <c r="C7968" t="str">
        <f>"86078"</f>
        <v>86078</v>
      </c>
      <c r="D7968" t="s">
        <v>3817</v>
      </c>
      <c r="E7968">
        <v>50</v>
      </c>
      <c r="F7968">
        <v>20140402</v>
      </c>
      <c r="G7968" t="s">
        <v>2324</v>
      </c>
      <c r="H7968" t="s">
        <v>3818</v>
      </c>
      <c r="I7968" t="s">
        <v>61</v>
      </c>
    </row>
    <row r="7969" spans="1:9" x14ac:dyDescent="0.25">
      <c r="A7969">
        <v>20140403</v>
      </c>
      <c r="B7969" t="str">
        <f>"115023"</f>
        <v>115023</v>
      </c>
      <c r="C7969" t="str">
        <f>"00351"</f>
        <v>00351</v>
      </c>
      <c r="D7969" t="s">
        <v>3819</v>
      </c>
      <c r="E7969">
        <v>572.67999999999995</v>
      </c>
      <c r="F7969">
        <v>20140402</v>
      </c>
      <c r="G7969" t="s">
        <v>1150</v>
      </c>
      <c r="H7969" t="s">
        <v>921</v>
      </c>
      <c r="I7969" t="s">
        <v>21</v>
      </c>
    </row>
    <row r="7970" spans="1:9" x14ac:dyDescent="0.25">
      <c r="A7970">
        <v>20140403</v>
      </c>
      <c r="B7970" t="str">
        <f>"115023"</f>
        <v>115023</v>
      </c>
      <c r="C7970" t="str">
        <f>"00351"</f>
        <v>00351</v>
      </c>
      <c r="D7970" t="s">
        <v>3819</v>
      </c>
      <c r="E7970">
        <v>47.11</v>
      </c>
      <c r="F7970">
        <v>20140402</v>
      </c>
      <c r="G7970" t="s">
        <v>1969</v>
      </c>
      <c r="H7970" t="s">
        <v>921</v>
      </c>
      <c r="I7970" t="s">
        <v>21</v>
      </c>
    </row>
    <row r="7971" spans="1:9" x14ac:dyDescent="0.25">
      <c r="A7971">
        <v>20140403</v>
      </c>
      <c r="B7971" t="str">
        <f>"115023"</f>
        <v>115023</v>
      </c>
      <c r="C7971" t="str">
        <f>"00351"</f>
        <v>00351</v>
      </c>
      <c r="D7971" t="s">
        <v>3819</v>
      </c>
      <c r="E7971" s="1">
        <v>1042.99</v>
      </c>
      <c r="F7971">
        <v>20140402</v>
      </c>
      <c r="G7971" t="s">
        <v>965</v>
      </c>
      <c r="H7971" t="s">
        <v>921</v>
      </c>
      <c r="I7971" t="s">
        <v>21</v>
      </c>
    </row>
    <row r="7972" spans="1:9" x14ac:dyDescent="0.25">
      <c r="A7972">
        <v>20140403</v>
      </c>
      <c r="B7972" t="str">
        <f t="shared" ref="B7972:B7982" si="470">"115024"</f>
        <v>115024</v>
      </c>
      <c r="C7972" t="str">
        <f t="shared" ref="C7972:C7982" si="471">"24530"</f>
        <v>24530</v>
      </c>
      <c r="D7972" t="s">
        <v>412</v>
      </c>
      <c r="E7972" s="1">
        <v>3994.32</v>
      </c>
      <c r="F7972">
        <v>20140402</v>
      </c>
      <c r="G7972" t="s">
        <v>415</v>
      </c>
      <c r="H7972" t="s">
        <v>414</v>
      </c>
      <c r="I7972" t="s">
        <v>21</v>
      </c>
    </row>
    <row r="7973" spans="1:9" x14ac:dyDescent="0.25">
      <c r="A7973">
        <v>20140403</v>
      </c>
      <c r="B7973" t="str">
        <f t="shared" si="470"/>
        <v>115024</v>
      </c>
      <c r="C7973" t="str">
        <f t="shared" si="471"/>
        <v>24530</v>
      </c>
      <c r="D7973" t="s">
        <v>412</v>
      </c>
      <c r="E7973">
        <v>136.91999999999999</v>
      </c>
      <c r="F7973">
        <v>20140402</v>
      </c>
      <c r="G7973" t="s">
        <v>627</v>
      </c>
      <c r="H7973" t="s">
        <v>414</v>
      </c>
      <c r="I7973" t="s">
        <v>21</v>
      </c>
    </row>
    <row r="7974" spans="1:9" x14ac:dyDescent="0.25">
      <c r="A7974">
        <v>20140403</v>
      </c>
      <c r="B7974" t="str">
        <f t="shared" si="470"/>
        <v>115024</v>
      </c>
      <c r="C7974" t="str">
        <f t="shared" si="471"/>
        <v>24530</v>
      </c>
      <c r="D7974" t="s">
        <v>412</v>
      </c>
      <c r="E7974">
        <v>502.7</v>
      </c>
      <c r="F7974">
        <v>20140402</v>
      </c>
      <c r="G7974" t="s">
        <v>1222</v>
      </c>
      <c r="H7974" t="s">
        <v>414</v>
      </c>
      <c r="I7974" t="s">
        <v>21</v>
      </c>
    </row>
    <row r="7975" spans="1:9" x14ac:dyDescent="0.25">
      <c r="A7975">
        <v>20140403</v>
      </c>
      <c r="B7975" t="str">
        <f t="shared" si="470"/>
        <v>115024</v>
      </c>
      <c r="C7975" t="str">
        <f t="shared" si="471"/>
        <v>24530</v>
      </c>
      <c r="D7975" t="s">
        <v>412</v>
      </c>
      <c r="E7975">
        <v>726.2</v>
      </c>
      <c r="F7975">
        <v>20140402</v>
      </c>
      <c r="G7975" t="s">
        <v>628</v>
      </c>
      <c r="H7975" t="s">
        <v>414</v>
      </c>
      <c r="I7975" t="s">
        <v>21</v>
      </c>
    </row>
    <row r="7976" spans="1:9" x14ac:dyDescent="0.25">
      <c r="A7976">
        <v>20140403</v>
      </c>
      <c r="B7976" t="str">
        <f t="shared" si="470"/>
        <v>115024</v>
      </c>
      <c r="C7976" t="str">
        <f t="shared" si="471"/>
        <v>24530</v>
      </c>
      <c r="D7976" t="s">
        <v>412</v>
      </c>
      <c r="E7976">
        <v>143.80000000000001</v>
      </c>
      <c r="F7976">
        <v>20140402</v>
      </c>
      <c r="G7976" t="s">
        <v>530</v>
      </c>
      <c r="H7976" t="s">
        <v>414</v>
      </c>
      <c r="I7976" t="s">
        <v>21</v>
      </c>
    </row>
    <row r="7977" spans="1:9" x14ac:dyDescent="0.25">
      <c r="A7977">
        <v>20140403</v>
      </c>
      <c r="B7977" t="str">
        <f t="shared" si="470"/>
        <v>115024</v>
      </c>
      <c r="C7977" t="str">
        <f t="shared" si="471"/>
        <v>24530</v>
      </c>
      <c r="D7977" t="s">
        <v>412</v>
      </c>
      <c r="E7977" s="1">
        <v>3865.11</v>
      </c>
      <c r="F7977">
        <v>20140402</v>
      </c>
      <c r="G7977" t="s">
        <v>631</v>
      </c>
      <c r="H7977" t="s">
        <v>414</v>
      </c>
      <c r="I7977" t="s">
        <v>21</v>
      </c>
    </row>
    <row r="7978" spans="1:9" x14ac:dyDescent="0.25">
      <c r="A7978">
        <v>20140403</v>
      </c>
      <c r="B7978" t="str">
        <f t="shared" si="470"/>
        <v>115024</v>
      </c>
      <c r="C7978" t="str">
        <f t="shared" si="471"/>
        <v>24530</v>
      </c>
      <c r="D7978" t="s">
        <v>412</v>
      </c>
      <c r="E7978">
        <v>235.18</v>
      </c>
      <c r="F7978">
        <v>20140402</v>
      </c>
      <c r="G7978" t="s">
        <v>392</v>
      </c>
      <c r="H7978" t="s">
        <v>414</v>
      </c>
      <c r="I7978" t="s">
        <v>21</v>
      </c>
    </row>
    <row r="7979" spans="1:9" x14ac:dyDescent="0.25">
      <c r="A7979">
        <v>20140403</v>
      </c>
      <c r="B7979" t="str">
        <f t="shared" si="470"/>
        <v>115024</v>
      </c>
      <c r="C7979" t="str">
        <f t="shared" si="471"/>
        <v>24530</v>
      </c>
      <c r="D7979" t="s">
        <v>412</v>
      </c>
      <c r="E7979">
        <v>-187.74</v>
      </c>
      <c r="F7979">
        <v>20140403</v>
      </c>
      <c r="G7979" t="s">
        <v>392</v>
      </c>
      <c r="H7979" t="s">
        <v>416</v>
      </c>
      <c r="I7979" t="s">
        <v>21</v>
      </c>
    </row>
    <row r="7980" spans="1:9" x14ac:dyDescent="0.25">
      <c r="A7980">
        <v>20140403</v>
      </c>
      <c r="B7980" t="str">
        <f t="shared" si="470"/>
        <v>115024</v>
      </c>
      <c r="C7980" t="str">
        <f t="shared" si="471"/>
        <v>24530</v>
      </c>
      <c r="D7980" t="s">
        <v>412</v>
      </c>
      <c r="E7980">
        <v>314.81</v>
      </c>
      <c r="F7980">
        <v>20140402</v>
      </c>
      <c r="G7980" t="s">
        <v>531</v>
      </c>
      <c r="H7980" t="s">
        <v>414</v>
      </c>
      <c r="I7980" t="s">
        <v>21</v>
      </c>
    </row>
    <row r="7981" spans="1:9" x14ac:dyDescent="0.25">
      <c r="A7981">
        <v>20140403</v>
      </c>
      <c r="B7981" t="str">
        <f t="shared" si="470"/>
        <v>115024</v>
      </c>
      <c r="C7981" t="str">
        <f t="shared" si="471"/>
        <v>24530</v>
      </c>
      <c r="D7981" t="s">
        <v>412</v>
      </c>
      <c r="E7981">
        <v>489.85</v>
      </c>
      <c r="F7981">
        <v>20140402</v>
      </c>
      <c r="G7981" t="s">
        <v>417</v>
      </c>
      <c r="H7981" t="s">
        <v>414</v>
      </c>
      <c r="I7981" t="s">
        <v>21</v>
      </c>
    </row>
    <row r="7982" spans="1:9" x14ac:dyDescent="0.25">
      <c r="A7982">
        <v>20140403</v>
      </c>
      <c r="B7982" t="str">
        <f t="shared" si="470"/>
        <v>115024</v>
      </c>
      <c r="C7982" t="str">
        <f t="shared" si="471"/>
        <v>24530</v>
      </c>
      <c r="D7982" t="s">
        <v>412</v>
      </c>
      <c r="E7982" s="1">
        <v>1019.17</v>
      </c>
      <c r="F7982">
        <v>20140403</v>
      </c>
      <c r="G7982" t="s">
        <v>3820</v>
      </c>
      <c r="H7982" t="s">
        <v>414</v>
      </c>
      <c r="I7982" t="s">
        <v>21</v>
      </c>
    </row>
    <row r="7983" spans="1:9" x14ac:dyDescent="0.25">
      <c r="A7983">
        <v>20140403</v>
      </c>
      <c r="B7983" t="str">
        <f>"115025"</f>
        <v>115025</v>
      </c>
      <c r="C7983" t="str">
        <f>"87805"</f>
        <v>87805</v>
      </c>
      <c r="D7983" t="s">
        <v>3821</v>
      </c>
      <c r="E7983">
        <v>140.85</v>
      </c>
      <c r="F7983">
        <v>20140402</v>
      </c>
      <c r="G7983" t="s">
        <v>1846</v>
      </c>
      <c r="H7983" t="s">
        <v>765</v>
      </c>
      <c r="I7983" t="s">
        <v>63</v>
      </c>
    </row>
    <row r="7984" spans="1:9" x14ac:dyDescent="0.25">
      <c r="A7984">
        <v>20140403</v>
      </c>
      <c r="B7984" t="str">
        <f t="shared" ref="B7984:B7996" si="472">"115026"</f>
        <v>115026</v>
      </c>
      <c r="C7984" t="str">
        <f t="shared" ref="C7984:C7996" si="473">"87714"</f>
        <v>87714</v>
      </c>
      <c r="D7984" t="s">
        <v>3141</v>
      </c>
      <c r="E7984" s="1">
        <v>3451.51</v>
      </c>
      <c r="F7984">
        <v>20140401</v>
      </c>
      <c r="G7984" t="s">
        <v>717</v>
      </c>
      <c r="H7984" t="s">
        <v>488</v>
      </c>
      <c r="I7984" t="s">
        <v>21</v>
      </c>
    </row>
    <row r="7985" spans="1:9" x14ac:dyDescent="0.25">
      <c r="A7985">
        <v>20140403</v>
      </c>
      <c r="B7985" t="str">
        <f t="shared" si="472"/>
        <v>115026</v>
      </c>
      <c r="C7985" t="str">
        <f t="shared" si="473"/>
        <v>87714</v>
      </c>
      <c r="D7985" t="s">
        <v>3141</v>
      </c>
      <c r="E7985" s="1">
        <v>34898.699999999997</v>
      </c>
      <c r="F7985">
        <v>20140401</v>
      </c>
      <c r="G7985" t="s">
        <v>718</v>
      </c>
      <c r="H7985" t="s">
        <v>488</v>
      </c>
      <c r="I7985" t="s">
        <v>21</v>
      </c>
    </row>
    <row r="7986" spans="1:9" x14ac:dyDescent="0.25">
      <c r="A7986">
        <v>20140403</v>
      </c>
      <c r="B7986" t="str">
        <f t="shared" si="472"/>
        <v>115026</v>
      </c>
      <c r="C7986" t="str">
        <f t="shared" si="473"/>
        <v>87714</v>
      </c>
      <c r="D7986" t="s">
        <v>3141</v>
      </c>
      <c r="E7986">
        <v>45.59</v>
      </c>
      <c r="F7986">
        <v>20140401</v>
      </c>
      <c r="G7986" t="s">
        <v>719</v>
      </c>
      <c r="H7986" t="s">
        <v>488</v>
      </c>
      <c r="I7986" t="s">
        <v>21</v>
      </c>
    </row>
    <row r="7987" spans="1:9" x14ac:dyDescent="0.25">
      <c r="A7987">
        <v>20140403</v>
      </c>
      <c r="B7987" t="str">
        <f t="shared" si="472"/>
        <v>115026</v>
      </c>
      <c r="C7987" t="str">
        <f t="shared" si="473"/>
        <v>87714</v>
      </c>
      <c r="D7987" t="s">
        <v>3141</v>
      </c>
      <c r="E7987" s="1">
        <v>6620.5</v>
      </c>
      <c r="F7987">
        <v>20140401</v>
      </c>
      <c r="G7987" t="s">
        <v>720</v>
      </c>
      <c r="H7987" t="s">
        <v>488</v>
      </c>
      <c r="I7987" t="s">
        <v>21</v>
      </c>
    </row>
    <row r="7988" spans="1:9" x14ac:dyDescent="0.25">
      <c r="A7988">
        <v>20140403</v>
      </c>
      <c r="B7988" t="str">
        <f t="shared" si="472"/>
        <v>115026</v>
      </c>
      <c r="C7988" t="str">
        <f t="shared" si="473"/>
        <v>87714</v>
      </c>
      <c r="D7988" t="s">
        <v>3141</v>
      </c>
      <c r="E7988" s="1">
        <v>6272.28</v>
      </c>
      <c r="F7988">
        <v>20140401</v>
      </c>
      <c r="G7988" t="s">
        <v>722</v>
      </c>
      <c r="H7988" t="s">
        <v>488</v>
      </c>
      <c r="I7988" t="s">
        <v>21</v>
      </c>
    </row>
    <row r="7989" spans="1:9" x14ac:dyDescent="0.25">
      <c r="A7989">
        <v>20140403</v>
      </c>
      <c r="B7989" t="str">
        <f t="shared" si="472"/>
        <v>115026</v>
      </c>
      <c r="C7989" t="str">
        <f t="shared" si="473"/>
        <v>87714</v>
      </c>
      <c r="D7989" t="s">
        <v>3141</v>
      </c>
      <c r="E7989" s="1">
        <v>5117.99</v>
      </c>
      <c r="F7989">
        <v>20140401</v>
      </c>
      <c r="G7989" t="s">
        <v>723</v>
      </c>
      <c r="H7989" t="s">
        <v>488</v>
      </c>
      <c r="I7989" t="s">
        <v>21</v>
      </c>
    </row>
    <row r="7990" spans="1:9" x14ac:dyDescent="0.25">
      <c r="A7990">
        <v>20140403</v>
      </c>
      <c r="B7990" t="str">
        <f t="shared" si="472"/>
        <v>115026</v>
      </c>
      <c r="C7990" t="str">
        <f t="shared" si="473"/>
        <v>87714</v>
      </c>
      <c r="D7990" t="s">
        <v>3141</v>
      </c>
      <c r="E7990">
        <v>362.33</v>
      </c>
      <c r="F7990">
        <v>20140401</v>
      </c>
      <c r="G7990" t="s">
        <v>724</v>
      </c>
      <c r="H7990" t="s">
        <v>488</v>
      </c>
      <c r="I7990" t="s">
        <v>21</v>
      </c>
    </row>
    <row r="7991" spans="1:9" x14ac:dyDescent="0.25">
      <c r="A7991">
        <v>20140403</v>
      </c>
      <c r="B7991" t="str">
        <f t="shared" si="472"/>
        <v>115026</v>
      </c>
      <c r="C7991" t="str">
        <f t="shared" si="473"/>
        <v>87714</v>
      </c>
      <c r="D7991" t="s">
        <v>3141</v>
      </c>
      <c r="E7991" s="1">
        <v>6825.29</v>
      </c>
      <c r="F7991">
        <v>20140401</v>
      </c>
      <c r="G7991" t="s">
        <v>725</v>
      </c>
      <c r="H7991" t="s">
        <v>488</v>
      </c>
      <c r="I7991" t="s">
        <v>21</v>
      </c>
    </row>
    <row r="7992" spans="1:9" x14ac:dyDescent="0.25">
      <c r="A7992">
        <v>20140403</v>
      </c>
      <c r="B7992" t="str">
        <f t="shared" si="472"/>
        <v>115026</v>
      </c>
      <c r="C7992" t="str">
        <f t="shared" si="473"/>
        <v>87714</v>
      </c>
      <c r="D7992" t="s">
        <v>3141</v>
      </c>
      <c r="E7992" s="1">
        <v>2757.99</v>
      </c>
      <c r="F7992">
        <v>20140401</v>
      </c>
      <c r="G7992" t="s">
        <v>727</v>
      </c>
      <c r="H7992" t="s">
        <v>488</v>
      </c>
      <c r="I7992" t="s">
        <v>21</v>
      </c>
    </row>
    <row r="7993" spans="1:9" x14ac:dyDescent="0.25">
      <c r="A7993">
        <v>20140403</v>
      </c>
      <c r="B7993" t="str">
        <f t="shared" si="472"/>
        <v>115026</v>
      </c>
      <c r="C7993" t="str">
        <f t="shared" si="473"/>
        <v>87714</v>
      </c>
      <c r="D7993" t="s">
        <v>3141</v>
      </c>
      <c r="E7993" s="1">
        <v>1596.17</v>
      </c>
      <c r="F7993">
        <v>20140401</v>
      </c>
      <c r="G7993" t="s">
        <v>728</v>
      </c>
      <c r="H7993" t="s">
        <v>488</v>
      </c>
      <c r="I7993" t="s">
        <v>21</v>
      </c>
    </row>
    <row r="7994" spans="1:9" x14ac:dyDescent="0.25">
      <c r="A7994">
        <v>20140403</v>
      </c>
      <c r="B7994" t="str">
        <f t="shared" si="472"/>
        <v>115026</v>
      </c>
      <c r="C7994" t="str">
        <f t="shared" si="473"/>
        <v>87714</v>
      </c>
      <c r="D7994" t="s">
        <v>3141</v>
      </c>
      <c r="E7994" s="1">
        <v>1317.52</v>
      </c>
      <c r="F7994">
        <v>20140401</v>
      </c>
      <c r="G7994" t="s">
        <v>729</v>
      </c>
      <c r="H7994" t="s">
        <v>488</v>
      </c>
      <c r="I7994" t="s">
        <v>21</v>
      </c>
    </row>
    <row r="7995" spans="1:9" x14ac:dyDescent="0.25">
      <c r="A7995">
        <v>20140403</v>
      </c>
      <c r="B7995" t="str">
        <f t="shared" si="472"/>
        <v>115026</v>
      </c>
      <c r="C7995" t="str">
        <f t="shared" si="473"/>
        <v>87714</v>
      </c>
      <c r="D7995" t="s">
        <v>3141</v>
      </c>
      <c r="E7995" s="1">
        <v>1323.12</v>
      </c>
      <c r="F7995">
        <v>20140401</v>
      </c>
      <c r="G7995" t="s">
        <v>643</v>
      </c>
      <c r="H7995" t="s">
        <v>488</v>
      </c>
      <c r="I7995" t="s">
        <v>21</v>
      </c>
    </row>
    <row r="7996" spans="1:9" x14ac:dyDescent="0.25">
      <c r="A7996">
        <v>20140403</v>
      </c>
      <c r="B7996" t="str">
        <f t="shared" si="472"/>
        <v>115026</v>
      </c>
      <c r="C7996" t="str">
        <f t="shared" si="473"/>
        <v>87714</v>
      </c>
      <c r="D7996" t="s">
        <v>3141</v>
      </c>
      <c r="E7996">
        <v>11.39</v>
      </c>
      <c r="F7996">
        <v>20140401</v>
      </c>
      <c r="G7996" t="s">
        <v>467</v>
      </c>
      <c r="H7996" t="s">
        <v>488</v>
      </c>
      <c r="I7996" t="s">
        <v>21</v>
      </c>
    </row>
    <row r="7997" spans="1:9" x14ac:dyDescent="0.25">
      <c r="A7997">
        <v>20140403</v>
      </c>
      <c r="B7997" t="str">
        <f>"115027"</f>
        <v>115027</v>
      </c>
      <c r="C7997" t="str">
        <f>"87804"</f>
        <v>87804</v>
      </c>
      <c r="D7997" t="s">
        <v>3822</v>
      </c>
      <c r="E7997">
        <v>97.74</v>
      </c>
      <c r="F7997">
        <v>20140402</v>
      </c>
      <c r="G7997" t="s">
        <v>1846</v>
      </c>
      <c r="H7997" t="s">
        <v>765</v>
      </c>
      <c r="I7997" t="s">
        <v>63</v>
      </c>
    </row>
    <row r="7998" spans="1:9" x14ac:dyDescent="0.25">
      <c r="A7998">
        <v>20140403</v>
      </c>
      <c r="B7998" t="str">
        <f t="shared" ref="B7998:B8010" si="474">"115028"</f>
        <v>115028</v>
      </c>
      <c r="C7998" t="str">
        <f t="shared" ref="C7998:C8010" si="475">"82286"</f>
        <v>82286</v>
      </c>
      <c r="D7998" t="s">
        <v>532</v>
      </c>
      <c r="E7998" s="1">
        <v>1808.87</v>
      </c>
      <c r="F7998">
        <v>20140402</v>
      </c>
      <c r="G7998" t="s">
        <v>533</v>
      </c>
      <c r="H7998" t="s">
        <v>534</v>
      </c>
      <c r="I7998" t="s">
        <v>21</v>
      </c>
    </row>
    <row r="7999" spans="1:9" x14ac:dyDescent="0.25">
      <c r="A7999">
        <v>20140403</v>
      </c>
      <c r="B7999" t="str">
        <f t="shared" si="474"/>
        <v>115028</v>
      </c>
      <c r="C7999" t="str">
        <f t="shared" si="475"/>
        <v>82286</v>
      </c>
      <c r="D7999" t="s">
        <v>532</v>
      </c>
      <c r="E7999">
        <v>48.89</v>
      </c>
      <c r="F7999">
        <v>20140402</v>
      </c>
      <c r="G7999" t="s">
        <v>535</v>
      </c>
      <c r="H7999" t="s">
        <v>534</v>
      </c>
      <c r="I7999" t="s">
        <v>21</v>
      </c>
    </row>
    <row r="8000" spans="1:9" x14ac:dyDescent="0.25">
      <c r="A8000">
        <v>20140403</v>
      </c>
      <c r="B8000" t="str">
        <f t="shared" si="474"/>
        <v>115028</v>
      </c>
      <c r="C8000" t="str">
        <f t="shared" si="475"/>
        <v>82286</v>
      </c>
      <c r="D8000" t="s">
        <v>532</v>
      </c>
      <c r="E8000">
        <v>433.32</v>
      </c>
      <c r="F8000">
        <v>20140402</v>
      </c>
      <c r="G8000" t="s">
        <v>536</v>
      </c>
      <c r="H8000" t="s">
        <v>534</v>
      </c>
      <c r="I8000" t="s">
        <v>21</v>
      </c>
    </row>
    <row r="8001" spans="1:9" x14ac:dyDescent="0.25">
      <c r="A8001">
        <v>20140403</v>
      </c>
      <c r="B8001" t="str">
        <f t="shared" si="474"/>
        <v>115028</v>
      </c>
      <c r="C8001" t="str">
        <f t="shared" si="475"/>
        <v>82286</v>
      </c>
      <c r="D8001" t="s">
        <v>532</v>
      </c>
      <c r="E8001">
        <v>180.51</v>
      </c>
      <c r="F8001">
        <v>20140402</v>
      </c>
      <c r="G8001" t="s">
        <v>536</v>
      </c>
      <c r="H8001" t="s">
        <v>534</v>
      </c>
      <c r="I8001" t="s">
        <v>21</v>
      </c>
    </row>
    <row r="8002" spans="1:9" x14ac:dyDescent="0.25">
      <c r="A8002">
        <v>20140403</v>
      </c>
      <c r="B8002" t="str">
        <f t="shared" si="474"/>
        <v>115028</v>
      </c>
      <c r="C8002" t="str">
        <f t="shared" si="475"/>
        <v>82286</v>
      </c>
      <c r="D8002" t="s">
        <v>532</v>
      </c>
      <c r="E8002">
        <v>300</v>
      </c>
      <c r="F8002">
        <v>20140402</v>
      </c>
      <c r="G8002" t="s">
        <v>536</v>
      </c>
      <c r="H8002" t="s">
        <v>534</v>
      </c>
      <c r="I8002" t="s">
        <v>21</v>
      </c>
    </row>
    <row r="8003" spans="1:9" x14ac:dyDescent="0.25">
      <c r="A8003">
        <v>20140403</v>
      </c>
      <c r="B8003" t="str">
        <f t="shared" si="474"/>
        <v>115028</v>
      </c>
      <c r="C8003" t="str">
        <f t="shared" si="475"/>
        <v>82286</v>
      </c>
      <c r="D8003" t="s">
        <v>532</v>
      </c>
      <c r="E8003">
        <v>244.44</v>
      </c>
      <c r="F8003">
        <v>20140402</v>
      </c>
      <c r="G8003" t="s">
        <v>537</v>
      </c>
      <c r="H8003" t="s">
        <v>534</v>
      </c>
      <c r="I8003" t="s">
        <v>21</v>
      </c>
    </row>
    <row r="8004" spans="1:9" x14ac:dyDescent="0.25">
      <c r="A8004">
        <v>20140403</v>
      </c>
      <c r="B8004" t="str">
        <f t="shared" si="474"/>
        <v>115028</v>
      </c>
      <c r="C8004" t="str">
        <f t="shared" si="475"/>
        <v>82286</v>
      </c>
      <c r="D8004" t="s">
        <v>532</v>
      </c>
      <c r="E8004">
        <v>293.39</v>
      </c>
      <c r="F8004">
        <v>20140402</v>
      </c>
      <c r="G8004" t="s">
        <v>538</v>
      </c>
      <c r="H8004" t="s">
        <v>534</v>
      </c>
      <c r="I8004" t="s">
        <v>21</v>
      </c>
    </row>
    <row r="8005" spans="1:9" x14ac:dyDescent="0.25">
      <c r="A8005">
        <v>20140403</v>
      </c>
      <c r="B8005" t="str">
        <f t="shared" si="474"/>
        <v>115028</v>
      </c>
      <c r="C8005" t="str">
        <f t="shared" si="475"/>
        <v>82286</v>
      </c>
      <c r="D8005" t="s">
        <v>532</v>
      </c>
      <c r="E8005">
        <v>342.21</v>
      </c>
      <c r="F8005">
        <v>20140402</v>
      </c>
      <c r="G8005" t="s">
        <v>539</v>
      </c>
      <c r="H8005" t="s">
        <v>534</v>
      </c>
      <c r="I8005" t="s">
        <v>21</v>
      </c>
    </row>
    <row r="8006" spans="1:9" x14ac:dyDescent="0.25">
      <c r="A8006">
        <v>20140403</v>
      </c>
      <c r="B8006" t="str">
        <f t="shared" si="474"/>
        <v>115028</v>
      </c>
      <c r="C8006" t="str">
        <f t="shared" si="475"/>
        <v>82286</v>
      </c>
      <c r="D8006" t="s">
        <v>532</v>
      </c>
      <c r="E8006">
        <v>180.52</v>
      </c>
      <c r="F8006">
        <v>20140402</v>
      </c>
      <c r="G8006" t="s">
        <v>540</v>
      </c>
      <c r="H8006" t="s">
        <v>534</v>
      </c>
      <c r="I8006" t="s">
        <v>21</v>
      </c>
    </row>
    <row r="8007" spans="1:9" x14ac:dyDescent="0.25">
      <c r="A8007">
        <v>20140403</v>
      </c>
      <c r="B8007" t="str">
        <f t="shared" si="474"/>
        <v>115028</v>
      </c>
      <c r="C8007" t="str">
        <f t="shared" si="475"/>
        <v>82286</v>
      </c>
      <c r="D8007" t="s">
        <v>532</v>
      </c>
      <c r="E8007">
        <v>782.21</v>
      </c>
      <c r="F8007">
        <v>20140402</v>
      </c>
      <c r="G8007" t="s">
        <v>542</v>
      </c>
      <c r="H8007" t="s">
        <v>534</v>
      </c>
      <c r="I8007" t="s">
        <v>21</v>
      </c>
    </row>
    <row r="8008" spans="1:9" x14ac:dyDescent="0.25">
      <c r="A8008">
        <v>20140403</v>
      </c>
      <c r="B8008" t="str">
        <f t="shared" si="474"/>
        <v>115028</v>
      </c>
      <c r="C8008" t="str">
        <f t="shared" si="475"/>
        <v>82286</v>
      </c>
      <c r="D8008" t="s">
        <v>532</v>
      </c>
      <c r="E8008">
        <v>48.89</v>
      </c>
      <c r="F8008">
        <v>20140402</v>
      </c>
      <c r="G8008" t="s">
        <v>543</v>
      </c>
      <c r="H8008" t="s">
        <v>534</v>
      </c>
      <c r="I8008" t="s">
        <v>21</v>
      </c>
    </row>
    <row r="8009" spans="1:9" x14ac:dyDescent="0.25">
      <c r="A8009">
        <v>20140403</v>
      </c>
      <c r="B8009" t="str">
        <f t="shared" si="474"/>
        <v>115028</v>
      </c>
      <c r="C8009" t="str">
        <f t="shared" si="475"/>
        <v>82286</v>
      </c>
      <c r="D8009" t="s">
        <v>532</v>
      </c>
      <c r="E8009">
        <v>293.37</v>
      </c>
      <c r="F8009">
        <v>20140402</v>
      </c>
      <c r="G8009" t="s">
        <v>544</v>
      </c>
      <c r="H8009" t="s">
        <v>534</v>
      </c>
      <c r="I8009" t="s">
        <v>21</v>
      </c>
    </row>
    <row r="8010" spans="1:9" x14ac:dyDescent="0.25">
      <c r="A8010">
        <v>20140403</v>
      </c>
      <c r="B8010" t="str">
        <f t="shared" si="474"/>
        <v>115028</v>
      </c>
      <c r="C8010" t="str">
        <f t="shared" si="475"/>
        <v>82286</v>
      </c>
      <c r="D8010" t="s">
        <v>532</v>
      </c>
      <c r="E8010">
        <v>293.38</v>
      </c>
      <c r="F8010">
        <v>20140402</v>
      </c>
      <c r="G8010" t="s">
        <v>545</v>
      </c>
      <c r="H8010" t="s">
        <v>534</v>
      </c>
      <c r="I8010" t="s">
        <v>21</v>
      </c>
    </row>
    <row r="8011" spans="1:9" x14ac:dyDescent="0.25">
      <c r="A8011">
        <v>20140403</v>
      </c>
      <c r="B8011" t="str">
        <f>"115029"</f>
        <v>115029</v>
      </c>
      <c r="C8011" t="str">
        <f>"87741"</f>
        <v>87741</v>
      </c>
      <c r="D8011" t="s">
        <v>3378</v>
      </c>
      <c r="E8011">
        <v>266.89999999999998</v>
      </c>
      <c r="F8011">
        <v>20140402</v>
      </c>
      <c r="G8011" t="s">
        <v>159</v>
      </c>
      <c r="H8011" t="s">
        <v>513</v>
      </c>
      <c r="I8011" t="s">
        <v>25</v>
      </c>
    </row>
    <row r="8012" spans="1:9" x14ac:dyDescent="0.25">
      <c r="A8012">
        <v>20140403</v>
      </c>
      <c r="B8012" t="str">
        <f>"115030"</f>
        <v>115030</v>
      </c>
      <c r="C8012" t="str">
        <f>"81027"</f>
        <v>81027</v>
      </c>
      <c r="D8012" t="s">
        <v>816</v>
      </c>
      <c r="E8012">
        <v>92.23</v>
      </c>
      <c r="F8012">
        <v>20140402</v>
      </c>
      <c r="G8012" t="s">
        <v>1254</v>
      </c>
      <c r="H8012" t="s">
        <v>921</v>
      </c>
      <c r="I8012" t="s">
        <v>79</v>
      </c>
    </row>
    <row r="8013" spans="1:9" x14ac:dyDescent="0.25">
      <c r="A8013">
        <v>20140403</v>
      </c>
      <c r="B8013" t="str">
        <f>"115031"</f>
        <v>115031</v>
      </c>
      <c r="C8013" t="str">
        <f>"87803"</f>
        <v>87803</v>
      </c>
      <c r="D8013" t="s">
        <v>3823</v>
      </c>
      <c r="E8013">
        <v>88.64</v>
      </c>
      <c r="F8013">
        <v>20140402</v>
      </c>
      <c r="G8013" t="s">
        <v>1846</v>
      </c>
      <c r="H8013" t="s">
        <v>765</v>
      </c>
      <c r="I8013" t="s">
        <v>63</v>
      </c>
    </row>
    <row r="8014" spans="1:9" x14ac:dyDescent="0.25">
      <c r="A8014">
        <v>20140403</v>
      </c>
      <c r="B8014" t="str">
        <f t="shared" ref="B8014:B8033" si="476">"115032"</f>
        <v>115032</v>
      </c>
      <c r="C8014" t="str">
        <f t="shared" ref="C8014:C8033" si="477">"26990"</f>
        <v>26990</v>
      </c>
      <c r="D8014" t="s">
        <v>548</v>
      </c>
      <c r="E8014">
        <v>70</v>
      </c>
      <c r="F8014">
        <v>20140401</v>
      </c>
      <c r="G8014" t="s">
        <v>982</v>
      </c>
      <c r="H8014" t="s">
        <v>1054</v>
      </c>
      <c r="I8014" t="s">
        <v>21</v>
      </c>
    </row>
    <row r="8015" spans="1:9" x14ac:dyDescent="0.25">
      <c r="A8015">
        <v>20140403</v>
      </c>
      <c r="B8015" t="str">
        <f t="shared" si="476"/>
        <v>115032</v>
      </c>
      <c r="C8015" t="str">
        <f t="shared" si="477"/>
        <v>26990</v>
      </c>
      <c r="D8015" t="s">
        <v>548</v>
      </c>
      <c r="E8015">
        <v>70</v>
      </c>
      <c r="F8015">
        <v>20140401</v>
      </c>
      <c r="G8015" t="s">
        <v>2060</v>
      </c>
      <c r="H8015" t="s">
        <v>1054</v>
      </c>
      <c r="I8015" t="s">
        <v>21</v>
      </c>
    </row>
    <row r="8016" spans="1:9" x14ac:dyDescent="0.25">
      <c r="A8016">
        <v>20140403</v>
      </c>
      <c r="B8016" t="str">
        <f t="shared" si="476"/>
        <v>115032</v>
      </c>
      <c r="C8016" t="str">
        <f t="shared" si="477"/>
        <v>26990</v>
      </c>
      <c r="D8016" t="s">
        <v>548</v>
      </c>
      <c r="E8016" s="1">
        <v>7080</v>
      </c>
      <c r="F8016">
        <v>20140401</v>
      </c>
      <c r="G8016" t="s">
        <v>3824</v>
      </c>
      <c r="H8016" t="s">
        <v>3825</v>
      </c>
      <c r="I8016" t="s">
        <v>21</v>
      </c>
    </row>
    <row r="8017" spans="1:9" x14ac:dyDescent="0.25">
      <c r="A8017">
        <v>20140403</v>
      </c>
      <c r="B8017" t="str">
        <f t="shared" si="476"/>
        <v>115032</v>
      </c>
      <c r="C8017" t="str">
        <f t="shared" si="477"/>
        <v>26990</v>
      </c>
      <c r="D8017" t="s">
        <v>548</v>
      </c>
      <c r="E8017" s="1">
        <v>4500</v>
      </c>
      <c r="F8017">
        <v>20140401</v>
      </c>
      <c r="G8017" t="s">
        <v>3826</v>
      </c>
      <c r="H8017" t="s">
        <v>3827</v>
      </c>
      <c r="I8017" t="s">
        <v>21</v>
      </c>
    </row>
    <row r="8018" spans="1:9" x14ac:dyDescent="0.25">
      <c r="A8018">
        <v>20140403</v>
      </c>
      <c r="B8018" t="str">
        <f t="shared" si="476"/>
        <v>115032</v>
      </c>
      <c r="C8018" t="str">
        <f t="shared" si="477"/>
        <v>26990</v>
      </c>
      <c r="D8018" t="s">
        <v>548</v>
      </c>
      <c r="E8018" s="1">
        <v>26307.14</v>
      </c>
      <c r="F8018">
        <v>20140401</v>
      </c>
      <c r="G8018" t="s">
        <v>1840</v>
      </c>
      <c r="H8018" t="s">
        <v>3828</v>
      </c>
      <c r="I8018" t="s">
        <v>21</v>
      </c>
    </row>
    <row r="8019" spans="1:9" x14ac:dyDescent="0.25">
      <c r="A8019">
        <v>20140403</v>
      </c>
      <c r="B8019" t="str">
        <f t="shared" si="476"/>
        <v>115032</v>
      </c>
      <c r="C8019" t="str">
        <f t="shared" si="477"/>
        <v>26990</v>
      </c>
      <c r="D8019" t="s">
        <v>548</v>
      </c>
      <c r="E8019" s="1">
        <v>2700</v>
      </c>
      <c r="F8019">
        <v>20140401</v>
      </c>
      <c r="G8019" t="s">
        <v>1840</v>
      </c>
      <c r="H8019" t="s">
        <v>3828</v>
      </c>
      <c r="I8019" t="s">
        <v>21</v>
      </c>
    </row>
    <row r="8020" spans="1:9" x14ac:dyDescent="0.25">
      <c r="A8020">
        <v>20140403</v>
      </c>
      <c r="B8020" t="str">
        <f t="shared" si="476"/>
        <v>115032</v>
      </c>
      <c r="C8020" t="str">
        <f t="shared" si="477"/>
        <v>26990</v>
      </c>
      <c r="D8020" t="s">
        <v>548</v>
      </c>
      <c r="E8020" s="1">
        <v>13200</v>
      </c>
      <c r="F8020">
        <v>20140401</v>
      </c>
      <c r="G8020" t="s">
        <v>3829</v>
      </c>
      <c r="H8020" t="s">
        <v>3830</v>
      </c>
      <c r="I8020" t="s">
        <v>21</v>
      </c>
    </row>
    <row r="8021" spans="1:9" x14ac:dyDescent="0.25">
      <c r="A8021">
        <v>20140403</v>
      </c>
      <c r="B8021" t="str">
        <f t="shared" si="476"/>
        <v>115032</v>
      </c>
      <c r="C8021" t="str">
        <f t="shared" si="477"/>
        <v>26990</v>
      </c>
      <c r="D8021" t="s">
        <v>548</v>
      </c>
      <c r="E8021" s="1">
        <v>4450</v>
      </c>
      <c r="F8021">
        <v>20140401</v>
      </c>
      <c r="G8021" t="s">
        <v>3831</v>
      </c>
      <c r="H8021" t="s">
        <v>3832</v>
      </c>
      <c r="I8021" t="s">
        <v>21</v>
      </c>
    </row>
    <row r="8022" spans="1:9" x14ac:dyDescent="0.25">
      <c r="A8022">
        <v>20140403</v>
      </c>
      <c r="B8022" t="str">
        <f t="shared" si="476"/>
        <v>115032</v>
      </c>
      <c r="C8022" t="str">
        <f t="shared" si="477"/>
        <v>26990</v>
      </c>
      <c r="D8022" t="s">
        <v>548</v>
      </c>
      <c r="E8022" s="1">
        <v>3092.46</v>
      </c>
      <c r="F8022">
        <v>20140401</v>
      </c>
      <c r="G8022" t="s">
        <v>3833</v>
      </c>
      <c r="H8022" t="s">
        <v>3834</v>
      </c>
      <c r="I8022" t="s">
        <v>21</v>
      </c>
    </row>
    <row r="8023" spans="1:9" x14ac:dyDescent="0.25">
      <c r="A8023">
        <v>20140403</v>
      </c>
      <c r="B8023" t="str">
        <f t="shared" si="476"/>
        <v>115032</v>
      </c>
      <c r="C8023" t="str">
        <f t="shared" si="477"/>
        <v>26990</v>
      </c>
      <c r="D8023" t="s">
        <v>548</v>
      </c>
      <c r="E8023">
        <v>30</v>
      </c>
      <c r="F8023">
        <v>20140401</v>
      </c>
      <c r="G8023" t="s">
        <v>426</v>
      </c>
      <c r="H8023" t="s">
        <v>3835</v>
      </c>
      <c r="I8023" t="s">
        <v>21</v>
      </c>
    </row>
    <row r="8024" spans="1:9" x14ac:dyDescent="0.25">
      <c r="A8024">
        <v>20140403</v>
      </c>
      <c r="B8024" t="str">
        <f t="shared" si="476"/>
        <v>115032</v>
      </c>
      <c r="C8024" t="str">
        <f t="shared" si="477"/>
        <v>26990</v>
      </c>
      <c r="D8024" t="s">
        <v>548</v>
      </c>
      <c r="E8024" s="1">
        <v>3250</v>
      </c>
      <c r="F8024">
        <v>20140401</v>
      </c>
      <c r="G8024" t="s">
        <v>3836</v>
      </c>
      <c r="H8024" t="s">
        <v>3837</v>
      </c>
      <c r="I8024" t="s">
        <v>21</v>
      </c>
    </row>
    <row r="8025" spans="1:9" x14ac:dyDescent="0.25">
      <c r="A8025">
        <v>20140403</v>
      </c>
      <c r="B8025" t="str">
        <f t="shared" si="476"/>
        <v>115032</v>
      </c>
      <c r="C8025" t="str">
        <f t="shared" si="477"/>
        <v>26990</v>
      </c>
      <c r="D8025" t="s">
        <v>548</v>
      </c>
      <c r="E8025">
        <v>135</v>
      </c>
      <c r="F8025">
        <v>20140401</v>
      </c>
      <c r="G8025" t="s">
        <v>704</v>
      </c>
      <c r="H8025" t="s">
        <v>2468</v>
      </c>
      <c r="I8025" t="s">
        <v>21</v>
      </c>
    </row>
    <row r="8026" spans="1:9" x14ac:dyDescent="0.25">
      <c r="A8026">
        <v>20140403</v>
      </c>
      <c r="B8026" t="str">
        <f t="shared" si="476"/>
        <v>115032</v>
      </c>
      <c r="C8026" t="str">
        <f t="shared" si="477"/>
        <v>26990</v>
      </c>
      <c r="D8026" t="s">
        <v>548</v>
      </c>
      <c r="E8026" s="1">
        <v>93738.62</v>
      </c>
      <c r="F8026">
        <v>20140401</v>
      </c>
      <c r="G8026" t="s">
        <v>3838</v>
      </c>
      <c r="H8026" t="s">
        <v>3839</v>
      </c>
      <c r="I8026" t="s">
        <v>21</v>
      </c>
    </row>
    <row r="8027" spans="1:9" x14ac:dyDescent="0.25">
      <c r="A8027">
        <v>20140403</v>
      </c>
      <c r="B8027" t="str">
        <f t="shared" si="476"/>
        <v>115032</v>
      </c>
      <c r="C8027" t="str">
        <f t="shared" si="477"/>
        <v>26990</v>
      </c>
      <c r="D8027" t="s">
        <v>548</v>
      </c>
      <c r="E8027" s="1">
        <v>1200</v>
      </c>
      <c r="F8027">
        <v>20140401</v>
      </c>
      <c r="G8027" t="s">
        <v>3840</v>
      </c>
      <c r="H8027" t="s">
        <v>3841</v>
      </c>
      <c r="I8027" t="s">
        <v>21</v>
      </c>
    </row>
    <row r="8028" spans="1:9" x14ac:dyDescent="0.25">
      <c r="A8028">
        <v>20140403</v>
      </c>
      <c r="B8028" t="str">
        <f t="shared" si="476"/>
        <v>115032</v>
      </c>
      <c r="C8028" t="str">
        <f t="shared" si="477"/>
        <v>26990</v>
      </c>
      <c r="D8028" t="s">
        <v>548</v>
      </c>
      <c r="E8028" s="1">
        <v>3500</v>
      </c>
      <c r="F8028">
        <v>20140401</v>
      </c>
      <c r="G8028" t="s">
        <v>3840</v>
      </c>
      <c r="H8028" t="s">
        <v>3842</v>
      </c>
      <c r="I8028" t="s">
        <v>21</v>
      </c>
    </row>
    <row r="8029" spans="1:9" x14ac:dyDescent="0.25">
      <c r="A8029">
        <v>20140403</v>
      </c>
      <c r="B8029" t="str">
        <f t="shared" si="476"/>
        <v>115032</v>
      </c>
      <c r="C8029" t="str">
        <f t="shared" si="477"/>
        <v>26990</v>
      </c>
      <c r="D8029" t="s">
        <v>548</v>
      </c>
      <c r="E8029" s="1">
        <v>8439</v>
      </c>
      <c r="F8029">
        <v>20140401</v>
      </c>
      <c r="G8029" t="s">
        <v>3843</v>
      </c>
      <c r="H8029" t="s">
        <v>3844</v>
      </c>
      <c r="I8029" t="s">
        <v>66</v>
      </c>
    </row>
    <row r="8030" spans="1:9" x14ac:dyDescent="0.25">
      <c r="A8030">
        <v>20140403</v>
      </c>
      <c r="B8030" t="str">
        <f t="shared" si="476"/>
        <v>115032</v>
      </c>
      <c r="C8030" t="str">
        <f t="shared" si="477"/>
        <v>26990</v>
      </c>
      <c r="D8030" t="s">
        <v>548</v>
      </c>
      <c r="E8030">
        <v>70</v>
      </c>
      <c r="F8030">
        <v>20140401</v>
      </c>
      <c r="G8030" t="s">
        <v>810</v>
      </c>
      <c r="H8030" t="s">
        <v>1054</v>
      </c>
      <c r="I8030" t="s">
        <v>66</v>
      </c>
    </row>
    <row r="8031" spans="1:9" x14ac:dyDescent="0.25">
      <c r="A8031">
        <v>20140403</v>
      </c>
      <c r="B8031" t="str">
        <f t="shared" si="476"/>
        <v>115032</v>
      </c>
      <c r="C8031" t="str">
        <f t="shared" si="477"/>
        <v>26990</v>
      </c>
      <c r="D8031" t="s">
        <v>548</v>
      </c>
      <c r="E8031">
        <v>70</v>
      </c>
      <c r="F8031">
        <v>20140401</v>
      </c>
      <c r="G8031" t="s">
        <v>1724</v>
      </c>
      <c r="H8031" t="s">
        <v>1054</v>
      </c>
      <c r="I8031" t="s">
        <v>66</v>
      </c>
    </row>
    <row r="8032" spans="1:9" x14ac:dyDescent="0.25">
      <c r="A8032">
        <v>20140403</v>
      </c>
      <c r="B8032" t="str">
        <f t="shared" si="476"/>
        <v>115032</v>
      </c>
      <c r="C8032" t="str">
        <f t="shared" si="477"/>
        <v>26990</v>
      </c>
      <c r="D8032" t="s">
        <v>548</v>
      </c>
      <c r="E8032">
        <v>140</v>
      </c>
      <c r="F8032">
        <v>20140401</v>
      </c>
      <c r="G8032" t="s">
        <v>1724</v>
      </c>
      <c r="H8032" t="s">
        <v>1410</v>
      </c>
      <c r="I8032" t="s">
        <v>66</v>
      </c>
    </row>
    <row r="8033" spans="1:9" x14ac:dyDescent="0.25">
      <c r="A8033">
        <v>20140403</v>
      </c>
      <c r="B8033" t="str">
        <f t="shared" si="476"/>
        <v>115032</v>
      </c>
      <c r="C8033" t="str">
        <f t="shared" si="477"/>
        <v>26990</v>
      </c>
      <c r="D8033" t="s">
        <v>548</v>
      </c>
      <c r="E8033">
        <v>140</v>
      </c>
      <c r="F8033">
        <v>20140401</v>
      </c>
      <c r="G8033" t="s">
        <v>1724</v>
      </c>
      <c r="H8033" t="s">
        <v>1054</v>
      </c>
      <c r="I8033" t="s">
        <v>66</v>
      </c>
    </row>
    <row r="8034" spans="1:9" x14ac:dyDescent="0.25">
      <c r="A8034">
        <v>20140403</v>
      </c>
      <c r="B8034" t="str">
        <f>"115033"</f>
        <v>115033</v>
      </c>
      <c r="C8034" t="str">
        <f>"27981"</f>
        <v>27981</v>
      </c>
      <c r="D8034" t="s">
        <v>551</v>
      </c>
      <c r="E8034">
        <v>4.8</v>
      </c>
      <c r="F8034">
        <v>20140402</v>
      </c>
      <c r="G8034" t="s">
        <v>631</v>
      </c>
      <c r="H8034" t="s">
        <v>414</v>
      </c>
      <c r="I8034" t="s">
        <v>21</v>
      </c>
    </row>
    <row r="8035" spans="1:9" x14ac:dyDescent="0.25">
      <c r="A8035">
        <v>20140403</v>
      </c>
      <c r="B8035" t="str">
        <f>"115033"</f>
        <v>115033</v>
      </c>
      <c r="C8035" t="str">
        <f>"27981"</f>
        <v>27981</v>
      </c>
      <c r="D8035" t="s">
        <v>551</v>
      </c>
      <c r="E8035">
        <v>70.069999999999993</v>
      </c>
      <c r="F8035">
        <v>20140402</v>
      </c>
      <c r="G8035" t="s">
        <v>392</v>
      </c>
      <c r="H8035" t="s">
        <v>414</v>
      </c>
      <c r="I8035" t="s">
        <v>21</v>
      </c>
    </row>
    <row r="8036" spans="1:9" x14ac:dyDescent="0.25">
      <c r="A8036">
        <v>20140403</v>
      </c>
      <c r="B8036" t="str">
        <f>"115034"</f>
        <v>115034</v>
      </c>
      <c r="C8036" t="str">
        <f>"00653"</f>
        <v>00653</v>
      </c>
      <c r="D8036" t="s">
        <v>552</v>
      </c>
      <c r="E8036" s="1">
        <v>3600</v>
      </c>
      <c r="F8036">
        <v>20140402</v>
      </c>
      <c r="G8036" t="s">
        <v>48</v>
      </c>
      <c r="H8036" t="s">
        <v>3715</v>
      </c>
      <c r="I8036" t="s">
        <v>25</v>
      </c>
    </row>
    <row r="8037" spans="1:9" x14ac:dyDescent="0.25">
      <c r="A8037">
        <v>20140403</v>
      </c>
      <c r="B8037" t="str">
        <f>"115035"</f>
        <v>115035</v>
      </c>
      <c r="C8037" t="str">
        <f>"00653"</f>
        <v>00653</v>
      </c>
      <c r="D8037" t="s">
        <v>552</v>
      </c>
      <c r="E8037" s="1">
        <v>2104.3200000000002</v>
      </c>
      <c r="F8037">
        <v>20140402</v>
      </c>
      <c r="G8037" t="s">
        <v>866</v>
      </c>
      <c r="H8037" t="s">
        <v>553</v>
      </c>
      <c r="I8037" t="s">
        <v>25</v>
      </c>
    </row>
    <row r="8038" spans="1:9" x14ac:dyDescent="0.25">
      <c r="A8038">
        <v>20140403</v>
      </c>
      <c r="B8038" t="str">
        <f>"115036"</f>
        <v>115036</v>
      </c>
      <c r="C8038" t="str">
        <f>"87807"</f>
        <v>87807</v>
      </c>
      <c r="D8038" t="s">
        <v>3845</v>
      </c>
      <c r="E8038">
        <v>134.91999999999999</v>
      </c>
      <c r="F8038">
        <v>20140402</v>
      </c>
      <c r="G8038" t="s">
        <v>1846</v>
      </c>
      <c r="H8038" t="s">
        <v>765</v>
      </c>
      <c r="I8038" t="s">
        <v>63</v>
      </c>
    </row>
    <row r="8039" spans="1:9" x14ac:dyDescent="0.25">
      <c r="A8039">
        <v>20140403</v>
      </c>
      <c r="B8039" t="str">
        <f>"115037"</f>
        <v>115037</v>
      </c>
      <c r="C8039" t="str">
        <f>"30000"</f>
        <v>30000</v>
      </c>
      <c r="D8039" t="s">
        <v>556</v>
      </c>
      <c r="E8039">
        <v>620.55999999999995</v>
      </c>
      <c r="F8039">
        <v>20140401</v>
      </c>
      <c r="G8039" t="s">
        <v>3846</v>
      </c>
      <c r="H8039" t="s">
        <v>3847</v>
      </c>
      <c r="I8039" t="s">
        <v>21</v>
      </c>
    </row>
    <row r="8040" spans="1:9" x14ac:dyDescent="0.25">
      <c r="A8040">
        <v>20140403</v>
      </c>
      <c r="B8040" t="str">
        <f>"115037"</f>
        <v>115037</v>
      </c>
      <c r="C8040" t="str">
        <f>"30000"</f>
        <v>30000</v>
      </c>
      <c r="D8040" t="s">
        <v>556</v>
      </c>
      <c r="E8040">
        <v>32.22</v>
      </c>
      <c r="F8040">
        <v>20140401</v>
      </c>
      <c r="G8040" t="s">
        <v>828</v>
      </c>
      <c r="H8040" t="s">
        <v>3848</v>
      </c>
      <c r="I8040" t="s">
        <v>21</v>
      </c>
    </row>
    <row r="8041" spans="1:9" x14ac:dyDescent="0.25">
      <c r="A8041">
        <v>20140403</v>
      </c>
      <c r="B8041" t="str">
        <f>"115037"</f>
        <v>115037</v>
      </c>
      <c r="C8041" t="str">
        <f>"30000"</f>
        <v>30000</v>
      </c>
      <c r="D8041" t="s">
        <v>556</v>
      </c>
      <c r="E8041">
        <v>27.28</v>
      </c>
      <c r="F8041">
        <v>20140401</v>
      </c>
      <c r="G8041" t="s">
        <v>137</v>
      </c>
      <c r="H8041" t="s">
        <v>414</v>
      </c>
      <c r="I8041" t="s">
        <v>21</v>
      </c>
    </row>
    <row r="8042" spans="1:9" x14ac:dyDescent="0.25">
      <c r="A8042">
        <v>20140403</v>
      </c>
      <c r="B8042" t="str">
        <f>"115037"</f>
        <v>115037</v>
      </c>
      <c r="C8042" t="str">
        <f>"30000"</f>
        <v>30000</v>
      </c>
      <c r="D8042" t="s">
        <v>556</v>
      </c>
      <c r="E8042">
        <v>174.5</v>
      </c>
      <c r="F8042">
        <v>20140401</v>
      </c>
      <c r="G8042" t="s">
        <v>3849</v>
      </c>
      <c r="H8042" t="s">
        <v>3850</v>
      </c>
      <c r="I8042" t="s">
        <v>233</v>
      </c>
    </row>
    <row r="8043" spans="1:9" x14ac:dyDescent="0.25">
      <c r="A8043">
        <v>20140403</v>
      </c>
      <c r="B8043" t="str">
        <f>"115038"</f>
        <v>115038</v>
      </c>
      <c r="C8043" t="str">
        <f>"86764"</f>
        <v>86764</v>
      </c>
      <c r="D8043" t="s">
        <v>3851</v>
      </c>
      <c r="E8043">
        <v>385</v>
      </c>
      <c r="F8043">
        <v>20140402</v>
      </c>
      <c r="G8043" t="s">
        <v>3576</v>
      </c>
      <c r="H8043" t="s">
        <v>679</v>
      </c>
      <c r="I8043" t="s">
        <v>21</v>
      </c>
    </row>
    <row r="8044" spans="1:9" x14ac:dyDescent="0.25">
      <c r="A8044">
        <v>20140403</v>
      </c>
      <c r="B8044" t="str">
        <f>"115039"</f>
        <v>115039</v>
      </c>
      <c r="C8044" t="str">
        <f>"87031"</f>
        <v>87031</v>
      </c>
      <c r="D8044" t="s">
        <v>418</v>
      </c>
      <c r="E8044">
        <v>47.25</v>
      </c>
      <c r="F8044">
        <v>20140402</v>
      </c>
      <c r="G8044" t="s">
        <v>410</v>
      </c>
      <c r="H8044" t="s">
        <v>411</v>
      </c>
      <c r="I8044" t="s">
        <v>12</v>
      </c>
    </row>
    <row r="8045" spans="1:9" x14ac:dyDescent="0.25">
      <c r="A8045">
        <v>20140403</v>
      </c>
      <c r="B8045" t="str">
        <f t="shared" ref="B8045:B8063" si="478">"115040"</f>
        <v>115040</v>
      </c>
      <c r="C8045" t="str">
        <f t="shared" ref="C8045:C8063" si="479">"31570"</f>
        <v>31570</v>
      </c>
      <c r="D8045" t="s">
        <v>1244</v>
      </c>
      <c r="E8045">
        <v>43.4</v>
      </c>
      <c r="F8045">
        <v>20140401</v>
      </c>
      <c r="G8045" t="s">
        <v>448</v>
      </c>
      <c r="H8045" t="s">
        <v>414</v>
      </c>
      <c r="I8045" t="s">
        <v>21</v>
      </c>
    </row>
    <row r="8046" spans="1:9" x14ac:dyDescent="0.25">
      <c r="A8046">
        <v>20140403</v>
      </c>
      <c r="B8046" t="str">
        <f t="shared" si="478"/>
        <v>115040</v>
      </c>
      <c r="C8046" t="str">
        <f t="shared" si="479"/>
        <v>31570</v>
      </c>
      <c r="D8046" t="s">
        <v>1244</v>
      </c>
      <c r="E8046">
        <v>1.05</v>
      </c>
      <c r="F8046">
        <v>20140401</v>
      </c>
      <c r="G8046" t="s">
        <v>496</v>
      </c>
      <c r="H8046" t="s">
        <v>414</v>
      </c>
      <c r="I8046" t="s">
        <v>21</v>
      </c>
    </row>
    <row r="8047" spans="1:9" x14ac:dyDescent="0.25">
      <c r="A8047">
        <v>20140403</v>
      </c>
      <c r="B8047" t="str">
        <f t="shared" si="478"/>
        <v>115040</v>
      </c>
      <c r="C8047" t="str">
        <f t="shared" si="479"/>
        <v>31570</v>
      </c>
      <c r="D8047" t="s">
        <v>1244</v>
      </c>
      <c r="E8047">
        <v>36.57</v>
      </c>
      <c r="F8047">
        <v>20140401</v>
      </c>
      <c r="G8047" t="s">
        <v>413</v>
      </c>
      <c r="H8047" t="s">
        <v>414</v>
      </c>
      <c r="I8047" t="s">
        <v>21</v>
      </c>
    </row>
    <row r="8048" spans="1:9" x14ac:dyDescent="0.25">
      <c r="A8048">
        <v>20140403</v>
      </c>
      <c r="B8048" t="str">
        <f t="shared" si="478"/>
        <v>115040</v>
      </c>
      <c r="C8048" t="str">
        <f t="shared" si="479"/>
        <v>31570</v>
      </c>
      <c r="D8048" t="s">
        <v>1244</v>
      </c>
      <c r="E8048">
        <v>49.16</v>
      </c>
      <c r="F8048">
        <v>20140401</v>
      </c>
      <c r="G8048" t="s">
        <v>480</v>
      </c>
      <c r="H8048" t="s">
        <v>414</v>
      </c>
      <c r="I8048" t="s">
        <v>21</v>
      </c>
    </row>
    <row r="8049" spans="1:9" x14ac:dyDescent="0.25">
      <c r="A8049">
        <v>20140403</v>
      </c>
      <c r="B8049" t="str">
        <f t="shared" si="478"/>
        <v>115040</v>
      </c>
      <c r="C8049" t="str">
        <f t="shared" si="479"/>
        <v>31570</v>
      </c>
      <c r="D8049" t="s">
        <v>1244</v>
      </c>
      <c r="E8049">
        <v>144.09</v>
      </c>
      <c r="F8049">
        <v>20140401</v>
      </c>
      <c r="G8049" t="s">
        <v>482</v>
      </c>
      <c r="H8049" t="s">
        <v>414</v>
      </c>
      <c r="I8049" t="s">
        <v>21</v>
      </c>
    </row>
    <row r="8050" spans="1:9" x14ac:dyDescent="0.25">
      <c r="A8050">
        <v>20140403</v>
      </c>
      <c r="B8050" t="str">
        <f t="shared" si="478"/>
        <v>115040</v>
      </c>
      <c r="C8050" t="str">
        <f t="shared" si="479"/>
        <v>31570</v>
      </c>
      <c r="D8050" t="s">
        <v>1244</v>
      </c>
      <c r="E8050">
        <v>770.13</v>
      </c>
      <c r="F8050">
        <v>20140401</v>
      </c>
      <c r="G8050" t="s">
        <v>415</v>
      </c>
      <c r="H8050" t="s">
        <v>414</v>
      </c>
      <c r="I8050" t="s">
        <v>21</v>
      </c>
    </row>
    <row r="8051" spans="1:9" x14ac:dyDescent="0.25">
      <c r="A8051">
        <v>20140403</v>
      </c>
      <c r="B8051" t="str">
        <f t="shared" si="478"/>
        <v>115040</v>
      </c>
      <c r="C8051" t="str">
        <f t="shared" si="479"/>
        <v>31570</v>
      </c>
      <c r="D8051" t="s">
        <v>1244</v>
      </c>
      <c r="E8051">
        <v>95.15</v>
      </c>
      <c r="F8051">
        <v>20140401</v>
      </c>
      <c r="G8051" t="s">
        <v>627</v>
      </c>
      <c r="H8051" t="s">
        <v>414</v>
      </c>
      <c r="I8051" t="s">
        <v>21</v>
      </c>
    </row>
    <row r="8052" spans="1:9" x14ac:dyDescent="0.25">
      <c r="A8052">
        <v>20140403</v>
      </c>
      <c r="B8052" t="str">
        <f t="shared" si="478"/>
        <v>115040</v>
      </c>
      <c r="C8052" t="str">
        <f t="shared" si="479"/>
        <v>31570</v>
      </c>
      <c r="D8052" t="s">
        <v>1244</v>
      </c>
      <c r="E8052">
        <v>114.75</v>
      </c>
      <c r="F8052">
        <v>20140401</v>
      </c>
      <c r="G8052" t="s">
        <v>1222</v>
      </c>
      <c r="H8052" t="s">
        <v>414</v>
      </c>
      <c r="I8052" t="s">
        <v>21</v>
      </c>
    </row>
    <row r="8053" spans="1:9" x14ac:dyDescent="0.25">
      <c r="A8053">
        <v>20140403</v>
      </c>
      <c r="B8053" t="str">
        <f t="shared" si="478"/>
        <v>115040</v>
      </c>
      <c r="C8053" t="str">
        <f t="shared" si="479"/>
        <v>31570</v>
      </c>
      <c r="D8053" t="s">
        <v>1244</v>
      </c>
      <c r="E8053">
        <v>109.28</v>
      </c>
      <c r="F8053">
        <v>20140401</v>
      </c>
      <c r="G8053" t="s">
        <v>628</v>
      </c>
      <c r="H8053" t="s">
        <v>414</v>
      </c>
      <c r="I8053" t="s">
        <v>21</v>
      </c>
    </row>
    <row r="8054" spans="1:9" x14ac:dyDescent="0.25">
      <c r="A8054">
        <v>20140403</v>
      </c>
      <c r="B8054" t="str">
        <f t="shared" si="478"/>
        <v>115040</v>
      </c>
      <c r="C8054" t="str">
        <f t="shared" si="479"/>
        <v>31570</v>
      </c>
      <c r="D8054" t="s">
        <v>1244</v>
      </c>
      <c r="E8054">
        <v>12.6</v>
      </c>
      <c r="F8054">
        <v>20140401</v>
      </c>
      <c r="G8054" t="s">
        <v>629</v>
      </c>
      <c r="H8054" t="s">
        <v>414</v>
      </c>
      <c r="I8054" t="s">
        <v>21</v>
      </c>
    </row>
    <row r="8055" spans="1:9" x14ac:dyDescent="0.25">
      <c r="A8055">
        <v>20140403</v>
      </c>
      <c r="B8055" t="str">
        <f t="shared" si="478"/>
        <v>115040</v>
      </c>
      <c r="C8055" t="str">
        <f t="shared" si="479"/>
        <v>31570</v>
      </c>
      <c r="D8055" t="s">
        <v>1244</v>
      </c>
      <c r="E8055">
        <v>11</v>
      </c>
      <c r="F8055">
        <v>20140401</v>
      </c>
      <c r="G8055" t="s">
        <v>629</v>
      </c>
      <c r="H8055" t="s">
        <v>414</v>
      </c>
      <c r="I8055" t="s">
        <v>21</v>
      </c>
    </row>
    <row r="8056" spans="1:9" x14ac:dyDescent="0.25">
      <c r="A8056">
        <v>20140403</v>
      </c>
      <c r="B8056" t="str">
        <f t="shared" si="478"/>
        <v>115040</v>
      </c>
      <c r="C8056" t="str">
        <f t="shared" si="479"/>
        <v>31570</v>
      </c>
      <c r="D8056" t="s">
        <v>1244</v>
      </c>
      <c r="E8056">
        <v>132.53</v>
      </c>
      <c r="F8056">
        <v>20140401</v>
      </c>
      <c r="G8056" t="s">
        <v>630</v>
      </c>
      <c r="H8056" t="s">
        <v>414</v>
      </c>
      <c r="I8056" t="s">
        <v>21</v>
      </c>
    </row>
    <row r="8057" spans="1:9" x14ac:dyDescent="0.25">
      <c r="A8057">
        <v>20140403</v>
      </c>
      <c r="B8057" t="str">
        <f t="shared" si="478"/>
        <v>115040</v>
      </c>
      <c r="C8057" t="str">
        <f t="shared" si="479"/>
        <v>31570</v>
      </c>
      <c r="D8057" t="s">
        <v>1244</v>
      </c>
      <c r="E8057">
        <v>15.87</v>
      </c>
      <c r="F8057">
        <v>20140401</v>
      </c>
      <c r="G8057" t="s">
        <v>530</v>
      </c>
      <c r="H8057" t="s">
        <v>414</v>
      </c>
      <c r="I8057" t="s">
        <v>21</v>
      </c>
    </row>
    <row r="8058" spans="1:9" x14ac:dyDescent="0.25">
      <c r="A8058">
        <v>20140403</v>
      </c>
      <c r="B8058" t="str">
        <f t="shared" si="478"/>
        <v>115040</v>
      </c>
      <c r="C8058" t="str">
        <f t="shared" si="479"/>
        <v>31570</v>
      </c>
      <c r="D8058" t="s">
        <v>1244</v>
      </c>
      <c r="E8058">
        <v>235.97</v>
      </c>
      <c r="F8058">
        <v>20140401</v>
      </c>
      <c r="G8058" t="s">
        <v>631</v>
      </c>
      <c r="H8058" t="s">
        <v>414</v>
      </c>
      <c r="I8058" t="s">
        <v>21</v>
      </c>
    </row>
    <row r="8059" spans="1:9" x14ac:dyDescent="0.25">
      <c r="A8059">
        <v>20140403</v>
      </c>
      <c r="B8059" t="str">
        <f t="shared" si="478"/>
        <v>115040</v>
      </c>
      <c r="C8059" t="str">
        <f t="shared" si="479"/>
        <v>31570</v>
      </c>
      <c r="D8059" t="s">
        <v>1244</v>
      </c>
      <c r="E8059">
        <v>223.34</v>
      </c>
      <c r="F8059">
        <v>20140401</v>
      </c>
      <c r="G8059" t="s">
        <v>392</v>
      </c>
      <c r="H8059" t="s">
        <v>414</v>
      </c>
      <c r="I8059" t="s">
        <v>21</v>
      </c>
    </row>
    <row r="8060" spans="1:9" x14ac:dyDescent="0.25">
      <c r="A8060">
        <v>20140403</v>
      </c>
      <c r="B8060" t="str">
        <f t="shared" si="478"/>
        <v>115040</v>
      </c>
      <c r="C8060" t="str">
        <f t="shared" si="479"/>
        <v>31570</v>
      </c>
      <c r="D8060" t="s">
        <v>1244</v>
      </c>
      <c r="E8060" s="1">
        <v>1066.82</v>
      </c>
      <c r="F8060">
        <v>20140401</v>
      </c>
      <c r="G8060" t="s">
        <v>1224</v>
      </c>
      <c r="H8060" t="s">
        <v>414</v>
      </c>
      <c r="I8060" t="s">
        <v>21</v>
      </c>
    </row>
    <row r="8061" spans="1:9" x14ac:dyDescent="0.25">
      <c r="A8061">
        <v>20140403</v>
      </c>
      <c r="B8061" t="str">
        <f t="shared" si="478"/>
        <v>115040</v>
      </c>
      <c r="C8061" t="str">
        <f t="shared" si="479"/>
        <v>31570</v>
      </c>
      <c r="D8061" t="s">
        <v>1244</v>
      </c>
      <c r="E8061">
        <v>64.680000000000007</v>
      </c>
      <c r="F8061">
        <v>20140401</v>
      </c>
      <c r="G8061" t="s">
        <v>531</v>
      </c>
      <c r="H8061" t="s">
        <v>414</v>
      </c>
      <c r="I8061" t="s">
        <v>21</v>
      </c>
    </row>
    <row r="8062" spans="1:9" x14ac:dyDescent="0.25">
      <c r="A8062">
        <v>20140403</v>
      </c>
      <c r="B8062" t="str">
        <f t="shared" si="478"/>
        <v>115040</v>
      </c>
      <c r="C8062" t="str">
        <f t="shared" si="479"/>
        <v>31570</v>
      </c>
      <c r="D8062" t="s">
        <v>1244</v>
      </c>
      <c r="E8062">
        <v>270.26</v>
      </c>
      <c r="F8062">
        <v>20140401</v>
      </c>
      <c r="G8062" t="s">
        <v>417</v>
      </c>
      <c r="H8062" t="s">
        <v>414</v>
      </c>
      <c r="I8062" t="s">
        <v>21</v>
      </c>
    </row>
    <row r="8063" spans="1:9" x14ac:dyDescent="0.25">
      <c r="A8063">
        <v>20140403</v>
      </c>
      <c r="B8063" t="str">
        <f t="shared" si="478"/>
        <v>115040</v>
      </c>
      <c r="C8063" t="str">
        <f t="shared" si="479"/>
        <v>31570</v>
      </c>
      <c r="D8063" t="s">
        <v>1244</v>
      </c>
      <c r="E8063" s="1">
        <v>1558.66</v>
      </c>
      <c r="F8063">
        <v>20140401</v>
      </c>
      <c r="G8063" t="s">
        <v>734</v>
      </c>
      <c r="H8063" t="s">
        <v>414</v>
      </c>
      <c r="I8063" t="s">
        <v>21</v>
      </c>
    </row>
    <row r="8064" spans="1:9" x14ac:dyDescent="0.25">
      <c r="A8064">
        <v>20140403</v>
      </c>
      <c r="B8064" t="str">
        <f>"115041"</f>
        <v>115041</v>
      </c>
      <c r="C8064" t="str">
        <f>"87456"</f>
        <v>87456</v>
      </c>
      <c r="D8064" t="s">
        <v>1434</v>
      </c>
      <c r="E8064" s="1">
        <v>1880.45</v>
      </c>
      <c r="F8064">
        <v>20140402</v>
      </c>
      <c r="G8064" t="s">
        <v>1281</v>
      </c>
      <c r="H8064" t="s">
        <v>3852</v>
      </c>
      <c r="I8064" t="s">
        <v>21</v>
      </c>
    </row>
    <row r="8065" spans="1:9" x14ac:dyDescent="0.25">
      <c r="A8065">
        <v>20140403</v>
      </c>
      <c r="B8065" t="str">
        <f>"115041"</f>
        <v>115041</v>
      </c>
      <c r="C8065" t="str">
        <f>"87456"</f>
        <v>87456</v>
      </c>
      <c r="D8065" t="s">
        <v>1434</v>
      </c>
      <c r="E8065">
        <v>360.34</v>
      </c>
      <c r="F8065">
        <v>20140402</v>
      </c>
      <c r="G8065" t="s">
        <v>837</v>
      </c>
      <c r="H8065" t="s">
        <v>3852</v>
      </c>
      <c r="I8065" t="s">
        <v>21</v>
      </c>
    </row>
    <row r="8066" spans="1:9" x14ac:dyDescent="0.25">
      <c r="A8066">
        <v>20140403</v>
      </c>
      <c r="B8066" t="str">
        <f>"115042"</f>
        <v>115042</v>
      </c>
      <c r="C8066" t="str">
        <f>"84980"</f>
        <v>84980</v>
      </c>
      <c r="D8066" t="s">
        <v>591</v>
      </c>
      <c r="E8066">
        <v>92.74</v>
      </c>
      <c r="F8066">
        <v>20140401</v>
      </c>
      <c r="G8066" t="s">
        <v>214</v>
      </c>
      <c r="H8066" t="s">
        <v>3853</v>
      </c>
      <c r="I8066" t="s">
        <v>38</v>
      </c>
    </row>
    <row r="8067" spans="1:9" x14ac:dyDescent="0.25">
      <c r="A8067">
        <v>20140403</v>
      </c>
      <c r="B8067" t="str">
        <f>"115043"</f>
        <v>115043</v>
      </c>
      <c r="C8067" t="str">
        <f>"87495"</f>
        <v>87495</v>
      </c>
      <c r="D8067" t="s">
        <v>859</v>
      </c>
      <c r="E8067">
        <v>400</v>
      </c>
      <c r="F8067">
        <v>20140402</v>
      </c>
      <c r="G8067" t="s">
        <v>3854</v>
      </c>
      <c r="H8067" t="s">
        <v>1138</v>
      </c>
      <c r="I8067" t="s">
        <v>21</v>
      </c>
    </row>
    <row r="8068" spans="1:9" x14ac:dyDescent="0.25">
      <c r="A8068">
        <v>20140403</v>
      </c>
      <c r="B8068" t="str">
        <f>"115043"</f>
        <v>115043</v>
      </c>
      <c r="C8068" t="str">
        <f>"87495"</f>
        <v>87495</v>
      </c>
      <c r="D8068" t="s">
        <v>859</v>
      </c>
      <c r="E8068">
        <v>199.6</v>
      </c>
      <c r="F8068">
        <v>20140402</v>
      </c>
      <c r="G8068" t="s">
        <v>191</v>
      </c>
      <c r="H8068" t="s">
        <v>354</v>
      </c>
      <c r="I8068" t="s">
        <v>25</v>
      </c>
    </row>
    <row r="8069" spans="1:9" x14ac:dyDescent="0.25">
      <c r="A8069">
        <v>20140403</v>
      </c>
      <c r="B8069" t="str">
        <f>"115044"</f>
        <v>115044</v>
      </c>
      <c r="C8069" t="str">
        <f>"33200"</f>
        <v>33200</v>
      </c>
      <c r="D8069" t="s">
        <v>863</v>
      </c>
      <c r="E8069">
        <v>131.1</v>
      </c>
      <c r="F8069">
        <v>20140402</v>
      </c>
      <c r="G8069" t="s">
        <v>864</v>
      </c>
      <c r="H8069" t="s">
        <v>354</v>
      </c>
      <c r="I8069" t="s">
        <v>21</v>
      </c>
    </row>
    <row r="8070" spans="1:9" x14ac:dyDescent="0.25">
      <c r="A8070">
        <v>20140403</v>
      </c>
      <c r="B8070" t="str">
        <f>"115045"</f>
        <v>115045</v>
      </c>
      <c r="C8070" t="str">
        <f>"84038"</f>
        <v>84038</v>
      </c>
      <c r="D8070" t="s">
        <v>419</v>
      </c>
      <c r="E8070">
        <v>23.85</v>
      </c>
      <c r="F8070">
        <v>20140402</v>
      </c>
      <c r="G8070" t="s">
        <v>410</v>
      </c>
      <c r="H8070" t="s">
        <v>411</v>
      </c>
      <c r="I8070" t="s">
        <v>12</v>
      </c>
    </row>
    <row r="8071" spans="1:9" x14ac:dyDescent="0.25">
      <c r="A8071">
        <v>20140403</v>
      </c>
      <c r="B8071" t="str">
        <f>"115046"</f>
        <v>115046</v>
      </c>
      <c r="C8071" t="str">
        <f>"34230"</f>
        <v>34230</v>
      </c>
      <c r="D8071" t="s">
        <v>1094</v>
      </c>
      <c r="E8071">
        <v>168.4</v>
      </c>
      <c r="F8071">
        <v>20140401</v>
      </c>
      <c r="G8071" t="s">
        <v>583</v>
      </c>
      <c r="H8071" t="s">
        <v>3855</v>
      </c>
      <c r="I8071" t="s">
        <v>21</v>
      </c>
    </row>
    <row r="8072" spans="1:9" x14ac:dyDescent="0.25">
      <c r="A8072">
        <v>20140403</v>
      </c>
      <c r="B8072" t="str">
        <f>"115046"</f>
        <v>115046</v>
      </c>
      <c r="C8072" t="str">
        <f>"34230"</f>
        <v>34230</v>
      </c>
      <c r="D8072" t="s">
        <v>1094</v>
      </c>
      <c r="E8072">
        <v>529.79999999999995</v>
      </c>
      <c r="F8072">
        <v>20140402</v>
      </c>
      <c r="G8072" t="s">
        <v>119</v>
      </c>
      <c r="H8072" t="s">
        <v>3856</v>
      </c>
      <c r="I8072" t="s">
        <v>38</v>
      </c>
    </row>
    <row r="8073" spans="1:9" x14ac:dyDescent="0.25">
      <c r="A8073">
        <v>20140403</v>
      </c>
      <c r="B8073" t="str">
        <f>"115047"</f>
        <v>115047</v>
      </c>
      <c r="C8073" t="str">
        <f>"83880"</f>
        <v>83880</v>
      </c>
      <c r="D8073" t="s">
        <v>865</v>
      </c>
      <c r="E8073">
        <v>242.45</v>
      </c>
      <c r="F8073">
        <v>20140402</v>
      </c>
      <c r="G8073" t="s">
        <v>41</v>
      </c>
      <c r="H8073" t="s">
        <v>354</v>
      </c>
      <c r="I8073" t="s">
        <v>38</v>
      </c>
    </row>
    <row r="8074" spans="1:9" x14ac:dyDescent="0.25">
      <c r="A8074">
        <v>20140403</v>
      </c>
      <c r="B8074" t="str">
        <f>"115048"</f>
        <v>115048</v>
      </c>
      <c r="C8074" t="str">
        <f>"87809"</f>
        <v>87809</v>
      </c>
      <c r="D8074" t="s">
        <v>3857</v>
      </c>
      <c r="E8074">
        <v>42.69</v>
      </c>
      <c r="F8074">
        <v>20140402</v>
      </c>
      <c r="G8074" t="s">
        <v>2292</v>
      </c>
      <c r="H8074" t="s">
        <v>1046</v>
      </c>
      <c r="I8074" t="s">
        <v>63</v>
      </c>
    </row>
    <row r="8075" spans="1:9" x14ac:dyDescent="0.25">
      <c r="A8075">
        <v>20140403</v>
      </c>
      <c r="B8075" t="str">
        <f>"115049"</f>
        <v>115049</v>
      </c>
      <c r="C8075" t="str">
        <f>"81525"</f>
        <v>81525</v>
      </c>
      <c r="D8075" t="s">
        <v>1252</v>
      </c>
      <c r="E8075">
        <v>16.52</v>
      </c>
      <c r="F8075">
        <v>20140401</v>
      </c>
      <c r="G8075" t="s">
        <v>601</v>
      </c>
      <c r="H8075" t="s">
        <v>563</v>
      </c>
      <c r="I8075" t="s">
        <v>21</v>
      </c>
    </row>
    <row r="8076" spans="1:9" x14ac:dyDescent="0.25">
      <c r="A8076">
        <v>20140403</v>
      </c>
      <c r="B8076" t="str">
        <f>"115050"</f>
        <v>115050</v>
      </c>
      <c r="C8076" t="str">
        <f>"00453"</f>
        <v>00453</v>
      </c>
      <c r="D8076" t="s">
        <v>2526</v>
      </c>
      <c r="E8076">
        <v>294.36</v>
      </c>
      <c r="F8076">
        <v>20140401</v>
      </c>
      <c r="G8076" t="s">
        <v>926</v>
      </c>
      <c r="H8076" t="s">
        <v>921</v>
      </c>
      <c r="I8076" t="s">
        <v>21</v>
      </c>
    </row>
    <row r="8077" spans="1:9" x14ac:dyDescent="0.25">
      <c r="A8077">
        <v>20140403</v>
      </c>
      <c r="B8077" t="str">
        <f>"115051"</f>
        <v>115051</v>
      </c>
      <c r="C8077" t="str">
        <f>"83064"</f>
        <v>83064</v>
      </c>
      <c r="D8077" t="s">
        <v>1760</v>
      </c>
      <c r="E8077">
        <v>180.83</v>
      </c>
      <c r="F8077">
        <v>20140401</v>
      </c>
      <c r="G8077" t="s">
        <v>1145</v>
      </c>
      <c r="H8077" t="s">
        <v>365</v>
      </c>
      <c r="I8077" t="s">
        <v>73</v>
      </c>
    </row>
    <row r="8078" spans="1:9" x14ac:dyDescent="0.25">
      <c r="A8078">
        <v>20140403</v>
      </c>
      <c r="B8078" t="str">
        <f>"115051"</f>
        <v>115051</v>
      </c>
      <c r="C8078" t="str">
        <f>"83064"</f>
        <v>83064</v>
      </c>
      <c r="D8078" t="s">
        <v>1760</v>
      </c>
      <c r="E8078">
        <v>73.099999999999994</v>
      </c>
      <c r="F8078">
        <v>20140401</v>
      </c>
      <c r="G8078" t="s">
        <v>637</v>
      </c>
      <c r="H8078" t="s">
        <v>354</v>
      </c>
      <c r="I8078" t="s">
        <v>38</v>
      </c>
    </row>
    <row r="8079" spans="1:9" x14ac:dyDescent="0.25">
      <c r="A8079">
        <v>20140403</v>
      </c>
      <c r="B8079" t="str">
        <f>"115051"</f>
        <v>115051</v>
      </c>
      <c r="C8079" t="str">
        <f>"83064"</f>
        <v>83064</v>
      </c>
      <c r="D8079" t="s">
        <v>1760</v>
      </c>
      <c r="E8079">
        <v>25.7</v>
      </c>
      <c r="F8079">
        <v>20140402</v>
      </c>
      <c r="G8079" t="s">
        <v>637</v>
      </c>
      <c r="H8079" t="s">
        <v>354</v>
      </c>
      <c r="I8079" t="s">
        <v>38</v>
      </c>
    </row>
    <row r="8080" spans="1:9" x14ac:dyDescent="0.25">
      <c r="A8080">
        <v>20140403</v>
      </c>
      <c r="B8080" t="str">
        <f>"115052"</f>
        <v>115052</v>
      </c>
      <c r="C8080" t="str">
        <f>"37565"</f>
        <v>37565</v>
      </c>
      <c r="D8080" t="s">
        <v>609</v>
      </c>
      <c r="E8080" s="1">
        <v>5238</v>
      </c>
      <c r="F8080">
        <v>20140401</v>
      </c>
      <c r="G8080" t="s">
        <v>1399</v>
      </c>
      <c r="H8080" t="s">
        <v>3858</v>
      </c>
      <c r="I8080" t="s">
        <v>21</v>
      </c>
    </row>
    <row r="8081" spans="1:9" x14ac:dyDescent="0.25">
      <c r="A8081">
        <v>20140403</v>
      </c>
      <c r="B8081" t="str">
        <f>"115053"</f>
        <v>115053</v>
      </c>
      <c r="C8081" t="str">
        <f>"87806"</f>
        <v>87806</v>
      </c>
      <c r="D8081" t="s">
        <v>3859</v>
      </c>
      <c r="E8081">
        <v>134.91999999999999</v>
      </c>
      <c r="F8081">
        <v>20140402</v>
      </c>
      <c r="G8081" t="s">
        <v>1846</v>
      </c>
      <c r="H8081" t="s">
        <v>765</v>
      </c>
      <c r="I8081" t="s">
        <v>63</v>
      </c>
    </row>
    <row r="8082" spans="1:9" x14ac:dyDescent="0.25">
      <c r="A8082">
        <v>20140403</v>
      </c>
      <c r="B8082" t="str">
        <f>"115054"</f>
        <v>115054</v>
      </c>
      <c r="C8082" t="str">
        <f>"39190"</f>
        <v>39190</v>
      </c>
      <c r="D8082" t="s">
        <v>1100</v>
      </c>
      <c r="E8082">
        <v>360.26</v>
      </c>
      <c r="F8082">
        <v>20140401</v>
      </c>
      <c r="G8082" t="s">
        <v>742</v>
      </c>
      <c r="H8082" t="s">
        <v>743</v>
      </c>
      <c r="I8082" t="s">
        <v>21</v>
      </c>
    </row>
    <row r="8083" spans="1:9" x14ac:dyDescent="0.25">
      <c r="A8083">
        <v>20140403</v>
      </c>
      <c r="B8083" t="str">
        <f>"115055"</f>
        <v>115055</v>
      </c>
      <c r="C8083" t="str">
        <f>"39315"</f>
        <v>39315</v>
      </c>
      <c r="D8083" t="s">
        <v>420</v>
      </c>
      <c r="E8083">
        <v>110.7</v>
      </c>
      <c r="F8083">
        <v>20140402</v>
      </c>
      <c r="G8083" t="s">
        <v>410</v>
      </c>
      <c r="H8083" t="s">
        <v>411</v>
      </c>
      <c r="I8083" t="s">
        <v>12</v>
      </c>
    </row>
    <row r="8084" spans="1:9" x14ac:dyDescent="0.25">
      <c r="A8084">
        <v>20140403</v>
      </c>
      <c r="B8084" t="str">
        <f>"115056"</f>
        <v>115056</v>
      </c>
      <c r="C8084" t="str">
        <f>"86711"</f>
        <v>86711</v>
      </c>
      <c r="D8084" t="s">
        <v>3860</v>
      </c>
      <c r="E8084">
        <v>60</v>
      </c>
      <c r="F8084">
        <v>20140402</v>
      </c>
      <c r="G8084" t="s">
        <v>214</v>
      </c>
      <c r="H8084" t="s">
        <v>3010</v>
      </c>
      <c r="I8084" t="s">
        <v>38</v>
      </c>
    </row>
    <row r="8085" spans="1:9" x14ac:dyDescent="0.25">
      <c r="A8085">
        <v>20140403</v>
      </c>
      <c r="B8085" t="str">
        <f>"115057"</f>
        <v>115057</v>
      </c>
      <c r="C8085" t="str">
        <f>"84904"</f>
        <v>84904</v>
      </c>
      <c r="D8085" t="s">
        <v>2855</v>
      </c>
      <c r="E8085">
        <v>150</v>
      </c>
      <c r="F8085">
        <v>20140402</v>
      </c>
      <c r="G8085" t="s">
        <v>1759</v>
      </c>
      <c r="H8085" t="s">
        <v>357</v>
      </c>
      <c r="I8085" t="s">
        <v>61</v>
      </c>
    </row>
    <row r="8086" spans="1:9" x14ac:dyDescent="0.25">
      <c r="A8086">
        <v>20140403</v>
      </c>
      <c r="B8086" t="str">
        <f>"115058"</f>
        <v>115058</v>
      </c>
      <c r="C8086" t="str">
        <f>"40910"</f>
        <v>40910</v>
      </c>
      <c r="D8086" t="s">
        <v>1886</v>
      </c>
      <c r="E8086" s="1">
        <v>3469.49</v>
      </c>
      <c r="F8086">
        <v>20140402</v>
      </c>
      <c r="G8086" t="s">
        <v>331</v>
      </c>
      <c r="H8086" t="s">
        <v>3861</v>
      </c>
      <c r="I8086" t="s">
        <v>12</v>
      </c>
    </row>
    <row r="8087" spans="1:9" x14ac:dyDescent="0.25">
      <c r="A8087">
        <v>20140403</v>
      </c>
      <c r="B8087" t="str">
        <f>"115059"</f>
        <v>115059</v>
      </c>
      <c r="C8087" t="str">
        <f>"00285"</f>
        <v>00285</v>
      </c>
      <c r="D8087" t="s">
        <v>3862</v>
      </c>
      <c r="E8087">
        <v>475</v>
      </c>
      <c r="F8087">
        <v>20140402</v>
      </c>
      <c r="G8087" t="s">
        <v>965</v>
      </c>
      <c r="H8087" t="s">
        <v>361</v>
      </c>
      <c r="I8087" t="s">
        <v>21</v>
      </c>
    </row>
    <row r="8088" spans="1:9" x14ac:dyDescent="0.25">
      <c r="A8088">
        <v>20140403</v>
      </c>
      <c r="B8088" t="str">
        <f>"115060"</f>
        <v>115060</v>
      </c>
      <c r="C8088" t="str">
        <f>"84876"</f>
        <v>84876</v>
      </c>
      <c r="D8088" t="s">
        <v>1259</v>
      </c>
      <c r="E8088">
        <v>397.51</v>
      </c>
      <c r="F8088">
        <v>20140401</v>
      </c>
      <c r="G8088" t="s">
        <v>1064</v>
      </c>
      <c r="H8088" t="s">
        <v>3863</v>
      </c>
      <c r="I8088" t="s">
        <v>21</v>
      </c>
    </row>
    <row r="8089" spans="1:9" x14ac:dyDescent="0.25">
      <c r="A8089">
        <v>20140403</v>
      </c>
      <c r="B8089" t="str">
        <f>"115061"</f>
        <v>115061</v>
      </c>
      <c r="C8089" t="str">
        <f>"42750"</f>
        <v>42750</v>
      </c>
      <c r="D8089" t="s">
        <v>888</v>
      </c>
      <c r="E8089">
        <v>382.6</v>
      </c>
      <c r="F8089">
        <v>20140402</v>
      </c>
      <c r="G8089" t="s">
        <v>181</v>
      </c>
      <c r="H8089" t="s">
        <v>354</v>
      </c>
      <c r="I8089" t="s">
        <v>38</v>
      </c>
    </row>
    <row r="8090" spans="1:9" x14ac:dyDescent="0.25">
      <c r="A8090">
        <v>20140403</v>
      </c>
      <c r="B8090" t="str">
        <f>"115062"</f>
        <v>115062</v>
      </c>
      <c r="C8090" t="str">
        <f>"83430"</f>
        <v>83430</v>
      </c>
      <c r="D8090" t="s">
        <v>423</v>
      </c>
      <c r="E8090">
        <v>55.35</v>
      </c>
      <c r="F8090">
        <v>20140402</v>
      </c>
      <c r="G8090" t="s">
        <v>410</v>
      </c>
      <c r="H8090" t="s">
        <v>411</v>
      </c>
      <c r="I8090" t="s">
        <v>12</v>
      </c>
    </row>
    <row r="8091" spans="1:9" x14ac:dyDescent="0.25">
      <c r="A8091">
        <v>20140403</v>
      </c>
      <c r="B8091" t="str">
        <f>"115063"</f>
        <v>115063</v>
      </c>
      <c r="C8091" t="str">
        <f>"44875"</f>
        <v>44875</v>
      </c>
      <c r="D8091" t="s">
        <v>424</v>
      </c>
      <c r="E8091">
        <v>46.8</v>
      </c>
      <c r="F8091">
        <v>20140402</v>
      </c>
      <c r="G8091" t="s">
        <v>410</v>
      </c>
      <c r="H8091" t="s">
        <v>411</v>
      </c>
      <c r="I8091" t="s">
        <v>12</v>
      </c>
    </row>
    <row r="8092" spans="1:9" x14ac:dyDescent="0.25">
      <c r="A8092">
        <v>20140403</v>
      </c>
      <c r="B8092" t="str">
        <f>"115064"</f>
        <v>115064</v>
      </c>
      <c r="C8092" t="str">
        <f>"84445"</f>
        <v>84445</v>
      </c>
      <c r="D8092" t="s">
        <v>1472</v>
      </c>
      <c r="E8092">
        <v>42.57</v>
      </c>
      <c r="F8092">
        <v>20140401</v>
      </c>
      <c r="G8092" t="s">
        <v>562</v>
      </c>
      <c r="H8092" t="s">
        <v>563</v>
      </c>
      <c r="I8092" t="s">
        <v>21</v>
      </c>
    </row>
    <row r="8093" spans="1:9" x14ac:dyDescent="0.25">
      <c r="A8093">
        <v>20140403</v>
      </c>
      <c r="B8093" t="str">
        <f>"115065"</f>
        <v>115065</v>
      </c>
      <c r="C8093" t="str">
        <f>"82096"</f>
        <v>82096</v>
      </c>
      <c r="D8093" t="s">
        <v>3864</v>
      </c>
      <c r="E8093">
        <v>180</v>
      </c>
      <c r="F8093">
        <v>20140402</v>
      </c>
      <c r="G8093" t="s">
        <v>3576</v>
      </c>
      <c r="H8093" t="s">
        <v>679</v>
      </c>
      <c r="I8093" t="s">
        <v>21</v>
      </c>
    </row>
    <row r="8094" spans="1:9" x14ac:dyDescent="0.25">
      <c r="A8094">
        <v>20140403</v>
      </c>
      <c r="B8094" t="str">
        <f>"115066"</f>
        <v>115066</v>
      </c>
      <c r="C8094" t="str">
        <f>"46010"</f>
        <v>46010</v>
      </c>
      <c r="D8094" t="s">
        <v>3865</v>
      </c>
      <c r="E8094">
        <v>188.44</v>
      </c>
      <c r="F8094">
        <v>20140402</v>
      </c>
      <c r="G8094" t="s">
        <v>3099</v>
      </c>
      <c r="H8094" t="s">
        <v>765</v>
      </c>
      <c r="I8094" t="s">
        <v>61</v>
      </c>
    </row>
    <row r="8095" spans="1:9" x14ac:dyDescent="0.25">
      <c r="A8095">
        <v>20140403</v>
      </c>
      <c r="B8095" t="str">
        <f>"115067"</f>
        <v>115067</v>
      </c>
      <c r="C8095" t="str">
        <f>"87473"</f>
        <v>87473</v>
      </c>
      <c r="D8095" t="s">
        <v>160</v>
      </c>
      <c r="E8095">
        <v>343.39</v>
      </c>
      <c r="F8095">
        <v>20140402</v>
      </c>
      <c r="G8095" t="s">
        <v>910</v>
      </c>
      <c r="H8095" t="s">
        <v>354</v>
      </c>
      <c r="I8095" t="s">
        <v>25</v>
      </c>
    </row>
    <row r="8096" spans="1:9" x14ac:dyDescent="0.25">
      <c r="A8096">
        <v>20140403</v>
      </c>
      <c r="B8096" t="str">
        <f>"115068"</f>
        <v>115068</v>
      </c>
      <c r="C8096" t="str">
        <f>"87473"</f>
        <v>87473</v>
      </c>
      <c r="D8096" t="s">
        <v>160</v>
      </c>
      <c r="E8096">
        <v>400</v>
      </c>
      <c r="F8096">
        <v>20140402</v>
      </c>
      <c r="G8096" t="s">
        <v>965</v>
      </c>
      <c r="H8096" t="s">
        <v>357</v>
      </c>
      <c r="I8096" t="s">
        <v>21</v>
      </c>
    </row>
    <row r="8097" spans="1:9" x14ac:dyDescent="0.25">
      <c r="A8097">
        <v>20140403</v>
      </c>
      <c r="B8097" t="str">
        <f>"115069"</f>
        <v>115069</v>
      </c>
      <c r="C8097" t="str">
        <f>"48530"</f>
        <v>48530</v>
      </c>
      <c r="D8097" t="s">
        <v>3866</v>
      </c>
      <c r="E8097">
        <v>42.69</v>
      </c>
      <c r="F8097">
        <v>20140402</v>
      </c>
      <c r="G8097" t="s">
        <v>2292</v>
      </c>
      <c r="H8097" t="s">
        <v>1046</v>
      </c>
      <c r="I8097" t="s">
        <v>63</v>
      </c>
    </row>
    <row r="8098" spans="1:9" x14ac:dyDescent="0.25">
      <c r="A8098">
        <v>20140403</v>
      </c>
      <c r="B8098" t="str">
        <f>"115070"</f>
        <v>115070</v>
      </c>
      <c r="C8098" t="str">
        <f>"48820"</f>
        <v>48820</v>
      </c>
      <c r="D8098" t="s">
        <v>1106</v>
      </c>
      <c r="E8098">
        <v>248.35</v>
      </c>
      <c r="F8098">
        <v>20140402</v>
      </c>
      <c r="G8098" t="s">
        <v>1067</v>
      </c>
      <c r="H8098" t="s">
        <v>354</v>
      </c>
      <c r="I8098" t="s">
        <v>21</v>
      </c>
    </row>
    <row r="8099" spans="1:9" x14ac:dyDescent="0.25">
      <c r="A8099">
        <v>20140403</v>
      </c>
      <c r="B8099" t="str">
        <f>"115070"</f>
        <v>115070</v>
      </c>
      <c r="C8099" t="str">
        <f>"48820"</f>
        <v>48820</v>
      </c>
      <c r="D8099" t="s">
        <v>1106</v>
      </c>
      <c r="E8099">
        <v>155.82</v>
      </c>
      <c r="F8099">
        <v>20140401</v>
      </c>
      <c r="G8099" t="s">
        <v>1020</v>
      </c>
      <c r="H8099" t="s">
        <v>354</v>
      </c>
      <c r="I8099" t="s">
        <v>21</v>
      </c>
    </row>
    <row r="8100" spans="1:9" x14ac:dyDescent="0.25">
      <c r="A8100">
        <v>20140403</v>
      </c>
      <c r="B8100" t="str">
        <f>"115070"</f>
        <v>115070</v>
      </c>
      <c r="C8100" t="str">
        <f>"48820"</f>
        <v>48820</v>
      </c>
      <c r="D8100" t="s">
        <v>1106</v>
      </c>
      <c r="E8100">
        <v>121.2</v>
      </c>
      <c r="F8100">
        <v>20140402</v>
      </c>
      <c r="G8100" t="s">
        <v>209</v>
      </c>
      <c r="H8100" t="s">
        <v>354</v>
      </c>
      <c r="I8100" t="s">
        <v>25</v>
      </c>
    </row>
    <row r="8101" spans="1:9" x14ac:dyDescent="0.25">
      <c r="A8101">
        <v>20140403</v>
      </c>
      <c r="B8101" t="str">
        <f>"115071"</f>
        <v>115071</v>
      </c>
      <c r="C8101" t="str">
        <f>"84811"</f>
        <v>84811</v>
      </c>
      <c r="D8101" t="s">
        <v>3867</v>
      </c>
      <c r="E8101">
        <v>114.24</v>
      </c>
      <c r="F8101">
        <v>20140402</v>
      </c>
      <c r="G8101" t="s">
        <v>1846</v>
      </c>
      <c r="H8101" t="s">
        <v>765</v>
      </c>
      <c r="I8101" t="s">
        <v>63</v>
      </c>
    </row>
    <row r="8102" spans="1:9" x14ac:dyDescent="0.25">
      <c r="A8102">
        <v>20140403</v>
      </c>
      <c r="B8102" t="str">
        <f>"115072"</f>
        <v>115072</v>
      </c>
      <c r="C8102" t="str">
        <f>"49555"</f>
        <v>49555</v>
      </c>
      <c r="D8102" t="s">
        <v>2388</v>
      </c>
      <c r="E8102">
        <v>47.38</v>
      </c>
      <c r="F8102">
        <v>20140402</v>
      </c>
      <c r="G8102" t="s">
        <v>3323</v>
      </c>
      <c r="H8102" t="s">
        <v>3868</v>
      </c>
      <c r="I8102" t="s">
        <v>21</v>
      </c>
    </row>
    <row r="8103" spans="1:9" x14ac:dyDescent="0.25">
      <c r="A8103">
        <v>20140403</v>
      </c>
      <c r="B8103" t="str">
        <f>"115072"</f>
        <v>115072</v>
      </c>
      <c r="C8103" t="str">
        <f>"49555"</f>
        <v>49555</v>
      </c>
      <c r="D8103" t="s">
        <v>2388</v>
      </c>
      <c r="E8103">
        <v>293.45</v>
      </c>
      <c r="F8103">
        <v>20140402</v>
      </c>
      <c r="G8103" t="s">
        <v>3616</v>
      </c>
      <c r="H8103" t="s">
        <v>3869</v>
      </c>
      <c r="I8103" t="s">
        <v>21</v>
      </c>
    </row>
    <row r="8104" spans="1:9" x14ac:dyDescent="0.25">
      <c r="A8104">
        <v>20140403</v>
      </c>
      <c r="B8104" t="str">
        <f>"115073"</f>
        <v>115073</v>
      </c>
      <c r="C8104" t="str">
        <f>"83610"</f>
        <v>83610</v>
      </c>
      <c r="D8104" t="s">
        <v>3870</v>
      </c>
      <c r="E8104">
        <v>99.58</v>
      </c>
      <c r="F8104">
        <v>20140401</v>
      </c>
      <c r="G8104" t="s">
        <v>834</v>
      </c>
      <c r="H8104" t="s">
        <v>3871</v>
      </c>
      <c r="I8104" t="s">
        <v>21</v>
      </c>
    </row>
    <row r="8105" spans="1:9" x14ac:dyDescent="0.25">
      <c r="A8105">
        <v>20140403</v>
      </c>
      <c r="B8105" t="str">
        <f>"115074"</f>
        <v>115074</v>
      </c>
      <c r="C8105" t="str">
        <f>"84193"</f>
        <v>84193</v>
      </c>
      <c r="D8105" t="s">
        <v>1110</v>
      </c>
      <c r="E8105">
        <v>29.23</v>
      </c>
      <c r="F8105">
        <v>20140401</v>
      </c>
      <c r="G8105" t="s">
        <v>2358</v>
      </c>
      <c r="H8105" t="s">
        <v>354</v>
      </c>
      <c r="I8105" t="s">
        <v>21</v>
      </c>
    </row>
    <row r="8106" spans="1:9" x14ac:dyDescent="0.25">
      <c r="A8106">
        <v>20140403</v>
      </c>
      <c r="B8106" t="str">
        <f>"115075"</f>
        <v>115075</v>
      </c>
      <c r="C8106" t="str">
        <f>"50015"</f>
        <v>50015</v>
      </c>
      <c r="D8106" t="s">
        <v>2544</v>
      </c>
      <c r="E8106">
        <v>32</v>
      </c>
      <c r="F8106">
        <v>20140401</v>
      </c>
      <c r="G8106" t="s">
        <v>482</v>
      </c>
      <c r="H8106" t="s">
        <v>2545</v>
      </c>
      <c r="I8106" t="s">
        <v>21</v>
      </c>
    </row>
    <row r="8107" spans="1:9" x14ac:dyDescent="0.25">
      <c r="A8107">
        <v>20140403</v>
      </c>
      <c r="B8107" t="str">
        <f>"115076"</f>
        <v>115076</v>
      </c>
      <c r="C8107" t="str">
        <f>"85770"</f>
        <v>85770</v>
      </c>
      <c r="D8107" t="s">
        <v>363</v>
      </c>
      <c r="E8107">
        <v>47.66</v>
      </c>
      <c r="F8107">
        <v>20140402</v>
      </c>
      <c r="G8107" t="s">
        <v>364</v>
      </c>
      <c r="H8107" t="s">
        <v>563</v>
      </c>
      <c r="I8107" t="s">
        <v>21</v>
      </c>
    </row>
    <row r="8108" spans="1:9" x14ac:dyDescent="0.25">
      <c r="A8108">
        <v>20140403</v>
      </c>
      <c r="B8108" t="str">
        <f>"115077"</f>
        <v>115077</v>
      </c>
      <c r="C8108" t="str">
        <f>"51000"</f>
        <v>51000</v>
      </c>
      <c r="D8108" t="s">
        <v>366</v>
      </c>
      <c r="E8108">
        <v>40.97</v>
      </c>
      <c r="F8108">
        <v>20140401</v>
      </c>
      <c r="G8108" t="s">
        <v>367</v>
      </c>
      <c r="H8108" t="s">
        <v>368</v>
      </c>
      <c r="I8108" t="s">
        <v>21</v>
      </c>
    </row>
    <row r="8109" spans="1:9" x14ac:dyDescent="0.25">
      <c r="A8109">
        <v>20140403</v>
      </c>
      <c r="B8109" t="str">
        <f>"115078"</f>
        <v>115078</v>
      </c>
      <c r="C8109" t="str">
        <f>"87626"</f>
        <v>87626</v>
      </c>
      <c r="D8109" t="s">
        <v>2864</v>
      </c>
      <c r="E8109">
        <v>570</v>
      </c>
      <c r="F8109">
        <v>20140402</v>
      </c>
      <c r="G8109" t="s">
        <v>1806</v>
      </c>
      <c r="H8109" t="s">
        <v>3872</v>
      </c>
      <c r="I8109" t="s">
        <v>21</v>
      </c>
    </row>
    <row r="8110" spans="1:9" x14ac:dyDescent="0.25">
      <c r="A8110">
        <v>20140403</v>
      </c>
      <c r="B8110" t="str">
        <f>"115079"</f>
        <v>115079</v>
      </c>
      <c r="C8110" t="str">
        <f>"87096"</f>
        <v>87096</v>
      </c>
      <c r="D8110" t="s">
        <v>1637</v>
      </c>
      <c r="E8110">
        <v>535</v>
      </c>
      <c r="F8110">
        <v>20140402</v>
      </c>
      <c r="G8110" t="s">
        <v>3873</v>
      </c>
      <c r="H8110" t="s">
        <v>357</v>
      </c>
      <c r="I8110" t="s">
        <v>21</v>
      </c>
    </row>
    <row r="8111" spans="1:9" x14ac:dyDescent="0.25">
      <c r="A8111">
        <v>20140403</v>
      </c>
      <c r="B8111" t="str">
        <f>"115080"</f>
        <v>115080</v>
      </c>
      <c r="C8111" t="str">
        <f>"52450"</f>
        <v>52450</v>
      </c>
      <c r="D8111" t="s">
        <v>2548</v>
      </c>
      <c r="E8111" s="1">
        <v>1240</v>
      </c>
      <c r="F8111">
        <v>20140401</v>
      </c>
      <c r="G8111" t="s">
        <v>413</v>
      </c>
      <c r="H8111" t="s">
        <v>3874</v>
      </c>
      <c r="I8111" t="s">
        <v>21</v>
      </c>
    </row>
    <row r="8112" spans="1:9" x14ac:dyDescent="0.25">
      <c r="A8112">
        <v>20140403</v>
      </c>
      <c r="B8112" t="str">
        <f>"115081"</f>
        <v>115081</v>
      </c>
      <c r="C8112" t="str">
        <f>"52518"</f>
        <v>52518</v>
      </c>
      <c r="D8112" t="s">
        <v>647</v>
      </c>
      <c r="E8112">
        <v>38.11</v>
      </c>
      <c r="F8112">
        <v>20140402</v>
      </c>
      <c r="G8112" t="s">
        <v>140</v>
      </c>
      <c r="H8112" t="s">
        <v>414</v>
      </c>
      <c r="I8112" t="s">
        <v>25</v>
      </c>
    </row>
    <row r="8113" spans="1:9" x14ac:dyDescent="0.25">
      <c r="A8113">
        <v>20140403</v>
      </c>
      <c r="B8113" t="str">
        <f>"115082"</f>
        <v>115082</v>
      </c>
      <c r="C8113" t="str">
        <f>"85249"</f>
        <v>85249</v>
      </c>
      <c r="D8113" t="s">
        <v>3875</v>
      </c>
      <c r="E8113">
        <v>465</v>
      </c>
      <c r="F8113">
        <v>20140402</v>
      </c>
      <c r="G8113" t="s">
        <v>1672</v>
      </c>
      <c r="H8113" t="s">
        <v>357</v>
      </c>
      <c r="I8113" t="s">
        <v>21</v>
      </c>
    </row>
    <row r="8114" spans="1:9" x14ac:dyDescent="0.25">
      <c r="A8114">
        <v>20140403</v>
      </c>
      <c r="B8114" t="str">
        <f>"115082"</f>
        <v>115082</v>
      </c>
      <c r="C8114" t="str">
        <f>"85249"</f>
        <v>85249</v>
      </c>
      <c r="D8114" t="s">
        <v>3875</v>
      </c>
      <c r="E8114">
        <v>215</v>
      </c>
      <c r="F8114">
        <v>20140402</v>
      </c>
      <c r="G8114" t="s">
        <v>3873</v>
      </c>
      <c r="H8114" t="s">
        <v>357</v>
      </c>
      <c r="I8114" t="s">
        <v>21</v>
      </c>
    </row>
    <row r="8115" spans="1:9" x14ac:dyDescent="0.25">
      <c r="A8115">
        <v>20140403</v>
      </c>
      <c r="B8115" t="str">
        <f>"115083"</f>
        <v>115083</v>
      </c>
      <c r="C8115" t="str">
        <f>"87334"</f>
        <v>87334</v>
      </c>
      <c r="D8115" t="s">
        <v>3876</v>
      </c>
      <c r="E8115">
        <v>56.85</v>
      </c>
      <c r="F8115">
        <v>20140401</v>
      </c>
      <c r="G8115" t="s">
        <v>584</v>
      </c>
      <c r="H8115" t="s">
        <v>3877</v>
      </c>
      <c r="I8115" t="s">
        <v>21</v>
      </c>
    </row>
    <row r="8116" spans="1:9" x14ac:dyDescent="0.25">
      <c r="A8116">
        <v>20140403</v>
      </c>
      <c r="B8116" t="str">
        <f>"115084"</f>
        <v>115084</v>
      </c>
      <c r="C8116" t="str">
        <f>"55675"</f>
        <v>55675</v>
      </c>
      <c r="D8116" t="s">
        <v>1114</v>
      </c>
      <c r="E8116">
        <v>70.989999999999995</v>
      </c>
      <c r="F8116">
        <v>20140402</v>
      </c>
      <c r="G8116" t="s">
        <v>506</v>
      </c>
      <c r="H8116" t="s">
        <v>1788</v>
      </c>
      <c r="I8116" t="s">
        <v>21</v>
      </c>
    </row>
    <row r="8117" spans="1:9" x14ac:dyDescent="0.25">
      <c r="A8117">
        <v>20140403</v>
      </c>
      <c r="B8117" t="str">
        <f>"115084"</f>
        <v>115084</v>
      </c>
      <c r="C8117" t="str">
        <f>"55675"</f>
        <v>55675</v>
      </c>
      <c r="D8117" t="s">
        <v>1114</v>
      </c>
      <c r="E8117">
        <v>64.989999999999995</v>
      </c>
      <c r="F8117">
        <v>20140402</v>
      </c>
      <c r="G8117" t="s">
        <v>506</v>
      </c>
      <c r="H8117" t="s">
        <v>1788</v>
      </c>
      <c r="I8117" t="s">
        <v>21</v>
      </c>
    </row>
    <row r="8118" spans="1:9" x14ac:dyDescent="0.25">
      <c r="A8118">
        <v>20140403</v>
      </c>
      <c r="B8118" t="str">
        <f>"115085"</f>
        <v>115085</v>
      </c>
      <c r="C8118" t="str">
        <f>"85567"</f>
        <v>85567</v>
      </c>
      <c r="D8118" t="s">
        <v>3878</v>
      </c>
      <c r="E8118">
        <v>213.48</v>
      </c>
      <c r="F8118">
        <v>20140402</v>
      </c>
      <c r="G8118" t="s">
        <v>3099</v>
      </c>
      <c r="H8118" t="s">
        <v>765</v>
      </c>
      <c r="I8118" t="s">
        <v>61</v>
      </c>
    </row>
    <row r="8119" spans="1:9" x14ac:dyDescent="0.25">
      <c r="A8119">
        <v>20140403</v>
      </c>
      <c r="B8119" t="str">
        <f>"115086"</f>
        <v>115086</v>
      </c>
      <c r="C8119" t="str">
        <f>"87802"</f>
        <v>87802</v>
      </c>
      <c r="D8119" t="s">
        <v>3879</v>
      </c>
      <c r="E8119">
        <v>183.48</v>
      </c>
      <c r="F8119">
        <v>20140402</v>
      </c>
      <c r="G8119" t="s">
        <v>3099</v>
      </c>
      <c r="H8119" t="s">
        <v>765</v>
      </c>
      <c r="I8119" t="s">
        <v>61</v>
      </c>
    </row>
    <row r="8120" spans="1:9" x14ac:dyDescent="0.25">
      <c r="A8120">
        <v>20140403</v>
      </c>
      <c r="B8120" t="str">
        <f>"115087"</f>
        <v>115087</v>
      </c>
      <c r="C8120" t="str">
        <f>"58390"</f>
        <v>58390</v>
      </c>
      <c r="D8120" t="s">
        <v>1791</v>
      </c>
      <c r="E8120">
        <v>159.05000000000001</v>
      </c>
      <c r="F8120">
        <v>20140402</v>
      </c>
      <c r="G8120" t="s">
        <v>214</v>
      </c>
      <c r="H8120" t="s">
        <v>3880</v>
      </c>
      <c r="I8120" t="s">
        <v>38</v>
      </c>
    </row>
    <row r="8121" spans="1:9" x14ac:dyDescent="0.25">
      <c r="A8121">
        <v>20140403</v>
      </c>
      <c r="B8121" t="str">
        <f>"115088"</f>
        <v>115088</v>
      </c>
      <c r="C8121" t="str">
        <f>"83263"</f>
        <v>83263</v>
      </c>
      <c r="D8121" t="s">
        <v>2876</v>
      </c>
      <c r="E8121">
        <v>78.75</v>
      </c>
      <c r="F8121">
        <v>20140402</v>
      </c>
      <c r="G8121" t="s">
        <v>410</v>
      </c>
      <c r="H8121" t="s">
        <v>411</v>
      </c>
      <c r="I8121" t="s">
        <v>12</v>
      </c>
    </row>
    <row r="8122" spans="1:9" x14ac:dyDescent="0.25">
      <c r="A8122">
        <v>20140403</v>
      </c>
      <c r="B8122" t="str">
        <f>"115089"</f>
        <v>115089</v>
      </c>
      <c r="C8122" t="str">
        <f>"86964"</f>
        <v>86964</v>
      </c>
      <c r="D8122" t="s">
        <v>1280</v>
      </c>
      <c r="E8122" s="1">
        <v>15053.8</v>
      </c>
      <c r="F8122">
        <v>20140402</v>
      </c>
      <c r="G8122" t="s">
        <v>574</v>
      </c>
      <c r="H8122" t="s">
        <v>3881</v>
      </c>
      <c r="I8122" t="s">
        <v>21</v>
      </c>
    </row>
    <row r="8123" spans="1:9" x14ac:dyDescent="0.25">
      <c r="A8123">
        <v>20140403</v>
      </c>
      <c r="B8123" t="str">
        <f>"115090"</f>
        <v>115090</v>
      </c>
      <c r="C8123" t="str">
        <f>"86795"</f>
        <v>86795</v>
      </c>
      <c r="D8123" t="s">
        <v>430</v>
      </c>
      <c r="E8123">
        <v>27.9</v>
      </c>
      <c r="F8123">
        <v>20140402</v>
      </c>
      <c r="G8123" t="s">
        <v>410</v>
      </c>
      <c r="H8123" t="s">
        <v>411</v>
      </c>
      <c r="I8123" t="s">
        <v>12</v>
      </c>
    </row>
    <row r="8124" spans="1:9" x14ac:dyDescent="0.25">
      <c r="A8124">
        <v>20140403</v>
      </c>
      <c r="B8124" t="str">
        <f>"115091"</f>
        <v>115091</v>
      </c>
      <c r="C8124" t="str">
        <f>"59695"</f>
        <v>59695</v>
      </c>
      <c r="D8124" t="s">
        <v>371</v>
      </c>
      <c r="E8124">
        <v>810</v>
      </c>
      <c r="F8124">
        <v>20140401</v>
      </c>
      <c r="G8124" t="s">
        <v>372</v>
      </c>
      <c r="H8124" t="s">
        <v>373</v>
      </c>
      <c r="I8124" t="s">
        <v>21</v>
      </c>
    </row>
    <row r="8125" spans="1:9" x14ac:dyDescent="0.25">
      <c r="A8125">
        <v>20140403</v>
      </c>
      <c r="B8125" t="str">
        <f>"115091"</f>
        <v>115091</v>
      </c>
      <c r="C8125" t="str">
        <f>"59695"</f>
        <v>59695</v>
      </c>
      <c r="D8125" t="s">
        <v>371</v>
      </c>
      <c r="E8125">
        <v>405</v>
      </c>
      <c r="F8125">
        <v>20140401</v>
      </c>
      <c r="G8125" t="s">
        <v>374</v>
      </c>
      <c r="H8125" t="s">
        <v>373</v>
      </c>
      <c r="I8125" t="s">
        <v>21</v>
      </c>
    </row>
    <row r="8126" spans="1:9" x14ac:dyDescent="0.25">
      <c r="A8126">
        <v>20140403</v>
      </c>
      <c r="B8126" t="str">
        <f>"115091"</f>
        <v>115091</v>
      </c>
      <c r="C8126" t="str">
        <f>"59695"</f>
        <v>59695</v>
      </c>
      <c r="D8126" t="s">
        <v>371</v>
      </c>
      <c r="E8126">
        <v>100</v>
      </c>
      <c r="F8126">
        <v>20140401</v>
      </c>
      <c r="G8126" t="s">
        <v>375</v>
      </c>
      <c r="H8126" t="s">
        <v>373</v>
      </c>
      <c r="I8126" t="s">
        <v>21</v>
      </c>
    </row>
    <row r="8127" spans="1:9" x14ac:dyDescent="0.25">
      <c r="A8127">
        <v>20140403</v>
      </c>
      <c r="B8127" t="str">
        <f>"115091"</f>
        <v>115091</v>
      </c>
      <c r="C8127" t="str">
        <f>"59695"</f>
        <v>59695</v>
      </c>
      <c r="D8127" t="s">
        <v>371</v>
      </c>
      <c r="E8127">
        <v>620</v>
      </c>
      <c r="F8127">
        <v>20140401</v>
      </c>
      <c r="G8127" t="s">
        <v>376</v>
      </c>
      <c r="H8127" t="s">
        <v>373</v>
      </c>
      <c r="I8127" t="s">
        <v>21</v>
      </c>
    </row>
    <row r="8128" spans="1:9" x14ac:dyDescent="0.25">
      <c r="A8128">
        <v>20140403</v>
      </c>
      <c r="B8128" t="str">
        <f>"115092"</f>
        <v>115092</v>
      </c>
      <c r="C8128" t="str">
        <f>"84891"</f>
        <v>84891</v>
      </c>
      <c r="D8128" t="s">
        <v>2747</v>
      </c>
      <c r="E8128">
        <v>20.7</v>
      </c>
      <c r="F8128">
        <v>20140402</v>
      </c>
      <c r="G8128" t="s">
        <v>410</v>
      </c>
      <c r="H8128" t="s">
        <v>411</v>
      </c>
      <c r="I8128" t="s">
        <v>12</v>
      </c>
    </row>
    <row r="8129" spans="1:9" x14ac:dyDescent="0.25">
      <c r="A8129">
        <v>20140403</v>
      </c>
      <c r="B8129" t="str">
        <f>"115093"</f>
        <v>115093</v>
      </c>
      <c r="C8129" t="str">
        <f>"84214"</f>
        <v>84214</v>
      </c>
      <c r="D8129" t="s">
        <v>431</v>
      </c>
      <c r="E8129">
        <v>35.1</v>
      </c>
      <c r="F8129">
        <v>20140402</v>
      </c>
      <c r="G8129" t="s">
        <v>410</v>
      </c>
      <c r="H8129" t="s">
        <v>411</v>
      </c>
      <c r="I8129" t="s">
        <v>12</v>
      </c>
    </row>
    <row r="8130" spans="1:9" x14ac:dyDescent="0.25">
      <c r="A8130">
        <v>20140403</v>
      </c>
      <c r="B8130" t="str">
        <f>"115094"</f>
        <v>115094</v>
      </c>
      <c r="C8130" t="str">
        <f>"81309"</f>
        <v>81309</v>
      </c>
      <c r="D8130" t="s">
        <v>1921</v>
      </c>
      <c r="E8130">
        <v>540</v>
      </c>
      <c r="F8130">
        <v>20140401</v>
      </c>
      <c r="G8130" t="s">
        <v>496</v>
      </c>
      <c r="H8130" t="s">
        <v>3882</v>
      </c>
      <c r="I8130" t="s">
        <v>21</v>
      </c>
    </row>
    <row r="8131" spans="1:9" x14ac:dyDescent="0.25">
      <c r="A8131">
        <v>20140403</v>
      </c>
      <c r="B8131" t="str">
        <f>"115095"</f>
        <v>115095</v>
      </c>
      <c r="C8131" t="str">
        <f>"87142"</f>
        <v>87142</v>
      </c>
      <c r="D8131" t="s">
        <v>1923</v>
      </c>
      <c r="E8131">
        <v>12.44</v>
      </c>
      <c r="F8131">
        <v>20140401</v>
      </c>
      <c r="G8131" t="s">
        <v>2358</v>
      </c>
      <c r="H8131" t="s">
        <v>354</v>
      </c>
      <c r="I8131" t="s">
        <v>21</v>
      </c>
    </row>
    <row r="8132" spans="1:9" x14ac:dyDescent="0.25">
      <c r="A8132">
        <v>20140403</v>
      </c>
      <c r="B8132" t="str">
        <f>"115096"</f>
        <v>115096</v>
      </c>
      <c r="C8132" t="str">
        <f>"87772"</f>
        <v>87772</v>
      </c>
      <c r="D8132" t="s">
        <v>3883</v>
      </c>
      <c r="E8132" s="1">
        <v>22253.5</v>
      </c>
      <c r="F8132">
        <v>20140402</v>
      </c>
      <c r="G8132" t="s">
        <v>3555</v>
      </c>
      <c r="H8132" t="s">
        <v>3884</v>
      </c>
      <c r="I8132" t="s">
        <v>12</v>
      </c>
    </row>
    <row r="8133" spans="1:9" x14ac:dyDescent="0.25">
      <c r="A8133">
        <v>20140403</v>
      </c>
      <c r="B8133" t="str">
        <f>"115097"</f>
        <v>115097</v>
      </c>
      <c r="C8133" t="str">
        <f>"65430"</f>
        <v>65430</v>
      </c>
      <c r="D8133" t="s">
        <v>1518</v>
      </c>
      <c r="E8133">
        <v>123.06</v>
      </c>
      <c r="F8133">
        <v>20140401</v>
      </c>
      <c r="G8133" t="s">
        <v>413</v>
      </c>
      <c r="H8133" t="s">
        <v>414</v>
      </c>
      <c r="I8133" t="s">
        <v>21</v>
      </c>
    </row>
    <row r="8134" spans="1:9" x14ac:dyDescent="0.25">
      <c r="A8134">
        <v>20140403</v>
      </c>
      <c r="B8134" t="str">
        <f>"115098"</f>
        <v>115098</v>
      </c>
      <c r="C8134" t="str">
        <f>"87693"</f>
        <v>87693</v>
      </c>
      <c r="D8134" t="s">
        <v>2978</v>
      </c>
      <c r="E8134">
        <v>211</v>
      </c>
      <c r="F8134">
        <v>20140402</v>
      </c>
      <c r="G8134" t="s">
        <v>206</v>
      </c>
      <c r="H8134" t="s">
        <v>414</v>
      </c>
      <c r="I8134" t="s">
        <v>25</v>
      </c>
    </row>
    <row r="8135" spans="1:9" x14ac:dyDescent="0.25">
      <c r="A8135">
        <v>20140403</v>
      </c>
      <c r="B8135" t="str">
        <f>"115099"</f>
        <v>115099</v>
      </c>
      <c r="C8135" t="str">
        <f>"81411"</f>
        <v>81411</v>
      </c>
      <c r="D8135" t="s">
        <v>687</v>
      </c>
      <c r="E8135">
        <v>642.44000000000005</v>
      </c>
      <c r="F8135">
        <v>20140401</v>
      </c>
      <c r="G8135" t="s">
        <v>498</v>
      </c>
      <c r="H8135" t="s">
        <v>499</v>
      </c>
      <c r="I8135" t="s">
        <v>21</v>
      </c>
    </row>
    <row r="8136" spans="1:9" x14ac:dyDescent="0.25">
      <c r="A8136">
        <v>20140403</v>
      </c>
      <c r="B8136" t="str">
        <f>"115099"</f>
        <v>115099</v>
      </c>
      <c r="C8136" t="str">
        <f>"81411"</f>
        <v>81411</v>
      </c>
      <c r="D8136" t="s">
        <v>687</v>
      </c>
      <c r="E8136">
        <v>897.83</v>
      </c>
      <c r="F8136">
        <v>20140401</v>
      </c>
      <c r="G8136" t="s">
        <v>498</v>
      </c>
      <c r="H8136" t="s">
        <v>499</v>
      </c>
      <c r="I8136" t="s">
        <v>21</v>
      </c>
    </row>
    <row r="8137" spans="1:9" x14ac:dyDescent="0.25">
      <c r="A8137">
        <v>20140403</v>
      </c>
      <c r="B8137" t="str">
        <f>"115100"</f>
        <v>115100</v>
      </c>
      <c r="C8137" t="str">
        <f>"82312"</f>
        <v>82312</v>
      </c>
      <c r="D8137" t="s">
        <v>3585</v>
      </c>
      <c r="E8137">
        <v>120</v>
      </c>
      <c r="F8137">
        <v>20140402</v>
      </c>
      <c r="G8137" t="s">
        <v>3586</v>
      </c>
      <c r="H8137" t="s">
        <v>3885</v>
      </c>
      <c r="I8137" t="s">
        <v>21</v>
      </c>
    </row>
    <row r="8138" spans="1:9" x14ac:dyDescent="0.25">
      <c r="A8138">
        <v>20140403</v>
      </c>
      <c r="B8138" t="str">
        <f>"115101"</f>
        <v>115101</v>
      </c>
      <c r="C8138" t="str">
        <f>"86577"</f>
        <v>86577</v>
      </c>
      <c r="D8138" t="s">
        <v>3077</v>
      </c>
      <c r="E8138">
        <v>270</v>
      </c>
      <c r="F8138">
        <v>20140401</v>
      </c>
      <c r="G8138" t="s">
        <v>581</v>
      </c>
      <c r="H8138" t="s">
        <v>3886</v>
      </c>
      <c r="I8138" t="s">
        <v>21</v>
      </c>
    </row>
    <row r="8139" spans="1:9" x14ac:dyDescent="0.25">
      <c r="A8139">
        <v>20140403</v>
      </c>
      <c r="B8139" t="str">
        <f>"115102"</f>
        <v>115102</v>
      </c>
      <c r="C8139" t="str">
        <f>"68960"</f>
        <v>68960</v>
      </c>
      <c r="D8139" t="s">
        <v>689</v>
      </c>
      <c r="E8139">
        <v>35</v>
      </c>
      <c r="F8139">
        <v>20140402</v>
      </c>
      <c r="G8139" t="s">
        <v>159</v>
      </c>
      <c r="H8139" t="s">
        <v>357</v>
      </c>
      <c r="I8139" t="s">
        <v>25</v>
      </c>
    </row>
    <row r="8140" spans="1:9" x14ac:dyDescent="0.25">
      <c r="A8140">
        <v>20140403</v>
      </c>
      <c r="B8140" t="str">
        <f>"115103"</f>
        <v>115103</v>
      </c>
      <c r="C8140" t="str">
        <f>"69220"</f>
        <v>69220</v>
      </c>
      <c r="D8140" t="s">
        <v>3887</v>
      </c>
      <c r="E8140">
        <v>263.56</v>
      </c>
      <c r="F8140">
        <v>20140402</v>
      </c>
      <c r="G8140" t="s">
        <v>866</v>
      </c>
      <c r="H8140" t="s">
        <v>3888</v>
      </c>
      <c r="I8140" t="s">
        <v>25</v>
      </c>
    </row>
    <row r="8141" spans="1:9" x14ac:dyDescent="0.25">
      <c r="A8141">
        <v>20140403</v>
      </c>
      <c r="B8141" t="str">
        <f>"115104"</f>
        <v>115104</v>
      </c>
      <c r="C8141" t="str">
        <f>"69940"</f>
        <v>69940</v>
      </c>
      <c r="D8141" t="s">
        <v>1156</v>
      </c>
      <c r="E8141" s="1">
        <v>2533.17</v>
      </c>
      <c r="F8141">
        <v>20140401</v>
      </c>
      <c r="G8141" t="s">
        <v>840</v>
      </c>
      <c r="H8141" t="s">
        <v>3889</v>
      </c>
      <c r="I8141" t="s">
        <v>21</v>
      </c>
    </row>
    <row r="8142" spans="1:9" x14ac:dyDescent="0.25">
      <c r="A8142">
        <v>20140403</v>
      </c>
      <c r="B8142" t="str">
        <f>"115105"</f>
        <v>115105</v>
      </c>
      <c r="C8142" t="str">
        <f>"87799"</f>
        <v>87799</v>
      </c>
      <c r="D8142" t="s">
        <v>3786</v>
      </c>
      <c r="E8142" s="1">
        <v>13950</v>
      </c>
      <c r="F8142">
        <v>20140401</v>
      </c>
      <c r="G8142" t="s">
        <v>1464</v>
      </c>
      <c r="H8142" t="s">
        <v>3890</v>
      </c>
      <c r="I8142" t="s">
        <v>21</v>
      </c>
    </row>
    <row r="8143" spans="1:9" x14ac:dyDescent="0.25">
      <c r="A8143">
        <v>20140403</v>
      </c>
      <c r="B8143" t="str">
        <f>"115106"</f>
        <v>115106</v>
      </c>
      <c r="C8143" t="str">
        <f>"70681"</f>
        <v>70681</v>
      </c>
      <c r="D8143" t="s">
        <v>3191</v>
      </c>
      <c r="E8143" s="1">
        <v>1756</v>
      </c>
      <c r="F8143">
        <v>20140402</v>
      </c>
      <c r="G8143" t="s">
        <v>810</v>
      </c>
      <c r="H8143" t="s">
        <v>3500</v>
      </c>
      <c r="I8143" t="s">
        <v>66</v>
      </c>
    </row>
    <row r="8144" spans="1:9" x14ac:dyDescent="0.25">
      <c r="A8144">
        <v>20140403</v>
      </c>
      <c r="B8144" t="str">
        <f>"115106"</f>
        <v>115106</v>
      </c>
      <c r="C8144" t="str">
        <f>"70681"</f>
        <v>70681</v>
      </c>
      <c r="D8144" t="s">
        <v>3191</v>
      </c>
      <c r="E8144" s="1">
        <v>1500</v>
      </c>
      <c r="F8144">
        <v>20140401</v>
      </c>
      <c r="G8144" t="s">
        <v>1145</v>
      </c>
      <c r="H8144" t="s">
        <v>3891</v>
      </c>
      <c r="I8144" t="s">
        <v>73</v>
      </c>
    </row>
    <row r="8145" spans="1:9" x14ac:dyDescent="0.25">
      <c r="A8145">
        <v>20140403</v>
      </c>
      <c r="B8145" t="str">
        <f>"115107"</f>
        <v>115107</v>
      </c>
      <c r="C8145" t="str">
        <f>"85152"</f>
        <v>85152</v>
      </c>
      <c r="D8145" t="s">
        <v>3892</v>
      </c>
      <c r="E8145">
        <v>215</v>
      </c>
      <c r="F8145">
        <v>20140401</v>
      </c>
      <c r="G8145" t="s">
        <v>384</v>
      </c>
      <c r="H8145" t="s">
        <v>2191</v>
      </c>
      <c r="I8145" t="s">
        <v>21</v>
      </c>
    </row>
    <row r="8146" spans="1:9" x14ac:dyDescent="0.25">
      <c r="A8146">
        <v>20140403</v>
      </c>
      <c r="B8146" t="str">
        <f>"115108"</f>
        <v>115108</v>
      </c>
      <c r="C8146" t="str">
        <f>"83921"</f>
        <v>83921</v>
      </c>
      <c r="D8146" t="s">
        <v>967</v>
      </c>
      <c r="E8146">
        <v>30.38</v>
      </c>
      <c r="F8146">
        <v>20140401</v>
      </c>
      <c r="G8146" t="s">
        <v>426</v>
      </c>
      <c r="H8146" t="s">
        <v>968</v>
      </c>
      <c r="I8146" t="s">
        <v>21</v>
      </c>
    </row>
    <row r="8147" spans="1:9" x14ac:dyDescent="0.25">
      <c r="A8147">
        <v>20140403</v>
      </c>
      <c r="B8147" t="str">
        <f>"115109"</f>
        <v>115109</v>
      </c>
      <c r="C8147" t="str">
        <f>"83949"</f>
        <v>83949</v>
      </c>
      <c r="D8147" t="s">
        <v>3893</v>
      </c>
      <c r="E8147">
        <v>160</v>
      </c>
      <c r="F8147">
        <v>20140402</v>
      </c>
      <c r="G8147" t="s">
        <v>3894</v>
      </c>
      <c r="H8147" t="s">
        <v>1740</v>
      </c>
      <c r="I8147" t="s">
        <v>61</v>
      </c>
    </row>
    <row r="8148" spans="1:9" x14ac:dyDescent="0.25">
      <c r="A8148">
        <v>20140403</v>
      </c>
      <c r="B8148" t="str">
        <f>"115110"</f>
        <v>115110</v>
      </c>
      <c r="C8148" t="str">
        <f>"74338"</f>
        <v>74338</v>
      </c>
      <c r="D8148" t="s">
        <v>2773</v>
      </c>
      <c r="E8148">
        <v>15.41</v>
      </c>
      <c r="F8148">
        <v>20140401</v>
      </c>
      <c r="G8148" t="s">
        <v>39</v>
      </c>
      <c r="H8148" t="s">
        <v>354</v>
      </c>
      <c r="I8148" t="s">
        <v>38</v>
      </c>
    </row>
    <row r="8149" spans="1:9" x14ac:dyDescent="0.25">
      <c r="A8149">
        <v>20140403</v>
      </c>
      <c r="B8149" t="str">
        <f>"115110"</f>
        <v>115110</v>
      </c>
      <c r="C8149" t="str">
        <f>"74338"</f>
        <v>74338</v>
      </c>
      <c r="D8149" t="s">
        <v>2773</v>
      </c>
      <c r="E8149">
        <v>17.940000000000001</v>
      </c>
      <c r="F8149">
        <v>20140401</v>
      </c>
      <c r="G8149" t="s">
        <v>39</v>
      </c>
      <c r="H8149" t="s">
        <v>354</v>
      </c>
      <c r="I8149" t="s">
        <v>38</v>
      </c>
    </row>
    <row r="8150" spans="1:9" x14ac:dyDescent="0.25">
      <c r="A8150">
        <v>20140403</v>
      </c>
      <c r="B8150" t="str">
        <f>"115110"</f>
        <v>115110</v>
      </c>
      <c r="C8150" t="str">
        <f>"74338"</f>
        <v>74338</v>
      </c>
      <c r="D8150" t="s">
        <v>2773</v>
      </c>
      <c r="E8150">
        <v>21.44</v>
      </c>
      <c r="F8150">
        <v>20140401</v>
      </c>
      <c r="G8150" t="s">
        <v>39</v>
      </c>
      <c r="H8150" t="s">
        <v>354</v>
      </c>
      <c r="I8150" t="s">
        <v>38</v>
      </c>
    </row>
    <row r="8151" spans="1:9" x14ac:dyDescent="0.25">
      <c r="A8151">
        <v>20140403</v>
      </c>
      <c r="B8151" t="str">
        <f>"115110"</f>
        <v>115110</v>
      </c>
      <c r="C8151" t="str">
        <f>"74338"</f>
        <v>74338</v>
      </c>
      <c r="D8151" t="s">
        <v>2773</v>
      </c>
      <c r="E8151">
        <v>28.98</v>
      </c>
      <c r="F8151">
        <v>20140402</v>
      </c>
      <c r="G8151" t="s">
        <v>39</v>
      </c>
      <c r="H8151" t="s">
        <v>354</v>
      </c>
      <c r="I8151" t="s">
        <v>38</v>
      </c>
    </row>
    <row r="8152" spans="1:9" x14ac:dyDescent="0.25">
      <c r="A8152">
        <v>20140403</v>
      </c>
      <c r="B8152" t="str">
        <f>"115110"</f>
        <v>115110</v>
      </c>
      <c r="C8152" t="str">
        <f>"74338"</f>
        <v>74338</v>
      </c>
      <c r="D8152" t="s">
        <v>2773</v>
      </c>
      <c r="E8152">
        <v>49.04</v>
      </c>
      <c r="F8152">
        <v>20140402</v>
      </c>
      <c r="G8152" t="s">
        <v>39</v>
      </c>
      <c r="H8152" t="s">
        <v>354</v>
      </c>
      <c r="I8152" t="s">
        <v>38</v>
      </c>
    </row>
    <row r="8153" spans="1:9" x14ac:dyDescent="0.25">
      <c r="A8153">
        <v>20140403</v>
      </c>
      <c r="B8153" t="str">
        <f>"115111"</f>
        <v>115111</v>
      </c>
      <c r="C8153" t="str">
        <f>"74497"</f>
        <v>74497</v>
      </c>
      <c r="D8153" t="s">
        <v>3695</v>
      </c>
      <c r="E8153">
        <v>405.32</v>
      </c>
      <c r="F8153">
        <v>20140401</v>
      </c>
      <c r="G8153" t="s">
        <v>1235</v>
      </c>
      <c r="H8153" t="s">
        <v>563</v>
      </c>
      <c r="I8153" t="s">
        <v>79</v>
      </c>
    </row>
    <row r="8154" spans="1:9" x14ac:dyDescent="0.25">
      <c r="A8154">
        <v>20140403</v>
      </c>
      <c r="B8154" t="str">
        <f>"115112"</f>
        <v>115112</v>
      </c>
      <c r="C8154" t="str">
        <f>"87616"</f>
        <v>87616</v>
      </c>
      <c r="D8154" t="s">
        <v>711</v>
      </c>
      <c r="E8154">
        <v>637</v>
      </c>
      <c r="F8154">
        <v>20140402</v>
      </c>
      <c r="G8154" t="s">
        <v>184</v>
      </c>
      <c r="H8154" t="s">
        <v>2418</v>
      </c>
      <c r="I8154" t="s">
        <v>25</v>
      </c>
    </row>
    <row r="8155" spans="1:9" x14ac:dyDescent="0.25">
      <c r="A8155">
        <v>20140403</v>
      </c>
      <c r="B8155" t="str">
        <f>"115113"</f>
        <v>115113</v>
      </c>
      <c r="C8155" t="str">
        <f>"86951"</f>
        <v>86951</v>
      </c>
      <c r="D8155" t="s">
        <v>394</v>
      </c>
      <c r="E8155">
        <v>244.02</v>
      </c>
      <c r="F8155">
        <v>20140401</v>
      </c>
      <c r="G8155" t="s">
        <v>337</v>
      </c>
      <c r="H8155" t="s">
        <v>547</v>
      </c>
      <c r="I8155" t="s">
        <v>21</v>
      </c>
    </row>
    <row r="8156" spans="1:9" x14ac:dyDescent="0.25">
      <c r="A8156">
        <v>20140403</v>
      </c>
      <c r="B8156" t="str">
        <f>"115114"</f>
        <v>115114</v>
      </c>
      <c r="C8156" t="str">
        <f>"84819"</f>
        <v>84819</v>
      </c>
      <c r="D8156" t="s">
        <v>2899</v>
      </c>
      <c r="E8156">
        <v>240</v>
      </c>
      <c r="F8156">
        <v>20140402</v>
      </c>
      <c r="G8156" t="s">
        <v>965</v>
      </c>
      <c r="H8156" t="s">
        <v>361</v>
      </c>
      <c r="I8156" t="s">
        <v>21</v>
      </c>
    </row>
    <row r="8157" spans="1:9" x14ac:dyDescent="0.25">
      <c r="A8157">
        <v>20140403</v>
      </c>
      <c r="B8157" t="str">
        <f>"115115"</f>
        <v>115115</v>
      </c>
      <c r="C8157" t="str">
        <f>"76914"</f>
        <v>76914</v>
      </c>
      <c r="D8157" t="s">
        <v>2580</v>
      </c>
      <c r="E8157">
        <v>68</v>
      </c>
      <c r="F8157">
        <v>20140401</v>
      </c>
      <c r="G8157" t="s">
        <v>2495</v>
      </c>
      <c r="H8157" t="s">
        <v>365</v>
      </c>
      <c r="I8157" t="s">
        <v>21</v>
      </c>
    </row>
    <row r="8158" spans="1:9" x14ac:dyDescent="0.25">
      <c r="A8158">
        <v>20140403</v>
      </c>
      <c r="B8158" t="str">
        <f>"115115"</f>
        <v>115115</v>
      </c>
      <c r="C8158" t="str">
        <f>"76914"</f>
        <v>76914</v>
      </c>
      <c r="D8158" t="s">
        <v>2580</v>
      </c>
      <c r="E8158">
        <v>94.94</v>
      </c>
      <c r="F8158">
        <v>20140401</v>
      </c>
      <c r="G8158" t="s">
        <v>2495</v>
      </c>
      <c r="H8158" t="s">
        <v>365</v>
      </c>
      <c r="I8158" t="s">
        <v>21</v>
      </c>
    </row>
    <row r="8159" spans="1:9" x14ac:dyDescent="0.25">
      <c r="A8159">
        <v>20140403</v>
      </c>
      <c r="B8159" t="str">
        <f>"115115"</f>
        <v>115115</v>
      </c>
      <c r="C8159" t="str">
        <f>"76914"</f>
        <v>76914</v>
      </c>
      <c r="D8159" t="s">
        <v>2580</v>
      </c>
      <c r="E8159">
        <v>39.19</v>
      </c>
      <c r="F8159">
        <v>20140401</v>
      </c>
      <c r="G8159" t="s">
        <v>2495</v>
      </c>
      <c r="H8159" t="s">
        <v>365</v>
      </c>
      <c r="I8159" t="s">
        <v>21</v>
      </c>
    </row>
    <row r="8160" spans="1:9" x14ac:dyDescent="0.25">
      <c r="A8160">
        <v>20140403</v>
      </c>
      <c r="B8160" t="str">
        <f>"115116"</f>
        <v>115116</v>
      </c>
      <c r="C8160" t="str">
        <f>"77126"</f>
        <v>77126</v>
      </c>
      <c r="D8160" t="s">
        <v>3454</v>
      </c>
      <c r="E8160" s="1">
        <v>2200</v>
      </c>
      <c r="F8160">
        <v>20140402</v>
      </c>
      <c r="G8160" t="s">
        <v>3430</v>
      </c>
      <c r="H8160" t="s">
        <v>3593</v>
      </c>
      <c r="I8160" t="s">
        <v>61</v>
      </c>
    </row>
    <row r="8161" spans="1:9" x14ac:dyDescent="0.25">
      <c r="A8161">
        <v>20140403</v>
      </c>
      <c r="B8161" t="str">
        <f>"115117"</f>
        <v>115117</v>
      </c>
      <c r="C8161" t="str">
        <f>"82068"</f>
        <v>82068</v>
      </c>
      <c r="D8161" t="s">
        <v>3197</v>
      </c>
      <c r="E8161">
        <v>270.38</v>
      </c>
      <c r="F8161">
        <v>20140402</v>
      </c>
      <c r="G8161" t="s">
        <v>1850</v>
      </c>
      <c r="H8161" t="s">
        <v>3895</v>
      </c>
      <c r="I8161" t="s">
        <v>21</v>
      </c>
    </row>
    <row r="8162" spans="1:9" x14ac:dyDescent="0.25">
      <c r="A8162">
        <v>20140403</v>
      </c>
      <c r="B8162" t="str">
        <f>"115118"</f>
        <v>115118</v>
      </c>
      <c r="C8162" t="str">
        <f>"87808"</f>
        <v>87808</v>
      </c>
      <c r="D8162" t="s">
        <v>3896</v>
      </c>
      <c r="E8162">
        <v>140</v>
      </c>
      <c r="F8162">
        <v>20140402</v>
      </c>
      <c r="G8162" t="s">
        <v>3894</v>
      </c>
      <c r="H8162" t="s">
        <v>1740</v>
      </c>
      <c r="I8162" t="s">
        <v>61</v>
      </c>
    </row>
    <row r="8163" spans="1:9" x14ac:dyDescent="0.25">
      <c r="A8163">
        <v>20140403</v>
      </c>
      <c r="B8163" t="str">
        <f>"115119"</f>
        <v>115119</v>
      </c>
      <c r="C8163" t="str">
        <f>"84982"</f>
        <v>84982</v>
      </c>
      <c r="D8163" t="s">
        <v>1951</v>
      </c>
      <c r="E8163">
        <v>7.25</v>
      </c>
      <c r="F8163">
        <v>20140402</v>
      </c>
      <c r="G8163" t="s">
        <v>186</v>
      </c>
      <c r="H8163" t="s">
        <v>354</v>
      </c>
      <c r="I8163" t="s">
        <v>61</v>
      </c>
    </row>
    <row r="8164" spans="1:9" x14ac:dyDescent="0.25">
      <c r="A8164">
        <v>20140403</v>
      </c>
      <c r="B8164" t="str">
        <f>"115120"</f>
        <v>115120</v>
      </c>
      <c r="C8164" t="str">
        <f>"78385"</f>
        <v>78385</v>
      </c>
      <c r="D8164" t="s">
        <v>985</v>
      </c>
      <c r="E8164">
        <v>204</v>
      </c>
      <c r="F8164">
        <v>20140401</v>
      </c>
      <c r="G8164" t="s">
        <v>2423</v>
      </c>
      <c r="H8164" t="s">
        <v>365</v>
      </c>
      <c r="I8164" t="s">
        <v>21</v>
      </c>
    </row>
    <row r="8165" spans="1:9" x14ac:dyDescent="0.25">
      <c r="A8165">
        <v>20140403</v>
      </c>
      <c r="B8165" t="str">
        <f>"115121"</f>
        <v>115121</v>
      </c>
      <c r="C8165" t="str">
        <f>"00068"</f>
        <v>00068</v>
      </c>
      <c r="D8165" t="s">
        <v>1327</v>
      </c>
      <c r="E8165">
        <v>58.61</v>
      </c>
      <c r="F8165">
        <v>20140402</v>
      </c>
      <c r="G8165" t="s">
        <v>356</v>
      </c>
      <c r="H8165" t="s">
        <v>357</v>
      </c>
      <c r="I8165" t="s">
        <v>61</v>
      </c>
    </row>
    <row r="8166" spans="1:9" x14ac:dyDescent="0.25">
      <c r="A8166">
        <v>20140403</v>
      </c>
      <c r="B8166" t="str">
        <f>"115122"</f>
        <v>115122</v>
      </c>
      <c r="C8166" t="str">
        <f>"79400"</f>
        <v>79400</v>
      </c>
      <c r="D8166" t="s">
        <v>1328</v>
      </c>
      <c r="E8166" s="1">
        <v>20578.68</v>
      </c>
      <c r="F8166">
        <v>20140402</v>
      </c>
      <c r="G8166" t="s">
        <v>1329</v>
      </c>
      <c r="H8166" t="s">
        <v>1330</v>
      </c>
      <c r="I8166" t="s">
        <v>21</v>
      </c>
    </row>
    <row r="8167" spans="1:9" x14ac:dyDescent="0.25">
      <c r="A8167">
        <v>20140403</v>
      </c>
      <c r="B8167" t="str">
        <f t="shared" ref="B8167:B8203" si="480">"115123"</f>
        <v>115123</v>
      </c>
      <c r="C8167" t="str">
        <f t="shared" ref="C8167:C8203" si="481">"80825"</f>
        <v>80825</v>
      </c>
      <c r="D8167" t="s">
        <v>747</v>
      </c>
      <c r="E8167">
        <v>139.19</v>
      </c>
      <c r="F8167">
        <v>20140401</v>
      </c>
      <c r="G8167" t="s">
        <v>989</v>
      </c>
      <c r="H8167" t="s">
        <v>749</v>
      </c>
      <c r="I8167" t="s">
        <v>61</v>
      </c>
    </row>
    <row r="8168" spans="1:9" x14ac:dyDescent="0.25">
      <c r="A8168">
        <v>20140403</v>
      </c>
      <c r="B8168" t="str">
        <f t="shared" si="480"/>
        <v>115123</v>
      </c>
      <c r="C8168" t="str">
        <f t="shared" si="481"/>
        <v>80825</v>
      </c>
      <c r="D8168" t="s">
        <v>747</v>
      </c>
      <c r="E8168">
        <v>139.19</v>
      </c>
      <c r="F8168">
        <v>20140401</v>
      </c>
      <c r="G8168" t="s">
        <v>989</v>
      </c>
      <c r="H8168" t="s">
        <v>749</v>
      </c>
      <c r="I8168" t="s">
        <v>61</v>
      </c>
    </row>
    <row r="8169" spans="1:9" x14ac:dyDescent="0.25">
      <c r="A8169">
        <v>20140403</v>
      </c>
      <c r="B8169" t="str">
        <f t="shared" si="480"/>
        <v>115123</v>
      </c>
      <c r="C8169" t="str">
        <f t="shared" si="481"/>
        <v>80825</v>
      </c>
      <c r="D8169" t="s">
        <v>747</v>
      </c>
      <c r="E8169">
        <v>641.76</v>
      </c>
      <c r="F8169">
        <v>20140401</v>
      </c>
      <c r="G8169" t="s">
        <v>748</v>
      </c>
      <c r="H8169" t="s">
        <v>749</v>
      </c>
      <c r="I8169" t="s">
        <v>21</v>
      </c>
    </row>
    <row r="8170" spans="1:9" x14ac:dyDescent="0.25">
      <c r="A8170">
        <v>20140403</v>
      </c>
      <c r="B8170" t="str">
        <f t="shared" si="480"/>
        <v>115123</v>
      </c>
      <c r="C8170" t="str">
        <f t="shared" si="481"/>
        <v>80825</v>
      </c>
      <c r="D8170" t="s">
        <v>747</v>
      </c>
      <c r="E8170" s="1">
        <v>2093.38</v>
      </c>
      <c r="F8170">
        <v>20140401</v>
      </c>
      <c r="G8170" t="s">
        <v>748</v>
      </c>
      <c r="H8170" t="s">
        <v>749</v>
      </c>
      <c r="I8170" t="s">
        <v>21</v>
      </c>
    </row>
    <row r="8171" spans="1:9" x14ac:dyDescent="0.25">
      <c r="A8171">
        <v>20140403</v>
      </c>
      <c r="B8171" t="str">
        <f t="shared" si="480"/>
        <v>115123</v>
      </c>
      <c r="C8171" t="str">
        <f t="shared" si="481"/>
        <v>80825</v>
      </c>
      <c r="D8171" t="s">
        <v>747</v>
      </c>
      <c r="E8171">
        <v>670.6</v>
      </c>
      <c r="F8171">
        <v>20140401</v>
      </c>
      <c r="G8171" t="s">
        <v>748</v>
      </c>
      <c r="H8171" t="s">
        <v>749</v>
      </c>
      <c r="I8171" t="s">
        <v>21</v>
      </c>
    </row>
    <row r="8172" spans="1:9" x14ac:dyDescent="0.25">
      <c r="A8172">
        <v>20140403</v>
      </c>
      <c r="B8172" t="str">
        <f t="shared" si="480"/>
        <v>115123</v>
      </c>
      <c r="C8172" t="str">
        <f t="shared" si="481"/>
        <v>80825</v>
      </c>
      <c r="D8172" t="s">
        <v>747</v>
      </c>
      <c r="E8172">
        <v>196.46</v>
      </c>
      <c r="F8172">
        <v>20140401</v>
      </c>
      <c r="G8172" t="s">
        <v>1551</v>
      </c>
      <c r="H8172" t="s">
        <v>749</v>
      </c>
      <c r="I8172" t="s">
        <v>21</v>
      </c>
    </row>
    <row r="8173" spans="1:9" x14ac:dyDescent="0.25">
      <c r="A8173">
        <v>20140403</v>
      </c>
      <c r="B8173" t="str">
        <f t="shared" si="480"/>
        <v>115123</v>
      </c>
      <c r="C8173" t="str">
        <f t="shared" si="481"/>
        <v>80825</v>
      </c>
      <c r="D8173" t="s">
        <v>747</v>
      </c>
      <c r="E8173">
        <v>320.88</v>
      </c>
      <c r="F8173">
        <v>20140401</v>
      </c>
      <c r="G8173" t="s">
        <v>750</v>
      </c>
      <c r="H8173" t="s">
        <v>749</v>
      </c>
      <c r="I8173" t="s">
        <v>21</v>
      </c>
    </row>
    <row r="8174" spans="1:9" x14ac:dyDescent="0.25">
      <c r="A8174">
        <v>20140403</v>
      </c>
      <c r="B8174" t="str">
        <f t="shared" si="480"/>
        <v>115123</v>
      </c>
      <c r="C8174" t="str">
        <f t="shared" si="481"/>
        <v>80825</v>
      </c>
      <c r="D8174" t="s">
        <v>747</v>
      </c>
      <c r="E8174">
        <v>670.6</v>
      </c>
      <c r="F8174">
        <v>20140401</v>
      </c>
      <c r="G8174" t="s">
        <v>750</v>
      </c>
      <c r="H8174" t="s">
        <v>749</v>
      </c>
      <c r="I8174" t="s">
        <v>21</v>
      </c>
    </row>
    <row r="8175" spans="1:9" x14ac:dyDescent="0.25">
      <c r="A8175">
        <v>20140403</v>
      </c>
      <c r="B8175" t="str">
        <f t="shared" si="480"/>
        <v>115123</v>
      </c>
      <c r="C8175" t="str">
        <f t="shared" si="481"/>
        <v>80825</v>
      </c>
      <c r="D8175" t="s">
        <v>747</v>
      </c>
      <c r="E8175">
        <v>320.88</v>
      </c>
      <c r="F8175">
        <v>20140401</v>
      </c>
      <c r="G8175" t="s">
        <v>752</v>
      </c>
      <c r="H8175" t="s">
        <v>749</v>
      </c>
      <c r="I8175" t="s">
        <v>21</v>
      </c>
    </row>
    <row r="8176" spans="1:9" x14ac:dyDescent="0.25">
      <c r="A8176">
        <v>20140403</v>
      </c>
      <c r="B8176" t="str">
        <f t="shared" si="480"/>
        <v>115123</v>
      </c>
      <c r="C8176" t="str">
        <f t="shared" si="481"/>
        <v>80825</v>
      </c>
      <c r="D8176" t="s">
        <v>747</v>
      </c>
      <c r="E8176">
        <v>670.6</v>
      </c>
      <c r="F8176">
        <v>20140401</v>
      </c>
      <c r="G8176" t="s">
        <v>752</v>
      </c>
      <c r="H8176" t="s">
        <v>749</v>
      </c>
      <c r="I8176" t="s">
        <v>21</v>
      </c>
    </row>
    <row r="8177" spans="1:9" x14ac:dyDescent="0.25">
      <c r="A8177">
        <v>20140403</v>
      </c>
      <c r="B8177" t="str">
        <f t="shared" si="480"/>
        <v>115123</v>
      </c>
      <c r="C8177" t="str">
        <f t="shared" si="481"/>
        <v>80825</v>
      </c>
      <c r="D8177" t="s">
        <v>747</v>
      </c>
      <c r="E8177">
        <v>320.88</v>
      </c>
      <c r="F8177">
        <v>20140401</v>
      </c>
      <c r="G8177" t="s">
        <v>753</v>
      </c>
      <c r="H8177" t="s">
        <v>749</v>
      </c>
      <c r="I8177" t="s">
        <v>21</v>
      </c>
    </row>
    <row r="8178" spans="1:9" x14ac:dyDescent="0.25">
      <c r="A8178">
        <v>20140403</v>
      </c>
      <c r="B8178" t="str">
        <f t="shared" si="480"/>
        <v>115123</v>
      </c>
      <c r="C8178" t="str">
        <f t="shared" si="481"/>
        <v>80825</v>
      </c>
      <c r="D8178" t="s">
        <v>747</v>
      </c>
      <c r="E8178">
        <v>582.95000000000005</v>
      </c>
      <c r="F8178">
        <v>20140401</v>
      </c>
      <c r="G8178" t="s">
        <v>753</v>
      </c>
      <c r="H8178" t="s">
        <v>749</v>
      </c>
      <c r="I8178" t="s">
        <v>21</v>
      </c>
    </row>
    <row r="8179" spans="1:9" x14ac:dyDescent="0.25">
      <c r="A8179">
        <v>20140403</v>
      </c>
      <c r="B8179" t="str">
        <f t="shared" si="480"/>
        <v>115123</v>
      </c>
      <c r="C8179" t="str">
        <f t="shared" si="481"/>
        <v>80825</v>
      </c>
      <c r="D8179" t="s">
        <v>747</v>
      </c>
      <c r="E8179">
        <v>582.95000000000005</v>
      </c>
      <c r="F8179">
        <v>20140401</v>
      </c>
      <c r="G8179" t="s">
        <v>753</v>
      </c>
      <c r="H8179" t="s">
        <v>749</v>
      </c>
      <c r="I8179" t="s">
        <v>21</v>
      </c>
    </row>
    <row r="8180" spans="1:9" x14ac:dyDescent="0.25">
      <c r="A8180">
        <v>20140403</v>
      </c>
      <c r="B8180" t="str">
        <f t="shared" si="480"/>
        <v>115123</v>
      </c>
      <c r="C8180" t="str">
        <f t="shared" si="481"/>
        <v>80825</v>
      </c>
      <c r="D8180" t="s">
        <v>747</v>
      </c>
      <c r="E8180">
        <v>320.88</v>
      </c>
      <c r="F8180">
        <v>20140401</v>
      </c>
      <c r="G8180" t="s">
        <v>754</v>
      </c>
      <c r="H8180" t="s">
        <v>749</v>
      </c>
      <c r="I8180" t="s">
        <v>21</v>
      </c>
    </row>
    <row r="8181" spans="1:9" x14ac:dyDescent="0.25">
      <c r="A8181">
        <v>20140403</v>
      </c>
      <c r="B8181" t="str">
        <f t="shared" si="480"/>
        <v>115123</v>
      </c>
      <c r="C8181" t="str">
        <f t="shared" si="481"/>
        <v>80825</v>
      </c>
      <c r="D8181" t="s">
        <v>747</v>
      </c>
      <c r="E8181">
        <v>582.95000000000005</v>
      </c>
      <c r="F8181">
        <v>20140401</v>
      </c>
      <c r="G8181" t="s">
        <v>754</v>
      </c>
      <c r="H8181" t="s">
        <v>749</v>
      </c>
      <c r="I8181" t="s">
        <v>21</v>
      </c>
    </row>
    <row r="8182" spans="1:9" x14ac:dyDescent="0.25">
      <c r="A8182">
        <v>20140403</v>
      </c>
      <c r="B8182" t="str">
        <f t="shared" si="480"/>
        <v>115123</v>
      </c>
      <c r="C8182" t="str">
        <f t="shared" si="481"/>
        <v>80825</v>
      </c>
      <c r="D8182" t="s">
        <v>747</v>
      </c>
      <c r="E8182">
        <v>582.95000000000005</v>
      </c>
      <c r="F8182">
        <v>20140401</v>
      </c>
      <c r="G8182" t="s">
        <v>754</v>
      </c>
      <c r="H8182" t="s">
        <v>749</v>
      </c>
      <c r="I8182" t="s">
        <v>21</v>
      </c>
    </row>
    <row r="8183" spans="1:9" x14ac:dyDescent="0.25">
      <c r="A8183">
        <v>20140403</v>
      </c>
      <c r="B8183" t="str">
        <f t="shared" si="480"/>
        <v>115123</v>
      </c>
      <c r="C8183" t="str">
        <f t="shared" si="481"/>
        <v>80825</v>
      </c>
      <c r="D8183" t="s">
        <v>747</v>
      </c>
      <c r="E8183">
        <v>320.88</v>
      </c>
      <c r="F8183">
        <v>20140401</v>
      </c>
      <c r="G8183" t="s">
        <v>990</v>
      </c>
      <c r="H8183" t="s">
        <v>749</v>
      </c>
      <c r="I8183" t="s">
        <v>21</v>
      </c>
    </row>
    <row r="8184" spans="1:9" x14ac:dyDescent="0.25">
      <c r="A8184">
        <v>20140403</v>
      </c>
      <c r="B8184" t="str">
        <f t="shared" si="480"/>
        <v>115123</v>
      </c>
      <c r="C8184" t="str">
        <f t="shared" si="481"/>
        <v>80825</v>
      </c>
      <c r="D8184" t="s">
        <v>747</v>
      </c>
      <c r="E8184">
        <v>582.95000000000005</v>
      </c>
      <c r="F8184">
        <v>20140401</v>
      </c>
      <c r="G8184" t="s">
        <v>990</v>
      </c>
      <c r="H8184" t="s">
        <v>749</v>
      </c>
      <c r="I8184" t="s">
        <v>21</v>
      </c>
    </row>
    <row r="8185" spans="1:9" x14ac:dyDescent="0.25">
      <c r="A8185">
        <v>20140403</v>
      </c>
      <c r="B8185" t="str">
        <f t="shared" si="480"/>
        <v>115123</v>
      </c>
      <c r="C8185" t="str">
        <f t="shared" si="481"/>
        <v>80825</v>
      </c>
      <c r="D8185" t="s">
        <v>747</v>
      </c>
      <c r="E8185">
        <v>582.95000000000005</v>
      </c>
      <c r="F8185">
        <v>20140401</v>
      </c>
      <c r="G8185" t="s">
        <v>990</v>
      </c>
      <c r="H8185" t="s">
        <v>749</v>
      </c>
      <c r="I8185" t="s">
        <v>21</v>
      </c>
    </row>
    <row r="8186" spans="1:9" x14ac:dyDescent="0.25">
      <c r="A8186">
        <v>20140403</v>
      </c>
      <c r="B8186" t="str">
        <f t="shared" si="480"/>
        <v>115123</v>
      </c>
      <c r="C8186" t="str">
        <f t="shared" si="481"/>
        <v>80825</v>
      </c>
      <c r="D8186" t="s">
        <v>747</v>
      </c>
      <c r="E8186">
        <v>320.88</v>
      </c>
      <c r="F8186">
        <v>20140401</v>
      </c>
      <c r="G8186" t="s">
        <v>755</v>
      </c>
      <c r="H8186" t="s">
        <v>749</v>
      </c>
      <c r="I8186" t="s">
        <v>21</v>
      </c>
    </row>
    <row r="8187" spans="1:9" x14ac:dyDescent="0.25">
      <c r="A8187">
        <v>20140403</v>
      </c>
      <c r="B8187" t="str">
        <f t="shared" si="480"/>
        <v>115123</v>
      </c>
      <c r="C8187" t="str">
        <f t="shared" si="481"/>
        <v>80825</v>
      </c>
      <c r="D8187" t="s">
        <v>747</v>
      </c>
      <c r="E8187">
        <v>582.95000000000005</v>
      </c>
      <c r="F8187">
        <v>20140401</v>
      </c>
      <c r="G8187" t="s">
        <v>755</v>
      </c>
      <c r="H8187" t="s">
        <v>749</v>
      </c>
      <c r="I8187" t="s">
        <v>21</v>
      </c>
    </row>
    <row r="8188" spans="1:9" x14ac:dyDescent="0.25">
      <c r="A8188">
        <v>20140403</v>
      </c>
      <c r="B8188" t="str">
        <f t="shared" si="480"/>
        <v>115123</v>
      </c>
      <c r="C8188" t="str">
        <f t="shared" si="481"/>
        <v>80825</v>
      </c>
      <c r="D8188" t="s">
        <v>747</v>
      </c>
      <c r="E8188">
        <v>320.88</v>
      </c>
      <c r="F8188">
        <v>20140401</v>
      </c>
      <c r="G8188" t="s">
        <v>756</v>
      </c>
      <c r="H8188" t="s">
        <v>749</v>
      </c>
      <c r="I8188" t="s">
        <v>21</v>
      </c>
    </row>
    <row r="8189" spans="1:9" x14ac:dyDescent="0.25">
      <c r="A8189">
        <v>20140403</v>
      </c>
      <c r="B8189" t="str">
        <f t="shared" si="480"/>
        <v>115123</v>
      </c>
      <c r="C8189" t="str">
        <f t="shared" si="481"/>
        <v>80825</v>
      </c>
      <c r="D8189" t="s">
        <v>747</v>
      </c>
      <c r="E8189">
        <v>582.95000000000005</v>
      </c>
      <c r="F8189">
        <v>20140401</v>
      </c>
      <c r="G8189" t="s">
        <v>756</v>
      </c>
      <c r="H8189" t="s">
        <v>749</v>
      </c>
      <c r="I8189" t="s">
        <v>21</v>
      </c>
    </row>
    <row r="8190" spans="1:9" x14ac:dyDescent="0.25">
      <c r="A8190">
        <v>20140403</v>
      </c>
      <c r="B8190" t="str">
        <f t="shared" si="480"/>
        <v>115123</v>
      </c>
      <c r="C8190" t="str">
        <f t="shared" si="481"/>
        <v>80825</v>
      </c>
      <c r="D8190" t="s">
        <v>747</v>
      </c>
      <c r="E8190">
        <v>582.95000000000005</v>
      </c>
      <c r="F8190">
        <v>20140401</v>
      </c>
      <c r="G8190" t="s">
        <v>756</v>
      </c>
      <c r="H8190" t="s">
        <v>749</v>
      </c>
      <c r="I8190" t="s">
        <v>21</v>
      </c>
    </row>
    <row r="8191" spans="1:9" x14ac:dyDescent="0.25">
      <c r="A8191">
        <v>20140403</v>
      </c>
      <c r="B8191" t="str">
        <f t="shared" si="480"/>
        <v>115123</v>
      </c>
      <c r="C8191" t="str">
        <f t="shared" si="481"/>
        <v>80825</v>
      </c>
      <c r="D8191" t="s">
        <v>747</v>
      </c>
      <c r="E8191">
        <v>106.95</v>
      </c>
      <c r="F8191">
        <v>20140401</v>
      </c>
      <c r="G8191" t="s">
        <v>757</v>
      </c>
      <c r="H8191" t="s">
        <v>749</v>
      </c>
      <c r="I8191" t="s">
        <v>21</v>
      </c>
    </row>
    <row r="8192" spans="1:9" x14ac:dyDescent="0.25">
      <c r="A8192">
        <v>20140403</v>
      </c>
      <c r="B8192" t="str">
        <f t="shared" si="480"/>
        <v>115123</v>
      </c>
      <c r="C8192" t="str">
        <f t="shared" si="481"/>
        <v>80825</v>
      </c>
      <c r="D8192" t="s">
        <v>747</v>
      </c>
      <c r="E8192">
        <v>65.5</v>
      </c>
      <c r="F8192">
        <v>20140401</v>
      </c>
      <c r="G8192" t="s">
        <v>757</v>
      </c>
      <c r="H8192" t="s">
        <v>749</v>
      </c>
      <c r="I8192" t="s">
        <v>21</v>
      </c>
    </row>
    <row r="8193" spans="1:9" x14ac:dyDescent="0.25">
      <c r="A8193">
        <v>20140403</v>
      </c>
      <c r="B8193" t="str">
        <f t="shared" si="480"/>
        <v>115123</v>
      </c>
      <c r="C8193" t="str">
        <f t="shared" si="481"/>
        <v>80825</v>
      </c>
      <c r="D8193" t="s">
        <v>747</v>
      </c>
      <c r="E8193">
        <v>133.9</v>
      </c>
      <c r="F8193">
        <v>20140401</v>
      </c>
      <c r="G8193" t="s">
        <v>757</v>
      </c>
      <c r="H8193" t="s">
        <v>749</v>
      </c>
      <c r="I8193" t="s">
        <v>21</v>
      </c>
    </row>
    <row r="8194" spans="1:9" x14ac:dyDescent="0.25">
      <c r="A8194">
        <v>20140403</v>
      </c>
      <c r="B8194" t="str">
        <f t="shared" si="480"/>
        <v>115123</v>
      </c>
      <c r="C8194" t="str">
        <f t="shared" si="481"/>
        <v>80825</v>
      </c>
      <c r="D8194" t="s">
        <v>747</v>
      </c>
      <c r="E8194">
        <v>424.58</v>
      </c>
      <c r="F8194">
        <v>20140401</v>
      </c>
      <c r="G8194" t="s">
        <v>1175</v>
      </c>
      <c r="H8194" t="s">
        <v>749</v>
      </c>
      <c r="I8194" t="s">
        <v>21</v>
      </c>
    </row>
    <row r="8195" spans="1:9" x14ac:dyDescent="0.25">
      <c r="A8195">
        <v>20140403</v>
      </c>
      <c r="B8195" t="str">
        <f t="shared" si="480"/>
        <v>115123</v>
      </c>
      <c r="C8195" t="str">
        <f t="shared" si="481"/>
        <v>80825</v>
      </c>
      <c r="D8195" t="s">
        <v>747</v>
      </c>
      <c r="E8195">
        <v>82.75</v>
      </c>
      <c r="F8195">
        <v>20140401</v>
      </c>
      <c r="G8195" t="s">
        <v>758</v>
      </c>
      <c r="H8195" t="s">
        <v>749</v>
      </c>
      <c r="I8195" t="s">
        <v>21</v>
      </c>
    </row>
    <row r="8196" spans="1:9" x14ac:dyDescent="0.25">
      <c r="A8196">
        <v>20140403</v>
      </c>
      <c r="B8196" t="str">
        <f t="shared" si="480"/>
        <v>115123</v>
      </c>
      <c r="C8196" t="str">
        <f t="shared" si="481"/>
        <v>80825</v>
      </c>
      <c r="D8196" t="s">
        <v>747</v>
      </c>
      <c r="E8196">
        <v>106.95</v>
      </c>
      <c r="F8196">
        <v>20140401</v>
      </c>
      <c r="G8196" t="s">
        <v>544</v>
      </c>
      <c r="H8196" t="s">
        <v>749</v>
      </c>
      <c r="I8196" t="s">
        <v>21</v>
      </c>
    </row>
    <row r="8197" spans="1:9" x14ac:dyDescent="0.25">
      <c r="A8197">
        <v>20140403</v>
      </c>
      <c r="B8197" t="str">
        <f t="shared" si="480"/>
        <v>115123</v>
      </c>
      <c r="C8197" t="str">
        <f t="shared" si="481"/>
        <v>80825</v>
      </c>
      <c r="D8197" t="s">
        <v>747</v>
      </c>
      <c r="E8197">
        <v>65.48</v>
      </c>
      <c r="F8197">
        <v>20140401</v>
      </c>
      <c r="G8197" t="s">
        <v>544</v>
      </c>
      <c r="H8197" t="s">
        <v>749</v>
      </c>
      <c r="I8197" t="s">
        <v>21</v>
      </c>
    </row>
    <row r="8198" spans="1:9" x14ac:dyDescent="0.25">
      <c r="A8198">
        <v>20140403</v>
      </c>
      <c r="B8198" t="str">
        <f t="shared" si="480"/>
        <v>115123</v>
      </c>
      <c r="C8198" t="str">
        <f t="shared" si="481"/>
        <v>80825</v>
      </c>
      <c r="D8198" t="s">
        <v>747</v>
      </c>
      <c r="E8198">
        <v>133.9</v>
      </c>
      <c r="F8198">
        <v>20140401</v>
      </c>
      <c r="G8198" t="s">
        <v>544</v>
      </c>
      <c r="H8198" t="s">
        <v>749</v>
      </c>
      <c r="I8198" t="s">
        <v>21</v>
      </c>
    </row>
    <row r="8199" spans="1:9" x14ac:dyDescent="0.25">
      <c r="A8199">
        <v>20140403</v>
      </c>
      <c r="B8199" t="str">
        <f t="shared" si="480"/>
        <v>115123</v>
      </c>
      <c r="C8199" t="str">
        <f t="shared" si="481"/>
        <v>80825</v>
      </c>
      <c r="D8199" t="s">
        <v>747</v>
      </c>
      <c r="E8199">
        <v>106.95</v>
      </c>
      <c r="F8199">
        <v>20140401</v>
      </c>
      <c r="G8199" t="s">
        <v>545</v>
      </c>
      <c r="H8199" t="s">
        <v>749</v>
      </c>
      <c r="I8199" t="s">
        <v>21</v>
      </c>
    </row>
    <row r="8200" spans="1:9" x14ac:dyDescent="0.25">
      <c r="A8200">
        <v>20140403</v>
      </c>
      <c r="B8200" t="str">
        <f t="shared" si="480"/>
        <v>115123</v>
      </c>
      <c r="C8200" t="str">
        <f t="shared" si="481"/>
        <v>80825</v>
      </c>
      <c r="D8200" t="s">
        <v>747</v>
      </c>
      <c r="E8200">
        <v>65.48</v>
      </c>
      <c r="F8200">
        <v>20140401</v>
      </c>
      <c r="G8200" t="s">
        <v>545</v>
      </c>
      <c r="H8200" t="s">
        <v>749</v>
      </c>
      <c r="I8200" t="s">
        <v>21</v>
      </c>
    </row>
    <row r="8201" spans="1:9" x14ac:dyDescent="0.25">
      <c r="A8201">
        <v>20140403</v>
      </c>
      <c r="B8201" t="str">
        <f t="shared" si="480"/>
        <v>115123</v>
      </c>
      <c r="C8201" t="str">
        <f t="shared" si="481"/>
        <v>80825</v>
      </c>
      <c r="D8201" t="s">
        <v>747</v>
      </c>
      <c r="E8201">
        <v>133.91</v>
      </c>
      <c r="F8201">
        <v>20140401</v>
      </c>
      <c r="G8201" t="s">
        <v>545</v>
      </c>
      <c r="H8201" t="s">
        <v>749</v>
      </c>
      <c r="I8201" t="s">
        <v>21</v>
      </c>
    </row>
    <row r="8202" spans="1:9" x14ac:dyDescent="0.25">
      <c r="A8202">
        <v>20140403</v>
      </c>
      <c r="B8202" t="str">
        <f t="shared" si="480"/>
        <v>115123</v>
      </c>
      <c r="C8202" t="str">
        <f t="shared" si="481"/>
        <v>80825</v>
      </c>
      <c r="D8202" t="s">
        <v>747</v>
      </c>
      <c r="E8202">
        <v>345.9</v>
      </c>
      <c r="F8202">
        <v>20140401</v>
      </c>
      <c r="G8202" t="s">
        <v>1176</v>
      </c>
      <c r="H8202" t="s">
        <v>749</v>
      </c>
      <c r="I8202" t="s">
        <v>21</v>
      </c>
    </row>
    <row r="8203" spans="1:9" x14ac:dyDescent="0.25">
      <c r="A8203">
        <v>20140403</v>
      </c>
      <c r="B8203" t="str">
        <f t="shared" si="480"/>
        <v>115123</v>
      </c>
      <c r="C8203" t="str">
        <f t="shared" si="481"/>
        <v>80825</v>
      </c>
      <c r="D8203" t="s">
        <v>747</v>
      </c>
      <c r="E8203">
        <v>196.46</v>
      </c>
      <c r="F8203">
        <v>20140401</v>
      </c>
      <c r="G8203" t="s">
        <v>759</v>
      </c>
      <c r="H8203" t="s">
        <v>749</v>
      </c>
      <c r="I8203" t="s">
        <v>12</v>
      </c>
    </row>
    <row r="8204" spans="1:9" x14ac:dyDescent="0.25">
      <c r="A8204">
        <v>20140403</v>
      </c>
      <c r="B8204" t="str">
        <f>"115124"</f>
        <v>115124</v>
      </c>
      <c r="C8204" t="str">
        <f>"84132"</f>
        <v>84132</v>
      </c>
      <c r="D8204" t="s">
        <v>1695</v>
      </c>
      <c r="E8204">
        <v>140.85</v>
      </c>
      <c r="F8204">
        <v>20140401</v>
      </c>
      <c r="G8204" t="s">
        <v>1145</v>
      </c>
      <c r="H8204" t="s">
        <v>365</v>
      </c>
      <c r="I8204" t="s">
        <v>73</v>
      </c>
    </row>
    <row r="8205" spans="1:9" x14ac:dyDescent="0.25">
      <c r="A8205">
        <v>20140410</v>
      </c>
      <c r="B8205" t="str">
        <f>"115125"</f>
        <v>115125</v>
      </c>
      <c r="C8205" t="str">
        <f>"00155"</f>
        <v>00155</v>
      </c>
      <c r="D8205" t="s">
        <v>443</v>
      </c>
      <c r="E8205">
        <v>350</v>
      </c>
      <c r="F8205">
        <v>20140404</v>
      </c>
      <c r="G8205" t="s">
        <v>186</v>
      </c>
      <c r="H8205" t="s">
        <v>3897</v>
      </c>
      <c r="I8205" t="s">
        <v>61</v>
      </c>
    </row>
    <row r="8206" spans="1:9" x14ac:dyDescent="0.25">
      <c r="A8206">
        <v>20140410</v>
      </c>
      <c r="B8206" t="str">
        <f>"115126"</f>
        <v>115126</v>
      </c>
      <c r="C8206" t="str">
        <f>"86997"</f>
        <v>86997</v>
      </c>
      <c r="D8206" t="s">
        <v>2098</v>
      </c>
      <c r="E8206">
        <v>41.35</v>
      </c>
      <c r="F8206">
        <v>20140403</v>
      </c>
      <c r="G8206" t="s">
        <v>392</v>
      </c>
      <c r="H8206" t="s">
        <v>414</v>
      </c>
      <c r="I8206" t="s">
        <v>21</v>
      </c>
    </row>
    <row r="8207" spans="1:9" x14ac:dyDescent="0.25">
      <c r="A8207">
        <v>20140410</v>
      </c>
      <c r="B8207" t="str">
        <f>"115126"</f>
        <v>115126</v>
      </c>
      <c r="C8207" t="str">
        <f>"86997"</f>
        <v>86997</v>
      </c>
      <c r="D8207" t="s">
        <v>2098</v>
      </c>
      <c r="E8207">
        <v>177.68</v>
      </c>
      <c r="F8207">
        <v>20140409</v>
      </c>
      <c r="G8207" t="s">
        <v>3820</v>
      </c>
      <c r="H8207" t="s">
        <v>414</v>
      </c>
      <c r="I8207" t="s">
        <v>21</v>
      </c>
    </row>
    <row r="8208" spans="1:9" x14ac:dyDescent="0.25">
      <c r="A8208">
        <v>20140410</v>
      </c>
      <c r="B8208" t="str">
        <f>"115127"</f>
        <v>115127</v>
      </c>
      <c r="C8208" t="str">
        <f>"00954"</f>
        <v>00954</v>
      </c>
      <c r="D8208" t="s">
        <v>445</v>
      </c>
      <c r="E8208">
        <v>32</v>
      </c>
      <c r="F8208">
        <v>20140403</v>
      </c>
      <c r="G8208" t="s">
        <v>496</v>
      </c>
      <c r="H8208" t="s">
        <v>3898</v>
      </c>
      <c r="I8208" t="s">
        <v>21</v>
      </c>
    </row>
    <row r="8209" spans="1:9" x14ac:dyDescent="0.25">
      <c r="A8209">
        <v>20140410</v>
      </c>
      <c r="B8209" t="str">
        <f>"115128"</f>
        <v>115128</v>
      </c>
      <c r="C8209" t="str">
        <f>"01890"</f>
        <v>01890</v>
      </c>
      <c r="D8209" t="s">
        <v>447</v>
      </c>
      <c r="E8209">
        <v>19.059999999999999</v>
      </c>
      <c r="F8209">
        <v>20140403</v>
      </c>
      <c r="G8209" t="s">
        <v>1338</v>
      </c>
      <c r="H8209" t="s">
        <v>414</v>
      </c>
      <c r="I8209" t="s">
        <v>21</v>
      </c>
    </row>
    <row r="8210" spans="1:9" x14ac:dyDescent="0.25">
      <c r="A8210">
        <v>20140410</v>
      </c>
      <c r="B8210" t="str">
        <f>"115128"</f>
        <v>115128</v>
      </c>
      <c r="C8210" t="str">
        <f>"01890"</f>
        <v>01890</v>
      </c>
      <c r="D8210" t="s">
        <v>447</v>
      </c>
      <c r="E8210">
        <v>37.06</v>
      </c>
      <c r="F8210">
        <v>20140403</v>
      </c>
      <c r="G8210" t="s">
        <v>448</v>
      </c>
      <c r="H8210" t="s">
        <v>414</v>
      </c>
      <c r="I8210" t="s">
        <v>21</v>
      </c>
    </row>
    <row r="8211" spans="1:9" x14ac:dyDescent="0.25">
      <c r="A8211">
        <v>20140410</v>
      </c>
      <c r="B8211" t="str">
        <f>"115128"</f>
        <v>115128</v>
      </c>
      <c r="C8211" t="str">
        <f>"01890"</f>
        <v>01890</v>
      </c>
      <c r="D8211" t="s">
        <v>447</v>
      </c>
      <c r="E8211">
        <v>145.66999999999999</v>
      </c>
      <c r="F8211">
        <v>20140403</v>
      </c>
      <c r="G8211" t="s">
        <v>448</v>
      </c>
      <c r="H8211" t="s">
        <v>414</v>
      </c>
      <c r="I8211" t="s">
        <v>21</v>
      </c>
    </row>
    <row r="8212" spans="1:9" x14ac:dyDescent="0.25">
      <c r="A8212">
        <v>20140410</v>
      </c>
      <c r="B8212" t="str">
        <f>"115128"</f>
        <v>115128</v>
      </c>
      <c r="C8212" t="str">
        <f>"01890"</f>
        <v>01890</v>
      </c>
      <c r="D8212" t="s">
        <v>447</v>
      </c>
      <c r="E8212">
        <v>137.83000000000001</v>
      </c>
      <c r="F8212">
        <v>20140403</v>
      </c>
      <c r="G8212" t="s">
        <v>496</v>
      </c>
      <c r="H8212" t="s">
        <v>414</v>
      </c>
      <c r="I8212" t="s">
        <v>21</v>
      </c>
    </row>
    <row r="8213" spans="1:9" x14ac:dyDescent="0.25">
      <c r="A8213">
        <v>20140410</v>
      </c>
      <c r="B8213" t="str">
        <f>"115129"</f>
        <v>115129</v>
      </c>
      <c r="C8213" t="str">
        <f>"86889"</f>
        <v>86889</v>
      </c>
      <c r="D8213" t="s">
        <v>449</v>
      </c>
      <c r="E8213">
        <v>824.74</v>
      </c>
      <c r="F8213">
        <v>20140403</v>
      </c>
      <c r="G8213" t="s">
        <v>511</v>
      </c>
      <c r="H8213" t="s">
        <v>656</v>
      </c>
      <c r="I8213" t="s">
        <v>21</v>
      </c>
    </row>
    <row r="8214" spans="1:9" x14ac:dyDescent="0.25">
      <c r="A8214">
        <v>20140410</v>
      </c>
      <c r="B8214" t="str">
        <f>"115129"</f>
        <v>115129</v>
      </c>
      <c r="C8214" t="str">
        <f>"86889"</f>
        <v>86889</v>
      </c>
      <c r="D8214" t="s">
        <v>449</v>
      </c>
      <c r="E8214">
        <v>286.04000000000002</v>
      </c>
      <c r="F8214">
        <v>20140409</v>
      </c>
      <c r="G8214" t="s">
        <v>511</v>
      </c>
      <c r="H8214" t="s">
        <v>656</v>
      </c>
      <c r="I8214" t="s">
        <v>21</v>
      </c>
    </row>
    <row r="8215" spans="1:9" x14ac:dyDescent="0.25">
      <c r="A8215">
        <v>20140410</v>
      </c>
      <c r="B8215" t="str">
        <f>"115129"</f>
        <v>115129</v>
      </c>
      <c r="C8215" t="str">
        <f>"86889"</f>
        <v>86889</v>
      </c>
      <c r="D8215" t="s">
        <v>449</v>
      </c>
      <c r="E8215">
        <v>275</v>
      </c>
      <c r="F8215">
        <v>20140403</v>
      </c>
      <c r="G8215" t="s">
        <v>3820</v>
      </c>
      <c r="H8215" t="s">
        <v>656</v>
      </c>
      <c r="I8215" t="s">
        <v>21</v>
      </c>
    </row>
    <row r="8216" spans="1:9" x14ac:dyDescent="0.25">
      <c r="A8216">
        <v>20140410</v>
      </c>
      <c r="B8216" t="str">
        <f t="shared" ref="B8216:B8229" si="482">"115130"</f>
        <v>115130</v>
      </c>
      <c r="C8216" t="str">
        <f t="shared" ref="C8216:C8229" si="483">"52460"</f>
        <v>52460</v>
      </c>
      <c r="D8216" t="s">
        <v>452</v>
      </c>
      <c r="E8216">
        <v>418.19</v>
      </c>
      <c r="F8216">
        <v>20140409</v>
      </c>
      <c r="G8216" t="s">
        <v>453</v>
      </c>
      <c r="H8216" t="s">
        <v>454</v>
      </c>
      <c r="I8216" t="s">
        <v>21</v>
      </c>
    </row>
    <row r="8217" spans="1:9" x14ac:dyDescent="0.25">
      <c r="A8217">
        <v>20140410</v>
      </c>
      <c r="B8217" t="str">
        <f t="shared" si="482"/>
        <v>115130</v>
      </c>
      <c r="C8217" t="str">
        <f t="shared" si="483"/>
        <v>52460</v>
      </c>
      <c r="D8217" t="s">
        <v>452</v>
      </c>
      <c r="E8217" s="1">
        <v>2327.75</v>
      </c>
      <c r="F8217">
        <v>20140409</v>
      </c>
      <c r="G8217" t="s">
        <v>455</v>
      </c>
      <c r="H8217" t="s">
        <v>454</v>
      </c>
      <c r="I8217" t="s">
        <v>21</v>
      </c>
    </row>
    <row r="8218" spans="1:9" x14ac:dyDescent="0.25">
      <c r="A8218">
        <v>20140410</v>
      </c>
      <c r="B8218" t="str">
        <f t="shared" si="482"/>
        <v>115130</v>
      </c>
      <c r="C8218" t="str">
        <f t="shared" si="483"/>
        <v>52460</v>
      </c>
      <c r="D8218" t="s">
        <v>452</v>
      </c>
      <c r="E8218" s="1">
        <v>1149.4000000000001</v>
      </c>
      <c r="F8218">
        <v>20140409</v>
      </c>
      <c r="G8218" t="s">
        <v>456</v>
      </c>
      <c r="H8218" t="s">
        <v>454</v>
      </c>
      <c r="I8218" t="s">
        <v>21</v>
      </c>
    </row>
    <row r="8219" spans="1:9" x14ac:dyDescent="0.25">
      <c r="A8219">
        <v>20140410</v>
      </c>
      <c r="B8219" t="str">
        <f t="shared" si="482"/>
        <v>115130</v>
      </c>
      <c r="C8219" t="str">
        <f t="shared" si="483"/>
        <v>52460</v>
      </c>
      <c r="D8219" t="s">
        <v>452</v>
      </c>
      <c r="E8219" s="1">
        <v>1046.8399999999999</v>
      </c>
      <c r="F8219">
        <v>20140409</v>
      </c>
      <c r="G8219" t="s">
        <v>457</v>
      </c>
      <c r="H8219" t="s">
        <v>454</v>
      </c>
      <c r="I8219" t="s">
        <v>21</v>
      </c>
    </row>
    <row r="8220" spans="1:9" x14ac:dyDescent="0.25">
      <c r="A8220">
        <v>20140410</v>
      </c>
      <c r="B8220" t="str">
        <f t="shared" si="482"/>
        <v>115130</v>
      </c>
      <c r="C8220" t="str">
        <f t="shared" si="483"/>
        <v>52460</v>
      </c>
      <c r="D8220" t="s">
        <v>452</v>
      </c>
      <c r="E8220">
        <v>917.97</v>
      </c>
      <c r="F8220">
        <v>20140409</v>
      </c>
      <c r="G8220" t="s">
        <v>458</v>
      </c>
      <c r="H8220" t="s">
        <v>454</v>
      </c>
      <c r="I8220" t="s">
        <v>21</v>
      </c>
    </row>
    <row r="8221" spans="1:9" x14ac:dyDescent="0.25">
      <c r="A8221">
        <v>20140410</v>
      </c>
      <c r="B8221" t="str">
        <f t="shared" si="482"/>
        <v>115130</v>
      </c>
      <c r="C8221" t="str">
        <f t="shared" si="483"/>
        <v>52460</v>
      </c>
      <c r="D8221" t="s">
        <v>452</v>
      </c>
      <c r="E8221" s="1">
        <v>1046.8399999999999</v>
      </c>
      <c r="F8221">
        <v>20140409</v>
      </c>
      <c r="G8221" t="s">
        <v>459</v>
      </c>
      <c r="H8221" t="s">
        <v>454</v>
      </c>
      <c r="I8221" t="s">
        <v>21</v>
      </c>
    </row>
    <row r="8222" spans="1:9" x14ac:dyDescent="0.25">
      <c r="A8222">
        <v>20140410</v>
      </c>
      <c r="B8222" t="str">
        <f t="shared" si="482"/>
        <v>115130</v>
      </c>
      <c r="C8222" t="str">
        <f t="shared" si="483"/>
        <v>52460</v>
      </c>
      <c r="D8222" t="s">
        <v>452</v>
      </c>
      <c r="E8222">
        <v>975.84</v>
      </c>
      <c r="F8222">
        <v>20140409</v>
      </c>
      <c r="G8222" t="s">
        <v>460</v>
      </c>
      <c r="H8222" t="s">
        <v>454</v>
      </c>
      <c r="I8222" t="s">
        <v>21</v>
      </c>
    </row>
    <row r="8223" spans="1:9" x14ac:dyDescent="0.25">
      <c r="A8223">
        <v>20140410</v>
      </c>
      <c r="B8223" t="str">
        <f t="shared" si="482"/>
        <v>115130</v>
      </c>
      <c r="C8223" t="str">
        <f t="shared" si="483"/>
        <v>52460</v>
      </c>
      <c r="D8223" t="s">
        <v>452</v>
      </c>
      <c r="E8223">
        <v>602.36</v>
      </c>
      <c r="F8223">
        <v>20140409</v>
      </c>
      <c r="G8223" t="s">
        <v>461</v>
      </c>
      <c r="H8223" t="s">
        <v>454</v>
      </c>
      <c r="I8223" t="s">
        <v>21</v>
      </c>
    </row>
    <row r="8224" spans="1:9" x14ac:dyDescent="0.25">
      <c r="A8224">
        <v>20140410</v>
      </c>
      <c r="B8224" t="str">
        <f t="shared" si="482"/>
        <v>115130</v>
      </c>
      <c r="C8224" t="str">
        <f t="shared" si="483"/>
        <v>52460</v>
      </c>
      <c r="D8224" t="s">
        <v>452</v>
      </c>
      <c r="E8224" s="1">
        <v>1046.8399999999999</v>
      </c>
      <c r="F8224">
        <v>20140409</v>
      </c>
      <c r="G8224" t="s">
        <v>462</v>
      </c>
      <c r="H8224" t="s">
        <v>454</v>
      </c>
      <c r="I8224" t="s">
        <v>21</v>
      </c>
    </row>
    <row r="8225" spans="1:9" x14ac:dyDescent="0.25">
      <c r="A8225">
        <v>20140410</v>
      </c>
      <c r="B8225" t="str">
        <f t="shared" si="482"/>
        <v>115130</v>
      </c>
      <c r="C8225" t="str">
        <f t="shared" si="483"/>
        <v>52460</v>
      </c>
      <c r="D8225" t="s">
        <v>452</v>
      </c>
      <c r="E8225">
        <v>276.18</v>
      </c>
      <c r="F8225">
        <v>20140409</v>
      </c>
      <c r="G8225" t="s">
        <v>463</v>
      </c>
      <c r="H8225" t="s">
        <v>454</v>
      </c>
      <c r="I8225" t="s">
        <v>21</v>
      </c>
    </row>
    <row r="8226" spans="1:9" x14ac:dyDescent="0.25">
      <c r="A8226">
        <v>20140410</v>
      </c>
      <c r="B8226" t="str">
        <f t="shared" si="482"/>
        <v>115130</v>
      </c>
      <c r="C8226" t="str">
        <f t="shared" si="483"/>
        <v>52460</v>
      </c>
      <c r="D8226" t="s">
        <v>452</v>
      </c>
      <c r="E8226">
        <v>418.19</v>
      </c>
      <c r="F8226">
        <v>20140409</v>
      </c>
      <c r="G8226" t="s">
        <v>464</v>
      </c>
      <c r="H8226" t="s">
        <v>454</v>
      </c>
      <c r="I8226" t="s">
        <v>21</v>
      </c>
    </row>
    <row r="8227" spans="1:9" x14ac:dyDescent="0.25">
      <c r="A8227">
        <v>20140410</v>
      </c>
      <c r="B8227" t="str">
        <f t="shared" si="482"/>
        <v>115130</v>
      </c>
      <c r="C8227" t="str">
        <f t="shared" si="483"/>
        <v>52460</v>
      </c>
      <c r="D8227" t="s">
        <v>452</v>
      </c>
      <c r="E8227">
        <v>465.55</v>
      </c>
      <c r="F8227">
        <v>20140409</v>
      </c>
      <c r="G8227" t="s">
        <v>465</v>
      </c>
      <c r="H8227" t="s">
        <v>454</v>
      </c>
      <c r="I8227" t="s">
        <v>21</v>
      </c>
    </row>
    <row r="8228" spans="1:9" x14ac:dyDescent="0.25">
      <c r="A8228">
        <v>20140410</v>
      </c>
      <c r="B8228" t="str">
        <f t="shared" si="482"/>
        <v>115130</v>
      </c>
      <c r="C8228" t="str">
        <f t="shared" si="483"/>
        <v>52460</v>
      </c>
      <c r="D8228" t="s">
        <v>452</v>
      </c>
      <c r="E8228">
        <v>701.7</v>
      </c>
      <c r="F8228">
        <v>20140409</v>
      </c>
      <c r="G8228" t="s">
        <v>466</v>
      </c>
      <c r="H8228" t="s">
        <v>454</v>
      </c>
      <c r="I8228" t="s">
        <v>21</v>
      </c>
    </row>
    <row r="8229" spans="1:9" x14ac:dyDescent="0.25">
      <c r="A8229">
        <v>20140410</v>
      </c>
      <c r="B8229" t="str">
        <f t="shared" si="482"/>
        <v>115130</v>
      </c>
      <c r="C8229" t="str">
        <f t="shared" si="483"/>
        <v>52460</v>
      </c>
      <c r="D8229" t="s">
        <v>452</v>
      </c>
      <c r="E8229">
        <v>276.18</v>
      </c>
      <c r="F8229">
        <v>20140409</v>
      </c>
      <c r="G8229" t="s">
        <v>467</v>
      </c>
      <c r="H8229" t="s">
        <v>454</v>
      </c>
      <c r="I8229" t="s">
        <v>21</v>
      </c>
    </row>
    <row r="8230" spans="1:9" x14ac:dyDescent="0.25">
      <c r="A8230">
        <v>20140410</v>
      </c>
      <c r="B8230" t="str">
        <f>"115131"</f>
        <v>115131</v>
      </c>
      <c r="C8230" t="str">
        <f>"00500"</f>
        <v>00500</v>
      </c>
      <c r="D8230" t="s">
        <v>486</v>
      </c>
      <c r="E8230" s="1">
        <v>7016.46</v>
      </c>
      <c r="F8230">
        <v>20140409</v>
      </c>
      <c r="G8230" t="s">
        <v>487</v>
      </c>
      <c r="H8230" t="s">
        <v>488</v>
      </c>
      <c r="I8230" t="s">
        <v>21</v>
      </c>
    </row>
    <row r="8231" spans="1:9" x14ac:dyDescent="0.25">
      <c r="A8231">
        <v>20140410</v>
      </c>
      <c r="B8231" t="str">
        <f>"115132"</f>
        <v>115132</v>
      </c>
      <c r="C8231" t="str">
        <f>"00500"</f>
        <v>00500</v>
      </c>
      <c r="D8231" t="s">
        <v>486</v>
      </c>
      <c r="E8231" s="1">
        <v>3201.94</v>
      </c>
      <c r="F8231">
        <v>20140408</v>
      </c>
      <c r="G8231" t="s">
        <v>1705</v>
      </c>
      <c r="H8231" t="s">
        <v>488</v>
      </c>
      <c r="I8231" t="s">
        <v>21</v>
      </c>
    </row>
    <row r="8232" spans="1:9" x14ac:dyDescent="0.25">
      <c r="A8232">
        <v>20140410</v>
      </c>
      <c r="B8232" t="str">
        <f>"115133"</f>
        <v>115133</v>
      </c>
      <c r="C8232" t="str">
        <f>"66825"</f>
        <v>66825</v>
      </c>
      <c r="D8232" t="s">
        <v>2325</v>
      </c>
      <c r="E8232" s="1">
        <v>5188.9799999999996</v>
      </c>
      <c r="F8232">
        <v>20140409</v>
      </c>
      <c r="G8232" t="s">
        <v>2326</v>
      </c>
      <c r="H8232" t="s">
        <v>488</v>
      </c>
      <c r="I8232" t="s">
        <v>21</v>
      </c>
    </row>
    <row r="8233" spans="1:9" x14ac:dyDescent="0.25">
      <c r="A8233">
        <v>20140410</v>
      </c>
      <c r="B8233" t="str">
        <f>"115134"</f>
        <v>115134</v>
      </c>
      <c r="C8233" t="str">
        <f>"86456"</f>
        <v>86456</v>
      </c>
      <c r="D8233" t="s">
        <v>495</v>
      </c>
      <c r="E8233">
        <v>12.99</v>
      </c>
      <c r="F8233">
        <v>20140409</v>
      </c>
      <c r="G8233" t="s">
        <v>496</v>
      </c>
      <c r="H8233" t="s">
        <v>414</v>
      </c>
      <c r="I8233" t="s">
        <v>21</v>
      </c>
    </row>
    <row r="8234" spans="1:9" x14ac:dyDescent="0.25">
      <c r="A8234">
        <v>20140410</v>
      </c>
      <c r="B8234" t="str">
        <f>"115134"</f>
        <v>115134</v>
      </c>
      <c r="C8234" t="str">
        <f>"86456"</f>
        <v>86456</v>
      </c>
      <c r="D8234" t="s">
        <v>495</v>
      </c>
      <c r="E8234">
        <v>106.9</v>
      </c>
      <c r="F8234">
        <v>20140409</v>
      </c>
      <c r="G8234" t="s">
        <v>413</v>
      </c>
      <c r="H8234" t="s">
        <v>414</v>
      </c>
      <c r="I8234" t="s">
        <v>21</v>
      </c>
    </row>
    <row r="8235" spans="1:9" x14ac:dyDescent="0.25">
      <c r="A8235">
        <v>20140410</v>
      </c>
      <c r="B8235" t="str">
        <f>"115134"</f>
        <v>115134</v>
      </c>
      <c r="C8235" t="str">
        <f>"86456"</f>
        <v>86456</v>
      </c>
      <c r="D8235" t="s">
        <v>495</v>
      </c>
      <c r="E8235">
        <v>65.97</v>
      </c>
      <c r="F8235">
        <v>20140409</v>
      </c>
      <c r="G8235" t="s">
        <v>415</v>
      </c>
      <c r="H8235" t="s">
        <v>414</v>
      </c>
      <c r="I8235" t="s">
        <v>21</v>
      </c>
    </row>
    <row r="8236" spans="1:9" x14ac:dyDescent="0.25">
      <c r="A8236">
        <v>20140410</v>
      </c>
      <c r="B8236" t="str">
        <f>"115134"</f>
        <v>115134</v>
      </c>
      <c r="C8236" t="str">
        <f>"86456"</f>
        <v>86456</v>
      </c>
      <c r="D8236" t="s">
        <v>495</v>
      </c>
      <c r="E8236">
        <v>148.91999999999999</v>
      </c>
      <c r="F8236">
        <v>20140409</v>
      </c>
      <c r="G8236" t="s">
        <v>392</v>
      </c>
      <c r="H8236" t="s">
        <v>414</v>
      </c>
      <c r="I8236" t="s">
        <v>21</v>
      </c>
    </row>
    <row r="8237" spans="1:9" x14ac:dyDescent="0.25">
      <c r="A8237">
        <v>20140410</v>
      </c>
      <c r="B8237" t="str">
        <f>"115134"</f>
        <v>115134</v>
      </c>
      <c r="C8237" t="str">
        <f>"86456"</f>
        <v>86456</v>
      </c>
      <c r="D8237" t="s">
        <v>495</v>
      </c>
      <c r="E8237">
        <v>119.96</v>
      </c>
      <c r="F8237">
        <v>20140409</v>
      </c>
      <c r="G8237" t="s">
        <v>3899</v>
      </c>
      <c r="H8237" t="s">
        <v>414</v>
      </c>
      <c r="I8237" t="s">
        <v>21</v>
      </c>
    </row>
    <row r="8238" spans="1:9" x14ac:dyDescent="0.25">
      <c r="A8238">
        <v>20140410</v>
      </c>
      <c r="B8238" t="str">
        <f>"115135"</f>
        <v>115135</v>
      </c>
      <c r="C8238" t="str">
        <f>"83627"</f>
        <v>83627</v>
      </c>
      <c r="D8238" t="s">
        <v>1556</v>
      </c>
      <c r="E8238">
        <v>480</v>
      </c>
      <c r="F8238">
        <v>20140409</v>
      </c>
      <c r="G8238" t="s">
        <v>3900</v>
      </c>
      <c r="H8238" t="s">
        <v>357</v>
      </c>
      <c r="I8238" t="s">
        <v>25</v>
      </c>
    </row>
    <row r="8239" spans="1:9" x14ac:dyDescent="0.25">
      <c r="A8239">
        <v>20140410</v>
      </c>
      <c r="B8239" t="str">
        <f>"115136"</f>
        <v>115136</v>
      </c>
      <c r="C8239" t="str">
        <f>"82826"</f>
        <v>82826</v>
      </c>
      <c r="D8239" t="s">
        <v>2615</v>
      </c>
      <c r="E8239">
        <v>123.91</v>
      </c>
      <c r="F8239">
        <v>20140403</v>
      </c>
      <c r="G8239" t="s">
        <v>417</v>
      </c>
      <c r="H8239" t="s">
        <v>414</v>
      </c>
      <c r="I8239" t="s">
        <v>21</v>
      </c>
    </row>
    <row r="8240" spans="1:9" x14ac:dyDescent="0.25">
      <c r="A8240">
        <v>20140410</v>
      </c>
      <c r="B8240" t="str">
        <f>"115137"</f>
        <v>115137</v>
      </c>
      <c r="C8240" t="str">
        <f>"09600"</f>
        <v>09600</v>
      </c>
      <c r="D8240" t="s">
        <v>497</v>
      </c>
      <c r="E8240">
        <v>256.14999999999998</v>
      </c>
      <c r="F8240">
        <v>20140409</v>
      </c>
      <c r="G8240" t="s">
        <v>498</v>
      </c>
      <c r="H8240" t="s">
        <v>499</v>
      </c>
      <c r="I8240" t="s">
        <v>21</v>
      </c>
    </row>
    <row r="8241" spans="1:9" x14ac:dyDescent="0.25">
      <c r="A8241">
        <v>20140410</v>
      </c>
      <c r="B8241" t="str">
        <f>"115137"</f>
        <v>115137</v>
      </c>
      <c r="C8241" t="str">
        <f>"09600"</f>
        <v>09600</v>
      </c>
      <c r="D8241" t="s">
        <v>497</v>
      </c>
      <c r="E8241">
        <v>28.8</v>
      </c>
      <c r="F8241">
        <v>20140409</v>
      </c>
      <c r="G8241" t="s">
        <v>496</v>
      </c>
      <c r="H8241" t="s">
        <v>414</v>
      </c>
      <c r="I8241" t="s">
        <v>21</v>
      </c>
    </row>
    <row r="8242" spans="1:9" x14ac:dyDescent="0.25">
      <c r="A8242">
        <v>20140410</v>
      </c>
      <c r="B8242" t="str">
        <f>"115138"</f>
        <v>115138</v>
      </c>
      <c r="C8242" t="str">
        <f>"00042"</f>
        <v>00042</v>
      </c>
      <c r="D8242" t="s">
        <v>2617</v>
      </c>
      <c r="E8242" s="1">
        <v>1320</v>
      </c>
      <c r="F8242">
        <v>20140403</v>
      </c>
      <c r="G8242" t="s">
        <v>1200</v>
      </c>
      <c r="H8242" t="s">
        <v>3901</v>
      </c>
      <c r="I8242" t="s">
        <v>61</v>
      </c>
    </row>
    <row r="8243" spans="1:9" x14ac:dyDescent="0.25">
      <c r="A8243">
        <v>20140410</v>
      </c>
      <c r="B8243" t="str">
        <f>"115139"</f>
        <v>115139</v>
      </c>
      <c r="C8243" t="str">
        <f>"87555"</f>
        <v>87555</v>
      </c>
      <c r="D8243" t="s">
        <v>1560</v>
      </c>
      <c r="E8243">
        <v>17.55</v>
      </c>
      <c r="F8243">
        <v>20140409</v>
      </c>
      <c r="G8243" t="s">
        <v>562</v>
      </c>
      <c r="H8243" t="s">
        <v>563</v>
      </c>
      <c r="I8243" t="s">
        <v>21</v>
      </c>
    </row>
    <row r="8244" spans="1:9" x14ac:dyDescent="0.25">
      <c r="A8244">
        <v>20140410</v>
      </c>
      <c r="B8244" t="str">
        <f>"115140"</f>
        <v>115140</v>
      </c>
      <c r="C8244" t="str">
        <f>"11570"</f>
        <v>11570</v>
      </c>
      <c r="D8244" t="s">
        <v>1354</v>
      </c>
      <c r="E8244">
        <v>90</v>
      </c>
      <c r="F8244">
        <v>20140409</v>
      </c>
      <c r="G8244" t="s">
        <v>1270</v>
      </c>
      <c r="H8244" t="s">
        <v>1355</v>
      </c>
      <c r="I8244" t="s">
        <v>21</v>
      </c>
    </row>
    <row r="8245" spans="1:9" x14ac:dyDescent="0.25">
      <c r="A8245">
        <v>20140410</v>
      </c>
      <c r="B8245" t="str">
        <f>"115140"</f>
        <v>115140</v>
      </c>
      <c r="C8245" t="str">
        <f>"11570"</f>
        <v>11570</v>
      </c>
      <c r="D8245" t="s">
        <v>1354</v>
      </c>
      <c r="E8245">
        <v>140</v>
      </c>
      <c r="F8245">
        <v>20140403</v>
      </c>
      <c r="G8245" t="s">
        <v>1271</v>
      </c>
      <c r="H8245" t="s">
        <v>1355</v>
      </c>
      <c r="I8245" t="s">
        <v>21</v>
      </c>
    </row>
    <row r="8246" spans="1:9" x14ac:dyDescent="0.25">
      <c r="A8246">
        <v>20140410</v>
      </c>
      <c r="B8246" t="str">
        <f>"115141"</f>
        <v>115141</v>
      </c>
      <c r="C8246" t="str">
        <f>"81301"</f>
        <v>81301</v>
      </c>
      <c r="D8246" t="s">
        <v>779</v>
      </c>
      <c r="E8246">
        <v>19.440000000000001</v>
      </c>
      <c r="F8246">
        <v>20140408</v>
      </c>
      <c r="G8246" t="s">
        <v>2211</v>
      </c>
      <c r="H8246" t="s">
        <v>563</v>
      </c>
      <c r="I8246" t="s">
        <v>2212</v>
      </c>
    </row>
    <row r="8247" spans="1:9" x14ac:dyDescent="0.25">
      <c r="A8247">
        <v>20140410</v>
      </c>
      <c r="B8247" t="str">
        <f>"115142"</f>
        <v>115142</v>
      </c>
      <c r="C8247" t="str">
        <f>"82560"</f>
        <v>82560</v>
      </c>
      <c r="D8247" t="s">
        <v>403</v>
      </c>
      <c r="E8247" s="1">
        <v>2694.94</v>
      </c>
      <c r="F8247">
        <v>20140409</v>
      </c>
      <c r="G8247" t="s">
        <v>404</v>
      </c>
      <c r="H8247" t="s">
        <v>405</v>
      </c>
      <c r="I8247" t="s">
        <v>12</v>
      </c>
    </row>
    <row r="8248" spans="1:9" x14ac:dyDescent="0.25">
      <c r="A8248">
        <v>20140410</v>
      </c>
      <c r="B8248" t="str">
        <f>"115143"</f>
        <v>115143</v>
      </c>
      <c r="C8248" t="str">
        <f>"11851"</f>
        <v>11851</v>
      </c>
      <c r="D8248" t="s">
        <v>342</v>
      </c>
      <c r="E8248">
        <v>40</v>
      </c>
      <c r="F8248">
        <v>20140408</v>
      </c>
      <c r="G8248" t="s">
        <v>181</v>
      </c>
      <c r="H8248" t="s">
        <v>784</v>
      </c>
      <c r="I8248" t="s">
        <v>38</v>
      </c>
    </row>
    <row r="8249" spans="1:9" x14ac:dyDescent="0.25">
      <c r="A8249">
        <v>20140410</v>
      </c>
      <c r="B8249" t="str">
        <f>"115143"</f>
        <v>115143</v>
      </c>
      <c r="C8249" t="str">
        <f>"11851"</f>
        <v>11851</v>
      </c>
      <c r="D8249" t="s">
        <v>342</v>
      </c>
      <c r="E8249">
        <v>62</v>
      </c>
      <c r="F8249">
        <v>20140408</v>
      </c>
      <c r="G8249" t="s">
        <v>181</v>
      </c>
      <c r="H8249" t="s">
        <v>784</v>
      </c>
      <c r="I8249" t="s">
        <v>38</v>
      </c>
    </row>
    <row r="8250" spans="1:9" x14ac:dyDescent="0.25">
      <c r="A8250">
        <v>20140410</v>
      </c>
      <c r="B8250" t="str">
        <f>"115143"</f>
        <v>115143</v>
      </c>
      <c r="C8250" t="str">
        <f>"11851"</f>
        <v>11851</v>
      </c>
      <c r="D8250" t="s">
        <v>342</v>
      </c>
      <c r="E8250">
        <v>45</v>
      </c>
      <c r="F8250">
        <v>20140408</v>
      </c>
      <c r="G8250" t="s">
        <v>181</v>
      </c>
      <c r="H8250" t="s">
        <v>1357</v>
      </c>
      <c r="I8250" t="s">
        <v>38</v>
      </c>
    </row>
    <row r="8251" spans="1:9" x14ac:dyDescent="0.25">
      <c r="A8251">
        <v>20140410</v>
      </c>
      <c r="B8251" t="str">
        <f>"115143"</f>
        <v>115143</v>
      </c>
      <c r="C8251" t="str">
        <f>"11851"</f>
        <v>11851</v>
      </c>
      <c r="D8251" t="s">
        <v>342</v>
      </c>
      <c r="E8251">
        <v>90</v>
      </c>
      <c r="F8251">
        <v>20140409</v>
      </c>
      <c r="G8251" t="s">
        <v>1731</v>
      </c>
      <c r="H8251" t="s">
        <v>784</v>
      </c>
      <c r="I8251" t="s">
        <v>38</v>
      </c>
    </row>
    <row r="8252" spans="1:9" x14ac:dyDescent="0.25">
      <c r="A8252">
        <v>20140410</v>
      </c>
      <c r="B8252" t="str">
        <f>"115143"</f>
        <v>115143</v>
      </c>
      <c r="C8252" t="str">
        <f>"11851"</f>
        <v>11851</v>
      </c>
      <c r="D8252" t="s">
        <v>342</v>
      </c>
      <c r="E8252">
        <v>335</v>
      </c>
      <c r="F8252">
        <v>20140409</v>
      </c>
      <c r="G8252" t="s">
        <v>289</v>
      </c>
      <c r="H8252" t="s">
        <v>3902</v>
      </c>
      <c r="I8252" t="s">
        <v>38</v>
      </c>
    </row>
    <row r="8253" spans="1:9" x14ac:dyDescent="0.25">
      <c r="A8253">
        <v>20140410</v>
      </c>
      <c r="B8253" t="str">
        <f>"115144"</f>
        <v>115144</v>
      </c>
      <c r="C8253" t="str">
        <f>"11805"</f>
        <v>11805</v>
      </c>
      <c r="D8253" t="s">
        <v>1358</v>
      </c>
      <c r="E8253" s="1">
        <v>2316.9</v>
      </c>
      <c r="F8253">
        <v>20140409</v>
      </c>
      <c r="G8253" t="s">
        <v>404</v>
      </c>
      <c r="H8253" t="s">
        <v>133</v>
      </c>
      <c r="I8253" t="s">
        <v>12</v>
      </c>
    </row>
    <row r="8254" spans="1:9" x14ac:dyDescent="0.25">
      <c r="A8254">
        <v>20140410</v>
      </c>
      <c r="B8254" t="str">
        <f>"115145"</f>
        <v>115145</v>
      </c>
      <c r="C8254" t="str">
        <f>"12392"</f>
        <v>12392</v>
      </c>
      <c r="D8254" t="s">
        <v>1196</v>
      </c>
      <c r="E8254">
        <v>19.98</v>
      </c>
      <c r="F8254">
        <v>20140408</v>
      </c>
      <c r="G8254" t="s">
        <v>1960</v>
      </c>
      <c r="H8254" t="s">
        <v>563</v>
      </c>
      <c r="I8254" t="s">
        <v>21</v>
      </c>
    </row>
    <row r="8255" spans="1:9" x14ac:dyDescent="0.25">
      <c r="A8255">
        <v>20140410</v>
      </c>
      <c r="B8255" t="str">
        <f>"115146"</f>
        <v>115146</v>
      </c>
      <c r="C8255" t="str">
        <f>"10075"</f>
        <v>10075</v>
      </c>
      <c r="D8255" t="s">
        <v>1199</v>
      </c>
      <c r="E8255" s="1">
        <v>4787.5</v>
      </c>
      <c r="F8255">
        <v>20140404</v>
      </c>
      <c r="G8255" t="s">
        <v>1729</v>
      </c>
      <c r="H8255" t="s">
        <v>3903</v>
      </c>
      <c r="I8255" t="s">
        <v>61</v>
      </c>
    </row>
    <row r="8256" spans="1:9" x14ac:dyDescent="0.25">
      <c r="A8256">
        <v>20140410</v>
      </c>
      <c r="B8256" t="str">
        <f>"115147"</f>
        <v>115147</v>
      </c>
      <c r="C8256" t="str">
        <f>"86472"</f>
        <v>86472</v>
      </c>
      <c r="D8256" t="s">
        <v>3904</v>
      </c>
      <c r="E8256">
        <v>149.28</v>
      </c>
      <c r="F8256">
        <v>20140403</v>
      </c>
      <c r="G8256" t="s">
        <v>498</v>
      </c>
      <c r="H8256" t="s">
        <v>499</v>
      </c>
      <c r="I8256" t="s">
        <v>21</v>
      </c>
    </row>
    <row r="8257" spans="1:9" x14ac:dyDescent="0.25">
      <c r="A8257">
        <v>20140410</v>
      </c>
      <c r="B8257" t="str">
        <f>"115148"</f>
        <v>115148</v>
      </c>
      <c r="C8257" t="str">
        <f>"16500"</f>
        <v>16500</v>
      </c>
      <c r="D8257" t="s">
        <v>798</v>
      </c>
      <c r="E8257">
        <v>53.9</v>
      </c>
      <c r="F8257">
        <v>20140404</v>
      </c>
      <c r="G8257" t="s">
        <v>637</v>
      </c>
      <c r="H8257" t="s">
        <v>784</v>
      </c>
      <c r="I8257" t="s">
        <v>38</v>
      </c>
    </row>
    <row r="8258" spans="1:9" x14ac:dyDescent="0.25">
      <c r="A8258">
        <v>20140410</v>
      </c>
      <c r="B8258" t="str">
        <f>"115149"</f>
        <v>115149</v>
      </c>
      <c r="C8258" t="str">
        <f>"16988"</f>
        <v>16988</v>
      </c>
      <c r="D8258" t="s">
        <v>510</v>
      </c>
      <c r="E8258">
        <v>534.41</v>
      </c>
      <c r="F8258">
        <v>20140403</v>
      </c>
      <c r="G8258" t="s">
        <v>496</v>
      </c>
      <c r="H8258" t="s">
        <v>414</v>
      </c>
      <c r="I8258" t="s">
        <v>21</v>
      </c>
    </row>
    <row r="8259" spans="1:9" x14ac:dyDescent="0.25">
      <c r="A8259">
        <v>20140410</v>
      </c>
      <c r="B8259" t="str">
        <f>"115149"</f>
        <v>115149</v>
      </c>
      <c r="C8259" t="str">
        <f>"16988"</f>
        <v>16988</v>
      </c>
      <c r="D8259" t="s">
        <v>510</v>
      </c>
      <c r="E8259">
        <v>927.82</v>
      </c>
      <c r="F8259">
        <v>20140403</v>
      </c>
      <c r="G8259" t="s">
        <v>511</v>
      </c>
      <c r="H8259" t="s">
        <v>512</v>
      </c>
      <c r="I8259" t="s">
        <v>21</v>
      </c>
    </row>
    <row r="8260" spans="1:9" x14ac:dyDescent="0.25">
      <c r="A8260">
        <v>20140410</v>
      </c>
      <c r="B8260" t="str">
        <f>"115149"</f>
        <v>115149</v>
      </c>
      <c r="C8260" t="str">
        <f>"16988"</f>
        <v>16988</v>
      </c>
      <c r="D8260" t="s">
        <v>510</v>
      </c>
      <c r="E8260">
        <v>281.56</v>
      </c>
      <c r="F8260">
        <v>20140403</v>
      </c>
      <c r="G8260" t="s">
        <v>482</v>
      </c>
      <c r="H8260" t="s">
        <v>414</v>
      </c>
      <c r="I8260" t="s">
        <v>21</v>
      </c>
    </row>
    <row r="8261" spans="1:9" x14ac:dyDescent="0.25">
      <c r="A8261">
        <v>20140410</v>
      </c>
      <c r="B8261" t="str">
        <f>"115150"</f>
        <v>115150</v>
      </c>
      <c r="C8261" t="str">
        <f>"00260"</f>
        <v>00260</v>
      </c>
      <c r="D8261" t="s">
        <v>3277</v>
      </c>
      <c r="E8261">
        <v>690</v>
      </c>
      <c r="F8261">
        <v>20140407</v>
      </c>
      <c r="G8261" t="s">
        <v>1064</v>
      </c>
      <c r="H8261" t="s">
        <v>3905</v>
      </c>
      <c r="I8261" t="s">
        <v>21</v>
      </c>
    </row>
    <row r="8262" spans="1:9" x14ac:dyDescent="0.25">
      <c r="A8262">
        <v>20140410</v>
      </c>
      <c r="B8262" t="str">
        <f t="shared" ref="B8262:B8270" si="484">"115151"</f>
        <v>115151</v>
      </c>
      <c r="C8262" t="str">
        <f t="shared" ref="C8262:C8270" si="485">"16998"</f>
        <v>16998</v>
      </c>
      <c r="D8262" t="s">
        <v>1372</v>
      </c>
      <c r="E8262" s="1">
        <v>4663.7</v>
      </c>
      <c r="F8262">
        <v>20140409</v>
      </c>
      <c r="G8262" t="s">
        <v>511</v>
      </c>
      <c r="H8262" t="s">
        <v>3906</v>
      </c>
      <c r="I8262" t="s">
        <v>21</v>
      </c>
    </row>
    <row r="8263" spans="1:9" x14ac:dyDescent="0.25">
      <c r="A8263">
        <v>20140410</v>
      </c>
      <c r="B8263" t="str">
        <f t="shared" si="484"/>
        <v>115151</v>
      </c>
      <c r="C8263" t="str">
        <f t="shared" si="485"/>
        <v>16998</v>
      </c>
      <c r="D8263" t="s">
        <v>1372</v>
      </c>
      <c r="E8263">
        <v>787.07</v>
      </c>
      <c r="F8263">
        <v>20140409</v>
      </c>
      <c r="G8263" t="s">
        <v>511</v>
      </c>
      <c r="H8263" t="s">
        <v>1375</v>
      </c>
      <c r="I8263" t="s">
        <v>21</v>
      </c>
    </row>
    <row r="8264" spans="1:9" x14ac:dyDescent="0.25">
      <c r="A8264">
        <v>20140410</v>
      </c>
      <c r="B8264" t="str">
        <f t="shared" si="484"/>
        <v>115151</v>
      </c>
      <c r="C8264" t="str">
        <f t="shared" si="485"/>
        <v>16998</v>
      </c>
      <c r="D8264" t="s">
        <v>1372</v>
      </c>
      <c r="E8264" s="1">
        <v>20200</v>
      </c>
      <c r="F8264">
        <v>20140403</v>
      </c>
      <c r="G8264" t="s">
        <v>621</v>
      </c>
      <c r="H8264" t="s">
        <v>1379</v>
      </c>
      <c r="I8264" t="s">
        <v>21</v>
      </c>
    </row>
    <row r="8265" spans="1:9" x14ac:dyDescent="0.25">
      <c r="A8265">
        <v>20140410</v>
      </c>
      <c r="B8265" t="str">
        <f t="shared" si="484"/>
        <v>115151</v>
      </c>
      <c r="C8265" t="str">
        <f t="shared" si="485"/>
        <v>16998</v>
      </c>
      <c r="D8265" t="s">
        <v>1372</v>
      </c>
      <c r="E8265">
        <v>142.44999999999999</v>
      </c>
      <c r="F8265">
        <v>20140409</v>
      </c>
      <c r="G8265" t="s">
        <v>950</v>
      </c>
      <c r="H8265" t="s">
        <v>1375</v>
      </c>
      <c r="I8265" t="s">
        <v>21</v>
      </c>
    </row>
    <row r="8266" spans="1:9" x14ac:dyDescent="0.25">
      <c r="A8266">
        <v>20140410</v>
      </c>
      <c r="B8266" t="str">
        <f t="shared" si="484"/>
        <v>115151</v>
      </c>
      <c r="C8266" t="str">
        <f t="shared" si="485"/>
        <v>16998</v>
      </c>
      <c r="D8266" t="s">
        <v>1372</v>
      </c>
      <c r="E8266" s="1">
        <v>4122.07</v>
      </c>
      <c r="F8266">
        <v>20140403</v>
      </c>
      <c r="G8266" t="s">
        <v>1271</v>
      </c>
      <c r="H8266" t="s">
        <v>656</v>
      </c>
      <c r="I8266" t="s">
        <v>21</v>
      </c>
    </row>
    <row r="8267" spans="1:9" x14ac:dyDescent="0.25">
      <c r="A8267">
        <v>20140410</v>
      </c>
      <c r="B8267" t="str">
        <f t="shared" si="484"/>
        <v>115151</v>
      </c>
      <c r="C8267" t="str">
        <f t="shared" si="485"/>
        <v>16998</v>
      </c>
      <c r="D8267" t="s">
        <v>1372</v>
      </c>
      <c r="E8267" s="1">
        <v>9191.41</v>
      </c>
      <c r="F8267">
        <v>20140403</v>
      </c>
      <c r="G8267" t="s">
        <v>1271</v>
      </c>
      <c r="H8267" t="s">
        <v>656</v>
      </c>
      <c r="I8267" t="s">
        <v>21</v>
      </c>
    </row>
    <row r="8268" spans="1:9" x14ac:dyDescent="0.25">
      <c r="A8268">
        <v>20140410</v>
      </c>
      <c r="B8268" t="str">
        <f t="shared" si="484"/>
        <v>115151</v>
      </c>
      <c r="C8268" t="str">
        <f t="shared" si="485"/>
        <v>16998</v>
      </c>
      <c r="D8268" t="s">
        <v>1372</v>
      </c>
      <c r="E8268">
        <v>168.65</v>
      </c>
      <c r="F8268">
        <v>20140403</v>
      </c>
      <c r="G8268" t="s">
        <v>415</v>
      </c>
      <c r="H8268" t="s">
        <v>3907</v>
      </c>
      <c r="I8268" t="s">
        <v>21</v>
      </c>
    </row>
    <row r="8269" spans="1:9" x14ac:dyDescent="0.25">
      <c r="A8269">
        <v>20140410</v>
      </c>
      <c r="B8269" t="str">
        <f t="shared" si="484"/>
        <v>115151</v>
      </c>
      <c r="C8269" t="str">
        <f t="shared" si="485"/>
        <v>16998</v>
      </c>
      <c r="D8269" t="s">
        <v>1372</v>
      </c>
      <c r="E8269">
        <v>529.74</v>
      </c>
      <c r="F8269">
        <v>20140409</v>
      </c>
      <c r="G8269" t="s">
        <v>629</v>
      </c>
      <c r="H8269" t="s">
        <v>3908</v>
      </c>
      <c r="I8269" t="s">
        <v>21</v>
      </c>
    </row>
    <row r="8270" spans="1:9" x14ac:dyDescent="0.25">
      <c r="A8270">
        <v>20140410</v>
      </c>
      <c r="B8270" t="str">
        <f t="shared" si="484"/>
        <v>115151</v>
      </c>
      <c r="C8270" t="str">
        <f t="shared" si="485"/>
        <v>16998</v>
      </c>
      <c r="D8270" t="s">
        <v>1372</v>
      </c>
      <c r="E8270">
        <v>569.1</v>
      </c>
      <c r="F8270">
        <v>20140409</v>
      </c>
      <c r="G8270" t="s">
        <v>629</v>
      </c>
      <c r="H8270" t="s">
        <v>2131</v>
      </c>
      <c r="I8270" t="s">
        <v>21</v>
      </c>
    </row>
    <row r="8271" spans="1:9" x14ac:dyDescent="0.25">
      <c r="A8271">
        <v>20140410</v>
      </c>
      <c r="B8271" t="str">
        <f>"115152"</f>
        <v>115152</v>
      </c>
      <c r="C8271" t="str">
        <f>"18025"</f>
        <v>18025</v>
      </c>
      <c r="D8271" t="s">
        <v>514</v>
      </c>
      <c r="E8271">
        <v>114.77</v>
      </c>
      <c r="F8271">
        <v>20140408</v>
      </c>
      <c r="G8271" t="s">
        <v>356</v>
      </c>
      <c r="H8271" t="s">
        <v>2336</v>
      </c>
      <c r="I8271" t="s">
        <v>61</v>
      </c>
    </row>
    <row r="8272" spans="1:9" x14ac:dyDescent="0.25">
      <c r="A8272">
        <v>20140410</v>
      </c>
      <c r="B8272" t="str">
        <f t="shared" ref="B8272:B8282" si="486">"115153"</f>
        <v>115153</v>
      </c>
      <c r="C8272" t="str">
        <f t="shared" ref="C8272:C8282" si="487">"18200"</f>
        <v>18200</v>
      </c>
      <c r="D8272" t="s">
        <v>516</v>
      </c>
      <c r="E8272">
        <v>98.52</v>
      </c>
      <c r="F8272">
        <v>20140404</v>
      </c>
      <c r="G8272" t="s">
        <v>453</v>
      </c>
      <c r="H8272" t="s">
        <v>488</v>
      </c>
      <c r="I8272" t="s">
        <v>21</v>
      </c>
    </row>
    <row r="8273" spans="1:9" x14ac:dyDescent="0.25">
      <c r="A8273">
        <v>20140410</v>
      </c>
      <c r="B8273" t="str">
        <f t="shared" si="486"/>
        <v>115153</v>
      </c>
      <c r="C8273" t="str">
        <f t="shared" si="487"/>
        <v>18200</v>
      </c>
      <c r="D8273" t="s">
        <v>516</v>
      </c>
      <c r="E8273">
        <v>84.12</v>
      </c>
      <c r="F8273">
        <v>20140404</v>
      </c>
      <c r="G8273" t="s">
        <v>455</v>
      </c>
      <c r="H8273" t="s">
        <v>488</v>
      </c>
      <c r="I8273" t="s">
        <v>21</v>
      </c>
    </row>
    <row r="8274" spans="1:9" x14ac:dyDescent="0.25">
      <c r="A8274">
        <v>20140410</v>
      </c>
      <c r="B8274" t="str">
        <f t="shared" si="486"/>
        <v>115153</v>
      </c>
      <c r="C8274" t="str">
        <f t="shared" si="487"/>
        <v>18200</v>
      </c>
      <c r="D8274" t="s">
        <v>516</v>
      </c>
      <c r="E8274">
        <v>793.81</v>
      </c>
      <c r="F8274">
        <v>20140404</v>
      </c>
      <c r="G8274" t="s">
        <v>455</v>
      </c>
      <c r="H8274" t="s">
        <v>488</v>
      </c>
      <c r="I8274" t="s">
        <v>21</v>
      </c>
    </row>
    <row r="8275" spans="1:9" x14ac:dyDescent="0.25">
      <c r="A8275">
        <v>20140410</v>
      </c>
      <c r="B8275" t="str">
        <f t="shared" si="486"/>
        <v>115153</v>
      </c>
      <c r="C8275" t="str">
        <f t="shared" si="487"/>
        <v>18200</v>
      </c>
      <c r="D8275" t="s">
        <v>516</v>
      </c>
      <c r="E8275">
        <v>235.74</v>
      </c>
      <c r="F8275">
        <v>20140404</v>
      </c>
      <c r="G8275" t="s">
        <v>455</v>
      </c>
      <c r="H8275" t="s">
        <v>488</v>
      </c>
      <c r="I8275" t="s">
        <v>21</v>
      </c>
    </row>
    <row r="8276" spans="1:9" x14ac:dyDescent="0.25">
      <c r="A8276">
        <v>20140410</v>
      </c>
      <c r="B8276" t="str">
        <f t="shared" si="486"/>
        <v>115153</v>
      </c>
      <c r="C8276" t="str">
        <f t="shared" si="487"/>
        <v>18200</v>
      </c>
      <c r="D8276" t="s">
        <v>516</v>
      </c>
      <c r="E8276">
        <v>889.9</v>
      </c>
      <c r="F8276">
        <v>20140404</v>
      </c>
      <c r="G8276" t="s">
        <v>459</v>
      </c>
      <c r="H8276" t="s">
        <v>488</v>
      </c>
      <c r="I8276" t="s">
        <v>21</v>
      </c>
    </row>
    <row r="8277" spans="1:9" x14ac:dyDescent="0.25">
      <c r="A8277">
        <v>20140410</v>
      </c>
      <c r="B8277" t="str">
        <f t="shared" si="486"/>
        <v>115153</v>
      </c>
      <c r="C8277" t="str">
        <f t="shared" si="487"/>
        <v>18200</v>
      </c>
      <c r="D8277" t="s">
        <v>516</v>
      </c>
      <c r="E8277">
        <v>369.87</v>
      </c>
      <c r="F8277">
        <v>20140404</v>
      </c>
      <c r="G8277" t="s">
        <v>462</v>
      </c>
      <c r="H8277" t="s">
        <v>488</v>
      </c>
      <c r="I8277" t="s">
        <v>21</v>
      </c>
    </row>
    <row r="8278" spans="1:9" x14ac:dyDescent="0.25">
      <c r="A8278">
        <v>20140410</v>
      </c>
      <c r="B8278" t="str">
        <f t="shared" si="486"/>
        <v>115153</v>
      </c>
      <c r="C8278" t="str">
        <f t="shared" si="487"/>
        <v>18200</v>
      </c>
      <c r="D8278" t="s">
        <v>516</v>
      </c>
      <c r="E8278">
        <v>632.37</v>
      </c>
      <c r="F8278">
        <v>20140404</v>
      </c>
      <c r="G8278" t="s">
        <v>465</v>
      </c>
      <c r="H8278" t="s">
        <v>488</v>
      </c>
      <c r="I8278" t="s">
        <v>21</v>
      </c>
    </row>
    <row r="8279" spans="1:9" x14ac:dyDescent="0.25">
      <c r="A8279">
        <v>20140410</v>
      </c>
      <c r="B8279" t="str">
        <f t="shared" si="486"/>
        <v>115153</v>
      </c>
      <c r="C8279" t="str">
        <f t="shared" si="487"/>
        <v>18200</v>
      </c>
      <c r="D8279" t="s">
        <v>516</v>
      </c>
      <c r="E8279">
        <v>296.85000000000002</v>
      </c>
      <c r="F8279">
        <v>20140404</v>
      </c>
      <c r="G8279" t="s">
        <v>466</v>
      </c>
      <c r="H8279" t="s">
        <v>488</v>
      </c>
      <c r="I8279" t="s">
        <v>21</v>
      </c>
    </row>
    <row r="8280" spans="1:9" x14ac:dyDescent="0.25">
      <c r="A8280">
        <v>20140410</v>
      </c>
      <c r="B8280" t="str">
        <f t="shared" si="486"/>
        <v>115153</v>
      </c>
      <c r="C8280" t="str">
        <f t="shared" si="487"/>
        <v>18200</v>
      </c>
      <c r="D8280" t="s">
        <v>516</v>
      </c>
      <c r="E8280">
        <v>84.12</v>
      </c>
      <c r="F8280">
        <v>20140404</v>
      </c>
      <c r="G8280" t="s">
        <v>466</v>
      </c>
      <c r="H8280" t="s">
        <v>488</v>
      </c>
      <c r="I8280" t="s">
        <v>21</v>
      </c>
    </row>
    <row r="8281" spans="1:9" x14ac:dyDescent="0.25">
      <c r="A8281">
        <v>20140410</v>
      </c>
      <c r="B8281" t="str">
        <f t="shared" si="486"/>
        <v>115153</v>
      </c>
      <c r="C8281" t="str">
        <f t="shared" si="487"/>
        <v>18200</v>
      </c>
      <c r="D8281" t="s">
        <v>516</v>
      </c>
      <c r="E8281" s="1">
        <v>1891.25</v>
      </c>
      <c r="F8281">
        <v>20140404</v>
      </c>
      <c r="G8281" t="s">
        <v>466</v>
      </c>
      <c r="H8281" t="s">
        <v>488</v>
      </c>
      <c r="I8281" t="s">
        <v>21</v>
      </c>
    </row>
    <row r="8282" spans="1:9" x14ac:dyDescent="0.25">
      <c r="A8282">
        <v>20140410</v>
      </c>
      <c r="B8282" t="str">
        <f t="shared" si="486"/>
        <v>115153</v>
      </c>
      <c r="C8282" t="str">
        <f t="shared" si="487"/>
        <v>18200</v>
      </c>
      <c r="D8282" t="s">
        <v>516</v>
      </c>
      <c r="E8282">
        <v>53</v>
      </c>
      <c r="F8282">
        <v>20140404</v>
      </c>
      <c r="G8282" t="s">
        <v>467</v>
      </c>
      <c r="H8282" t="s">
        <v>488</v>
      </c>
      <c r="I8282" t="s">
        <v>21</v>
      </c>
    </row>
    <row r="8283" spans="1:9" x14ac:dyDescent="0.25">
      <c r="A8283">
        <v>20140410</v>
      </c>
      <c r="B8283" t="str">
        <f>"115154"</f>
        <v>115154</v>
      </c>
      <c r="C8283" t="str">
        <f>"19178"</f>
        <v>19178</v>
      </c>
      <c r="D8283" t="s">
        <v>3281</v>
      </c>
      <c r="E8283">
        <v>182.13</v>
      </c>
      <c r="F8283">
        <v>20140407</v>
      </c>
      <c r="G8283" t="s">
        <v>582</v>
      </c>
      <c r="H8283" t="s">
        <v>3909</v>
      </c>
      <c r="I8283" t="s">
        <v>21</v>
      </c>
    </row>
    <row r="8284" spans="1:9" x14ac:dyDescent="0.25">
      <c r="A8284">
        <v>20140410</v>
      </c>
      <c r="B8284" t="str">
        <f>"115155"</f>
        <v>115155</v>
      </c>
      <c r="C8284" t="str">
        <f>"87566"</f>
        <v>87566</v>
      </c>
      <c r="D8284" t="s">
        <v>2139</v>
      </c>
      <c r="E8284">
        <v>237.03</v>
      </c>
      <c r="F8284">
        <v>20140403</v>
      </c>
      <c r="G8284" t="s">
        <v>415</v>
      </c>
      <c r="H8284" t="s">
        <v>414</v>
      </c>
      <c r="I8284" t="s">
        <v>21</v>
      </c>
    </row>
    <row r="8285" spans="1:9" x14ac:dyDescent="0.25">
      <c r="A8285">
        <v>20140410</v>
      </c>
      <c r="B8285" t="str">
        <f>"115155"</f>
        <v>115155</v>
      </c>
      <c r="C8285" t="str">
        <f>"87566"</f>
        <v>87566</v>
      </c>
      <c r="D8285" t="s">
        <v>2139</v>
      </c>
      <c r="E8285">
        <v>211.24</v>
      </c>
      <c r="F8285">
        <v>20140403</v>
      </c>
      <c r="G8285" t="s">
        <v>392</v>
      </c>
      <c r="H8285" t="s">
        <v>414</v>
      </c>
      <c r="I8285" t="s">
        <v>21</v>
      </c>
    </row>
    <row r="8286" spans="1:9" x14ac:dyDescent="0.25">
      <c r="A8286">
        <v>20140410</v>
      </c>
      <c r="B8286" t="str">
        <f>"115156"</f>
        <v>115156</v>
      </c>
      <c r="C8286" t="str">
        <f>"87150"</f>
        <v>87150</v>
      </c>
      <c r="D8286" t="s">
        <v>1386</v>
      </c>
      <c r="E8286" s="1">
        <v>2452.4899999999998</v>
      </c>
      <c r="F8286">
        <v>20140409</v>
      </c>
      <c r="G8286" t="s">
        <v>404</v>
      </c>
      <c r="H8286" t="s">
        <v>913</v>
      </c>
      <c r="I8286" t="s">
        <v>12</v>
      </c>
    </row>
    <row r="8287" spans="1:9" x14ac:dyDescent="0.25">
      <c r="A8287">
        <v>20140410</v>
      </c>
      <c r="B8287" t="str">
        <f>"115156"</f>
        <v>115156</v>
      </c>
      <c r="C8287" t="str">
        <f>"87150"</f>
        <v>87150</v>
      </c>
      <c r="D8287" t="s">
        <v>1386</v>
      </c>
      <c r="E8287">
        <v>61.4</v>
      </c>
      <c r="F8287">
        <v>20140409</v>
      </c>
      <c r="G8287" t="s">
        <v>202</v>
      </c>
      <c r="H8287" t="s">
        <v>2917</v>
      </c>
      <c r="I8287" t="s">
        <v>12</v>
      </c>
    </row>
    <row r="8288" spans="1:9" x14ac:dyDescent="0.25">
      <c r="A8288">
        <v>20140410</v>
      </c>
      <c r="B8288" t="str">
        <f>"115157"</f>
        <v>115157</v>
      </c>
      <c r="C8288" t="str">
        <f>"20777"</f>
        <v>20777</v>
      </c>
      <c r="D8288" t="s">
        <v>3910</v>
      </c>
      <c r="E8288">
        <v>780.02</v>
      </c>
      <c r="F8288">
        <v>20140408</v>
      </c>
      <c r="G8288" t="s">
        <v>39</v>
      </c>
      <c r="H8288" t="s">
        <v>3911</v>
      </c>
      <c r="I8288" t="s">
        <v>38</v>
      </c>
    </row>
    <row r="8289" spans="1:9" x14ac:dyDescent="0.25">
      <c r="A8289">
        <v>20140410</v>
      </c>
      <c r="B8289" t="str">
        <f>"115158"</f>
        <v>115158</v>
      </c>
      <c r="C8289" t="str">
        <f>"22220"</f>
        <v>22220</v>
      </c>
      <c r="D8289" t="s">
        <v>521</v>
      </c>
      <c r="E8289">
        <v>160</v>
      </c>
      <c r="F8289">
        <v>20140404</v>
      </c>
      <c r="G8289" t="s">
        <v>680</v>
      </c>
      <c r="H8289" t="s">
        <v>3912</v>
      </c>
      <c r="I8289" t="s">
        <v>38</v>
      </c>
    </row>
    <row r="8290" spans="1:9" x14ac:dyDescent="0.25">
      <c r="A8290">
        <v>20140410</v>
      </c>
      <c r="B8290" t="str">
        <f>"115158"</f>
        <v>115158</v>
      </c>
      <c r="C8290" t="str">
        <f>"22220"</f>
        <v>22220</v>
      </c>
      <c r="D8290" t="s">
        <v>521</v>
      </c>
      <c r="E8290">
        <v>160</v>
      </c>
      <c r="F8290">
        <v>20140404</v>
      </c>
      <c r="G8290" t="s">
        <v>1954</v>
      </c>
      <c r="H8290" t="s">
        <v>3912</v>
      </c>
      <c r="I8290" t="s">
        <v>38</v>
      </c>
    </row>
    <row r="8291" spans="1:9" x14ac:dyDescent="0.25">
      <c r="A8291">
        <v>20140410</v>
      </c>
      <c r="B8291" t="str">
        <f>"115159"</f>
        <v>115159</v>
      </c>
      <c r="C8291" t="str">
        <f>"22500"</f>
        <v>22500</v>
      </c>
      <c r="D8291" t="s">
        <v>523</v>
      </c>
      <c r="E8291">
        <v>112</v>
      </c>
      <c r="F8291">
        <v>20140403</v>
      </c>
      <c r="G8291" t="s">
        <v>511</v>
      </c>
      <c r="H8291" t="s">
        <v>656</v>
      </c>
      <c r="I8291" t="s">
        <v>21</v>
      </c>
    </row>
    <row r="8292" spans="1:9" x14ac:dyDescent="0.25">
      <c r="A8292">
        <v>20140410</v>
      </c>
      <c r="B8292" t="str">
        <f>"115159"</f>
        <v>115159</v>
      </c>
      <c r="C8292" t="str">
        <f>"22500"</f>
        <v>22500</v>
      </c>
      <c r="D8292" t="s">
        <v>523</v>
      </c>
      <c r="E8292">
        <v>509.94</v>
      </c>
      <c r="F8292">
        <v>20140403</v>
      </c>
      <c r="G8292" t="s">
        <v>950</v>
      </c>
      <c r="H8292" t="s">
        <v>656</v>
      </c>
      <c r="I8292" t="s">
        <v>21</v>
      </c>
    </row>
    <row r="8293" spans="1:9" x14ac:dyDescent="0.25">
      <c r="A8293">
        <v>20140410</v>
      </c>
      <c r="B8293" t="str">
        <f>"115159"</f>
        <v>115159</v>
      </c>
      <c r="C8293" t="str">
        <f>"22500"</f>
        <v>22500</v>
      </c>
      <c r="D8293" t="s">
        <v>523</v>
      </c>
      <c r="E8293">
        <v>11.5</v>
      </c>
      <c r="F8293">
        <v>20140403</v>
      </c>
      <c r="G8293" t="s">
        <v>415</v>
      </c>
      <c r="H8293" t="s">
        <v>414</v>
      </c>
      <c r="I8293" t="s">
        <v>21</v>
      </c>
    </row>
    <row r="8294" spans="1:9" x14ac:dyDescent="0.25">
      <c r="A8294">
        <v>20140410</v>
      </c>
      <c r="B8294" t="str">
        <f>"115159"</f>
        <v>115159</v>
      </c>
      <c r="C8294" t="str">
        <f>"22500"</f>
        <v>22500</v>
      </c>
      <c r="D8294" t="s">
        <v>523</v>
      </c>
      <c r="E8294">
        <v>29.54</v>
      </c>
      <c r="F8294">
        <v>20140403</v>
      </c>
      <c r="G8294" t="s">
        <v>1222</v>
      </c>
      <c r="H8294" t="s">
        <v>414</v>
      </c>
      <c r="I8294" t="s">
        <v>21</v>
      </c>
    </row>
    <row r="8295" spans="1:9" x14ac:dyDescent="0.25">
      <c r="A8295">
        <v>20140410</v>
      </c>
      <c r="B8295" t="str">
        <f>"115160"</f>
        <v>115160</v>
      </c>
      <c r="C8295" t="str">
        <f>"86392"</f>
        <v>86392</v>
      </c>
      <c r="D8295" t="s">
        <v>3479</v>
      </c>
      <c r="E8295">
        <v>144.99</v>
      </c>
      <c r="F8295">
        <v>20140403</v>
      </c>
      <c r="G8295" t="s">
        <v>986</v>
      </c>
      <c r="H8295" t="s">
        <v>1677</v>
      </c>
      <c r="I8295" t="s">
        <v>21</v>
      </c>
    </row>
    <row r="8296" spans="1:9" x14ac:dyDescent="0.25">
      <c r="A8296">
        <v>20140410</v>
      </c>
      <c r="B8296" t="str">
        <f>"115161"</f>
        <v>115161</v>
      </c>
      <c r="C8296" t="str">
        <f>"23827"</f>
        <v>23827</v>
      </c>
      <c r="D8296" t="s">
        <v>528</v>
      </c>
      <c r="E8296">
        <v>584.20000000000005</v>
      </c>
      <c r="F8296">
        <v>20140408</v>
      </c>
      <c r="G8296" t="s">
        <v>3647</v>
      </c>
      <c r="H8296" t="s">
        <v>513</v>
      </c>
      <c r="I8296" t="s">
        <v>38</v>
      </c>
    </row>
    <row r="8297" spans="1:9" x14ac:dyDescent="0.25">
      <c r="A8297">
        <v>20140410</v>
      </c>
      <c r="B8297" t="str">
        <f>"115162"</f>
        <v>115162</v>
      </c>
      <c r="C8297" t="str">
        <f>"87599"</f>
        <v>87599</v>
      </c>
      <c r="D8297" t="s">
        <v>2154</v>
      </c>
      <c r="E8297">
        <v>9.4499999999999993</v>
      </c>
      <c r="F8297">
        <v>20140409</v>
      </c>
      <c r="G8297" t="s">
        <v>410</v>
      </c>
      <c r="H8297" t="s">
        <v>411</v>
      </c>
      <c r="I8297" t="s">
        <v>12</v>
      </c>
    </row>
    <row r="8298" spans="1:9" x14ac:dyDescent="0.25">
      <c r="A8298">
        <v>20140410</v>
      </c>
      <c r="B8298" t="str">
        <f>"115163"</f>
        <v>115163</v>
      </c>
      <c r="C8298" t="str">
        <f>"00351"</f>
        <v>00351</v>
      </c>
      <c r="D8298" t="s">
        <v>3819</v>
      </c>
      <c r="E8298">
        <v>136.12</v>
      </c>
      <c r="F8298">
        <v>20140409</v>
      </c>
      <c r="G8298" t="s">
        <v>1759</v>
      </c>
      <c r="H8298" t="s">
        <v>921</v>
      </c>
      <c r="I8298" t="s">
        <v>61</v>
      </c>
    </row>
    <row r="8299" spans="1:9" x14ac:dyDescent="0.25">
      <c r="A8299">
        <v>20140410</v>
      </c>
      <c r="B8299" t="str">
        <f>"115164"</f>
        <v>115164</v>
      </c>
      <c r="C8299" t="str">
        <f>"24575"</f>
        <v>24575</v>
      </c>
      <c r="D8299" t="s">
        <v>2658</v>
      </c>
      <c r="E8299">
        <v>164.89</v>
      </c>
      <c r="F8299">
        <v>20140403</v>
      </c>
      <c r="G8299" t="s">
        <v>137</v>
      </c>
      <c r="H8299" t="s">
        <v>3913</v>
      </c>
      <c r="I8299" t="s">
        <v>21</v>
      </c>
    </row>
    <row r="8300" spans="1:9" x14ac:dyDescent="0.25">
      <c r="A8300">
        <v>20140410</v>
      </c>
      <c r="B8300" t="str">
        <f>"115165"</f>
        <v>115165</v>
      </c>
      <c r="C8300" t="str">
        <f>"81871"</f>
        <v>81871</v>
      </c>
      <c r="D8300" t="s">
        <v>3914</v>
      </c>
      <c r="E8300">
        <v>170.88</v>
      </c>
      <c r="F8300">
        <v>20140408</v>
      </c>
      <c r="G8300" t="s">
        <v>3250</v>
      </c>
      <c r="H8300" t="s">
        <v>3915</v>
      </c>
      <c r="I8300" t="s">
        <v>21</v>
      </c>
    </row>
    <row r="8301" spans="1:9" x14ac:dyDescent="0.25">
      <c r="A8301">
        <v>20140410</v>
      </c>
      <c r="B8301" t="str">
        <f t="shared" ref="B8301:B8313" si="488">"115166"</f>
        <v>115166</v>
      </c>
      <c r="C8301" t="str">
        <f t="shared" ref="C8301:C8314" si="489">"25516"</f>
        <v>25516</v>
      </c>
      <c r="D8301" t="s">
        <v>529</v>
      </c>
      <c r="E8301">
        <v>599.28</v>
      </c>
      <c r="F8301">
        <v>20140403</v>
      </c>
      <c r="G8301" t="s">
        <v>413</v>
      </c>
      <c r="H8301" t="s">
        <v>414</v>
      </c>
      <c r="I8301" t="s">
        <v>21</v>
      </c>
    </row>
    <row r="8302" spans="1:9" x14ac:dyDescent="0.25">
      <c r="A8302">
        <v>20140410</v>
      </c>
      <c r="B8302" t="str">
        <f t="shared" si="488"/>
        <v>115166</v>
      </c>
      <c r="C8302" t="str">
        <f t="shared" si="489"/>
        <v>25516</v>
      </c>
      <c r="D8302" t="s">
        <v>529</v>
      </c>
      <c r="E8302">
        <v>915.77</v>
      </c>
      <c r="F8302">
        <v>20140403</v>
      </c>
      <c r="G8302" t="s">
        <v>473</v>
      </c>
      <c r="H8302" t="s">
        <v>414</v>
      </c>
      <c r="I8302" t="s">
        <v>21</v>
      </c>
    </row>
    <row r="8303" spans="1:9" x14ac:dyDescent="0.25">
      <c r="A8303">
        <v>20140410</v>
      </c>
      <c r="B8303" t="str">
        <f t="shared" si="488"/>
        <v>115166</v>
      </c>
      <c r="C8303" t="str">
        <f t="shared" si="489"/>
        <v>25516</v>
      </c>
      <c r="D8303" t="s">
        <v>529</v>
      </c>
      <c r="E8303">
        <v>699.18</v>
      </c>
      <c r="F8303">
        <v>20140403</v>
      </c>
      <c r="G8303" t="s">
        <v>475</v>
      </c>
      <c r="H8303" t="s">
        <v>414</v>
      </c>
      <c r="I8303" t="s">
        <v>21</v>
      </c>
    </row>
    <row r="8304" spans="1:9" x14ac:dyDescent="0.25">
      <c r="A8304">
        <v>20140410</v>
      </c>
      <c r="B8304" t="str">
        <f t="shared" si="488"/>
        <v>115166</v>
      </c>
      <c r="C8304" t="str">
        <f t="shared" si="489"/>
        <v>25516</v>
      </c>
      <c r="D8304" t="s">
        <v>529</v>
      </c>
      <c r="E8304">
        <v>578.70000000000005</v>
      </c>
      <c r="F8304">
        <v>20140403</v>
      </c>
      <c r="G8304" t="s">
        <v>476</v>
      </c>
      <c r="H8304" t="s">
        <v>414</v>
      </c>
      <c r="I8304" t="s">
        <v>21</v>
      </c>
    </row>
    <row r="8305" spans="1:9" x14ac:dyDescent="0.25">
      <c r="A8305">
        <v>20140410</v>
      </c>
      <c r="B8305" t="str">
        <f t="shared" si="488"/>
        <v>115166</v>
      </c>
      <c r="C8305" t="str">
        <f t="shared" si="489"/>
        <v>25516</v>
      </c>
      <c r="D8305" t="s">
        <v>529</v>
      </c>
      <c r="E8305">
        <v>712.25</v>
      </c>
      <c r="F8305">
        <v>20140403</v>
      </c>
      <c r="G8305" t="s">
        <v>477</v>
      </c>
      <c r="H8305" t="s">
        <v>414</v>
      </c>
      <c r="I8305" t="s">
        <v>21</v>
      </c>
    </row>
    <row r="8306" spans="1:9" x14ac:dyDescent="0.25">
      <c r="A8306">
        <v>20140410</v>
      </c>
      <c r="B8306" t="str">
        <f t="shared" si="488"/>
        <v>115166</v>
      </c>
      <c r="C8306" t="str">
        <f t="shared" si="489"/>
        <v>25516</v>
      </c>
      <c r="D8306" t="s">
        <v>529</v>
      </c>
      <c r="E8306" s="1">
        <v>1627.42</v>
      </c>
      <c r="F8306">
        <v>20140403</v>
      </c>
      <c r="G8306" t="s">
        <v>478</v>
      </c>
      <c r="H8306" t="s">
        <v>414</v>
      </c>
      <c r="I8306" t="s">
        <v>21</v>
      </c>
    </row>
    <row r="8307" spans="1:9" x14ac:dyDescent="0.25">
      <c r="A8307">
        <v>20140410</v>
      </c>
      <c r="B8307" t="str">
        <f t="shared" si="488"/>
        <v>115166</v>
      </c>
      <c r="C8307" t="str">
        <f t="shared" si="489"/>
        <v>25516</v>
      </c>
      <c r="D8307" t="s">
        <v>529</v>
      </c>
      <c r="E8307" s="1">
        <v>1052.73</v>
      </c>
      <c r="F8307">
        <v>20140403</v>
      </c>
      <c r="G8307" t="s">
        <v>479</v>
      </c>
      <c r="H8307" t="s">
        <v>414</v>
      </c>
      <c r="I8307" t="s">
        <v>21</v>
      </c>
    </row>
    <row r="8308" spans="1:9" x14ac:dyDescent="0.25">
      <c r="A8308">
        <v>20140410</v>
      </c>
      <c r="B8308" t="str">
        <f t="shared" si="488"/>
        <v>115166</v>
      </c>
      <c r="C8308" t="str">
        <f t="shared" si="489"/>
        <v>25516</v>
      </c>
      <c r="D8308" t="s">
        <v>529</v>
      </c>
      <c r="E8308">
        <v>974.15</v>
      </c>
      <c r="F8308">
        <v>20140403</v>
      </c>
      <c r="G8308" t="s">
        <v>480</v>
      </c>
      <c r="H8308" t="s">
        <v>414</v>
      </c>
      <c r="I8308" t="s">
        <v>21</v>
      </c>
    </row>
    <row r="8309" spans="1:9" x14ac:dyDescent="0.25">
      <c r="A8309">
        <v>20140410</v>
      </c>
      <c r="B8309" t="str">
        <f t="shared" si="488"/>
        <v>115166</v>
      </c>
      <c r="C8309" t="str">
        <f t="shared" si="489"/>
        <v>25516</v>
      </c>
      <c r="D8309" t="s">
        <v>529</v>
      </c>
      <c r="E8309" s="1">
        <v>1375.03</v>
      </c>
      <c r="F8309">
        <v>20140403</v>
      </c>
      <c r="G8309" t="s">
        <v>481</v>
      </c>
      <c r="H8309" t="s">
        <v>414</v>
      </c>
      <c r="I8309" t="s">
        <v>21</v>
      </c>
    </row>
    <row r="8310" spans="1:9" x14ac:dyDescent="0.25">
      <c r="A8310">
        <v>20140410</v>
      </c>
      <c r="B8310" t="str">
        <f t="shared" si="488"/>
        <v>115166</v>
      </c>
      <c r="C8310" t="str">
        <f t="shared" si="489"/>
        <v>25516</v>
      </c>
      <c r="D8310" t="s">
        <v>529</v>
      </c>
      <c r="E8310" s="1">
        <v>2413.06</v>
      </c>
      <c r="F8310">
        <v>20140403</v>
      </c>
      <c r="G8310" t="s">
        <v>482</v>
      </c>
      <c r="H8310" t="s">
        <v>414</v>
      </c>
      <c r="I8310" t="s">
        <v>21</v>
      </c>
    </row>
    <row r="8311" spans="1:9" x14ac:dyDescent="0.25">
      <c r="A8311">
        <v>20140410</v>
      </c>
      <c r="B8311" t="str">
        <f t="shared" si="488"/>
        <v>115166</v>
      </c>
      <c r="C8311" t="str">
        <f t="shared" si="489"/>
        <v>25516</v>
      </c>
      <c r="D8311" t="s">
        <v>529</v>
      </c>
      <c r="E8311">
        <v>62.11</v>
      </c>
      <c r="F8311">
        <v>20140409</v>
      </c>
      <c r="G8311" t="s">
        <v>483</v>
      </c>
      <c r="H8311" t="s">
        <v>414</v>
      </c>
      <c r="I8311" t="s">
        <v>21</v>
      </c>
    </row>
    <row r="8312" spans="1:9" x14ac:dyDescent="0.25">
      <c r="A8312">
        <v>20140410</v>
      </c>
      <c r="B8312" t="str">
        <f t="shared" si="488"/>
        <v>115166</v>
      </c>
      <c r="C8312" t="str">
        <f t="shared" si="489"/>
        <v>25516</v>
      </c>
      <c r="D8312" t="s">
        <v>529</v>
      </c>
      <c r="E8312">
        <v>253.24</v>
      </c>
      <c r="F8312">
        <v>20140403</v>
      </c>
      <c r="G8312" t="s">
        <v>484</v>
      </c>
      <c r="H8312" t="s">
        <v>414</v>
      </c>
      <c r="I8312" t="s">
        <v>21</v>
      </c>
    </row>
    <row r="8313" spans="1:9" x14ac:dyDescent="0.25">
      <c r="A8313">
        <v>20140410</v>
      </c>
      <c r="B8313" t="str">
        <f t="shared" si="488"/>
        <v>115166</v>
      </c>
      <c r="C8313" t="str">
        <f t="shared" si="489"/>
        <v>25516</v>
      </c>
      <c r="D8313" t="s">
        <v>529</v>
      </c>
      <c r="E8313" s="1">
        <v>1765.23</v>
      </c>
      <c r="F8313">
        <v>20140403</v>
      </c>
      <c r="G8313" t="s">
        <v>485</v>
      </c>
      <c r="H8313" t="s">
        <v>414</v>
      </c>
      <c r="I8313" t="s">
        <v>21</v>
      </c>
    </row>
    <row r="8314" spans="1:9" x14ac:dyDescent="0.25">
      <c r="A8314">
        <v>20140410</v>
      </c>
      <c r="B8314" t="str">
        <f>"115167"</f>
        <v>115167</v>
      </c>
      <c r="C8314" t="str">
        <f t="shared" si="489"/>
        <v>25516</v>
      </c>
      <c r="D8314" t="s">
        <v>529</v>
      </c>
      <c r="E8314">
        <v>939.48</v>
      </c>
      <c r="F8314">
        <v>20140409</v>
      </c>
      <c r="G8314" t="s">
        <v>331</v>
      </c>
      <c r="H8314" t="s">
        <v>3916</v>
      </c>
      <c r="I8314" t="s">
        <v>12</v>
      </c>
    </row>
    <row r="8315" spans="1:9" x14ac:dyDescent="0.25">
      <c r="A8315">
        <v>20140410</v>
      </c>
      <c r="B8315" t="str">
        <f>"115168"</f>
        <v>115168</v>
      </c>
      <c r="C8315" t="str">
        <f>"82613"</f>
        <v>82613</v>
      </c>
      <c r="D8315" t="s">
        <v>546</v>
      </c>
      <c r="E8315">
        <v>198</v>
      </c>
      <c r="F8315">
        <v>20140409</v>
      </c>
      <c r="G8315" t="s">
        <v>337</v>
      </c>
      <c r="H8315" t="s">
        <v>2166</v>
      </c>
      <c r="I8315" t="s">
        <v>21</v>
      </c>
    </row>
    <row r="8316" spans="1:9" x14ac:dyDescent="0.25">
      <c r="A8316">
        <v>20140410</v>
      </c>
      <c r="B8316" t="str">
        <f>"115169"</f>
        <v>115169</v>
      </c>
      <c r="C8316" t="str">
        <f>"26425"</f>
        <v>26425</v>
      </c>
      <c r="D8316" t="s">
        <v>822</v>
      </c>
      <c r="E8316">
        <v>774.56</v>
      </c>
      <c r="F8316">
        <v>20140409</v>
      </c>
      <c r="G8316" t="s">
        <v>1408</v>
      </c>
      <c r="H8316" t="s">
        <v>3917</v>
      </c>
      <c r="I8316" t="s">
        <v>12</v>
      </c>
    </row>
    <row r="8317" spans="1:9" x14ac:dyDescent="0.25">
      <c r="A8317">
        <v>20140410</v>
      </c>
      <c r="B8317" t="str">
        <f>"115170"</f>
        <v>115170</v>
      </c>
      <c r="C8317" t="str">
        <f>"27981"</f>
        <v>27981</v>
      </c>
      <c r="D8317" t="s">
        <v>551</v>
      </c>
      <c r="E8317">
        <v>33.340000000000003</v>
      </c>
      <c r="F8317">
        <v>20140409</v>
      </c>
      <c r="G8317" t="s">
        <v>631</v>
      </c>
      <c r="H8317" t="s">
        <v>414</v>
      </c>
      <c r="I8317" t="s">
        <v>21</v>
      </c>
    </row>
    <row r="8318" spans="1:9" x14ac:dyDescent="0.25">
      <c r="A8318">
        <v>20140410</v>
      </c>
      <c r="B8318" t="str">
        <f>"115170"</f>
        <v>115170</v>
      </c>
      <c r="C8318" t="str">
        <f>"27981"</f>
        <v>27981</v>
      </c>
      <c r="D8318" t="s">
        <v>551</v>
      </c>
      <c r="E8318">
        <v>36.6</v>
      </c>
      <c r="F8318">
        <v>20140409</v>
      </c>
      <c r="G8318" t="s">
        <v>631</v>
      </c>
      <c r="H8318" t="s">
        <v>414</v>
      </c>
      <c r="I8318" t="s">
        <v>21</v>
      </c>
    </row>
    <row r="8319" spans="1:9" x14ac:dyDescent="0.25">
      <c r="A8319">
        <v>20140410</v>
      </c>
      <c r="B8319" t="str">
        <f>"115170"</f>
        <v>115170</v>
      </c>
      <c r="C8319" t="str">
        <f>"27981"</f>
        <v>27981</v>
      </c>
      <c r="D8319" t="s">
        <v>551</v>
      </c>
      <c r="E8319">
        <v>45</v>
      </c>
      <c r="F8319">
        <v>20140409</v>
      </c>
      <c r="G8319" t="s">
        <v>392</v>
      </c>
      <c r="H8319" t="s">
        <v>414</v>
      </c>
      <c r="I8319" t="s">
        <v>21</v>
      </c>
    </row>
    <row r="8320" spans="1:9" x14ac:dyDescent="0.25">
      <c r="A8320">
        <v>20140410</v>
      </c>
      <c r="B8320" t="str">
        <f>"115170"</f>
        <v>115170</v>
      </c>
      <c r="C8320" t="str">
        <f>"27981"</f>
        <v>27981</v>
      </c>
      <c r="D8320" t="s">
        <v>551</v>
      </c>
      <c r="E8320">
        <v>218.64</v>
      </c>
      <c r="F8320">
        <v>20140409</v>
      </c>
      <c r="G8320" t="s">
        <v>3820</v>
      </c>
      <c r="H8320" t="s">
        <v>414</v>
      </c>
      <c r="I8320" t="s">
        <v>21</v>
      </c>
    </row>
    <row r="8321" spans="1:9" x14ac:dyDescent="0.25">
      <c r="A8321">
        <v>20140410</v>
      </c>
      <c r="B8321" t="str">
        <f>"115170"</f>
        <v>115170</v>
      </c>
      <c r="C8321" t="str">
        <f>"27981"</f>
        <v>27981</v>
      </c>
      <c r="D8321" t="s">
        <v>551</v>
      </c>
      <c r="E8321">
        <v>16.97</v>
      </c>
      <c r="F8321">
        <v>20140409</v>
      </c>
      <c r="G8321" t="s">
        <v>3820</v>
      </c>
      <c r="H8321" t="s">
        <v>414</v>
      </c>
      <c r="I8321" t="s">
        <v>21</v>
      </c>
    </row>
    <row r="8322" spans="1:9" x14ac:dyDescent="0.25">
      <c r="A8322">
        <v>20140410</v>
      </c>
      <c r="B8322" t="str">
        <f>"115171"</f>
        <v>115171</v>
      </c>
      <c r="C8322" t="str">
        <f>"00653"</f>
        <v>00653</v>
      </c>
      <c r="D8322" t="s">
        <v>552</v>
      </c>
      <c r="E8322">
        <v>196.66</v>
      </c>
      <c r="F8322">
        <v>20140408</v>
      </c>
      <c r="G8322" t="s">
        <v>124</v>
      </c>
      <c r="H8322" t="s">
        <v>553</v>
      </c>
      <c r="I8322" t="s">
        <v>38</v>
      </c>
    </row>
    <row r="8323" spans="1:9" x14ac:dyDescent="0.25">
      <c r="A8323">
        <v>20140410</v>
      </c>
      <c r="B8323" t="str">
        <f>"115172"</f>
        <v>115172</v>
      </c>
      <c r="C8323" t="str">
        <f>"84866"</f>
        <v>84866</v>
      </c>
      <c r="D8323" t="s">
        <v>1060</v>
      </c>
      <c r="E8323">
        <v>111.42</v>
      </c>
      <c r="F8323">
        <v>20140409</v>
      </c>
      <c r="G8323" t="s">
        <v>289</v>
      </c>
      <c r="H8323" t="s">
        <v>3918</v>
      </c>
      <c r="I8323" t="s">
        <v>38</v>
      </c>
    </row>
    <row r="8324" spans="1:9" x14ac:dyDescent="0.25">
      <c r="A8324">
        <v>20140410</v>
      </c>
      <c r="B8324" t="str">
        <f>"115173"</f>
        <v>115173</v>
      </c>
      <c r="C8324" t="str">
        <f>"81292"</f>
        <v>81292</v>
      </c>
      <c r="D8324" t="s">
        <v>1417</v>
      </c>
      <c r="E8324">
        <v>70.930000000000007</v>
      </c>
      <c r="F8324">
        <v>20140403</v>
      </c>
      <c r="G8324" t="s">
        <v>496</v>
      </c>
      <c r="H8324" t="s">
        <v>414</v>
      </c>
      <c r="I8324" t="s">
        <v>21</v>
      </c>
    </row>
    <row r="8325" spans="1:9" x14ac:dyDescent="0.25">
      <c r="A8325">
        <v>20140410</v>
      </c>
      <c r="B8325" t="str">
        <f>"115173"</f>
        <v>115173</v>
      </c>
      <c r="C8325" t="str">
        <f>"81292"</f>
        <v>81292</v>
      </c>
      <c r="D8325" t="s">
        <v>1417</v>
      </c>
      <c r="E8325">
        <v>132.85</v>
      </c>
      <c r="F8325">
        <v>20140403</v>
      </c>
      <c r="G8325" t="s">
        <v>392</v>
      </c>
      <c r="H8325" t="s">
        <v>414</v>
      </c>
      <c r="I8325" t="s">
        <v>21</v>
      </c>
    </row>
    <row r="8326" spans="1:9" x14ac:dyDescent="0.25">
      <c r="A8326">
        <v>20140410</v>
      </c>
      <c r="B8326" t="str">
        <f>"115174"</f>
        <v>115174</v>
      </c>
      <c r="C8326" t="str">
        <f>"86804"</f>
        <v>86804</v>
      </c>
      <c r="D8326" t="s">
        <v>3919</v>
      </c>
      <c r="E8326">
        <v>100</v>
      </c>
      <c r="F8326">
        <v>20140404</v>
      </c>
      <c r="G8326" t="s">
        <v>3430</v>
      </c>
      <c r="H8326" t="s">
        <v>765</v>
      </c>
      <c r="I8326" t="s">
        <v>61</v>
      </c>
    </row>
    <row r="8327" spans="1:9" x14ac:dyDescent="0.25">
      <c r="A8327">
        <v>20140410</v>
      </c>
      <c r="B8327" t="str">
        <f>"115175"</f>
        <v>115175</v>
      </c>
      <c r="C8327" t="str">
        <f>"87471"</f>
        <v>87471</v>
      </c>
      <c r="D8327" t="s">
        <v>1418</v>
      </c>
      <c r="E8327">
        <v>65</v>
      </c>
      <c r="F8327">
        <v>20140404</v>
      </c>
      <c r="G8327" t="s">
        <v>950</v>
      </c>
      <c r="H8327" t="s">
        <v>1355</v>
      </c>
      <c r="I8327" t="s">
        <v>21</v>
      </c>
    </row>
    <row r="8328" spans="1:9" x14ac:dyDescent="0.25">
      <c r="A8328">
        <v>20140410</v>
      </c>
      <c r="B8328" t="str">
        <f>"115175"</f>
        <v>115175</v>
      </c>
      <c r="C8328" t="str">
        <f>"87471"</f>
        <v>87471</v>
      </c>
      <c r="D8328" t="s">
        <v>1418</v>
      </c>
      <c r="E8328">
        <v>65</v>
      </c>
      <c r="F8328">
        <v>20140404</v>
      </c>
      <c r="G8328" t="s">
        <v>950</v>
      </c>
      <c r="H8328" t="s">
        <v>1355</v>
      </c>
      <c r="I8328" t="s">
        <v>21</v>
      </c>
    </row>
    <row r="8329" spans="1:9" x14ac:dyDescent="0.25">
      <c r="A8329">
        <v>20140410</v>
      </c>
      <c r="B8329" t="str">
        <f t="shared" ref="B8329:B8335" si="490">"115176"</f>
        <v>115176</v>
      </c>
      <c r="C8329" t="str">
        <f t="shared" ref="C8329:C8335" si="491">"30000"</f>
        <v>30000</v>
      </c>
      <c r="D8329" t="s">
        <v>556</v>
      </c>
      <c r="E8329">
        <v>217.17</v>
      </c>
      <c r="F8329">
        <v>20140407</v>
      </c>
      <c r="G8329" t="s">
        <v>579</v>
      </c>
      <c r="H8329" t="s">
        <v>3920</v>
      </c>
      <c r="I8329" t="s">
        <v>21</v>
      </c>
    </row>
    <row r="8330" spans="1:9" x14ac:dyDescent="0.25">
      <c r="A8330">
        <v>20140410</v>
      </c>
      <c r="B8330" t="str">
        <f t="shared" si="490"/>
        <v>115176</v>
      </c>
      <c r="C8330" t="str">
        <f t="shared" si="491"/>
        <v>30000</v>
      </c>
      <c r="D8330" t="s">
        <v>556</v>
      </c>
      <c r="E8330">
        <v>234.85</v>
      </c>
      <c r="F8330">
        <v>20140408</v>
      </c>
      <c r="G8330" t="s">
        <v>828</v>
      </c>
      <c r="H8330" t="s">
        <v>3921</v>
      </c>
      <c r="I8330" t="s">
        <v>21</v>
      </c>
    </row>
    <row r="8331" spans="1:9" x14ac:dyDescent="0.25">
      <c r="A8331">
        <v>20140410</v>
      </c>
      <c r="B8331" t="str">
        <f t="shared" si="490"/>
        <v>115176</v>
      </c>
      <c r="C8331" t="str">
        <f t="shared" si="491"/>
        <v>30000</v>
      </c>
      <c r="D8331" t="s">
        <v>556</v>
      </c>
      <c r="E8331">
        <v>315.41000000000003</v>
      </c>
      <c r="F8331">
        <v>20140407</v>
      </c>
      <c r="G8331" t="s">
        <v>3029</v>
      </c>
      <c r="H8331" t="s">
        <v>3922</v>
      </c>
      <c r="I8331" t="s">
        <v>21</v>
      </c>
    </row>
    <row r="8332" spans="1:9" x14ac:dyDescent="0.25">
      <c r="A8332">
        <v>20140410</v>
      </c>
      <c r="B8332" t="str">
        <f t="shared" si="490"/>
        <v>115176</v>
      </c>
      <c r="C8332" t="str">
        <f t="shared" si="491"/>
        <v>30000</v>
      </c>
      <c r="D8332" t="s">
        <v>556</v>
      </c>
      <c r="E8332">
        <v>259.10000000000002</v>
      </c>
      <c r="F8332">
        <v>20140408</v>
      </c>
      <c r="G8332" t="s">
        <v>1071</v>
      </c>
      <c r="H8332" t="s">
        <v>3923</v>
      </c>
      <c r="I8332" t="s">
        <v>21</v>
      </c>
    </row>
    <row r="8333" spans="1:9" x14ac:dyDescent="0.25">
      <c r="A8333">
        <v>20140410</v>
      </c>
      <c r="B8333" t="str">
        <f t="shared" si="490"/>
        <v>115176</v>
      </c>
      <c r="C8333" t="str">
        <f t="shared" si="491"/>
        <v>30000</v>
      </c>
      <c r="D8333" t="s">
        <v>556</v>
      </c>
      <c r="E8333">
        <v>203.96</v>
      </c>
      <c r="F8333">
        <v>20140407</v>
      </c>
      <c r="G8333" t="s">
        <v>1079</v>
      </c>
      <c r="H8333" t="s">
        <v>3920</v>
      </c>
      <c r="I8333" t="s">
        <v>21</v>
      </c>
    </row>
    <row r="8334" spans="1:9" x14ac:dyDescent="0.25">
      <c r="A8334">
        <v>20140410</v>
      </c>
      <c r="B8334" t="str">
        <f t="shared" si="490"/>
        <v>115176</v>
      </c>
      <c r="C8334" t="str">
        <f t="shared" si="491"/>
        <v>30000</v>
      </c>
      <c r="D8334" t="s">
        <v>556</v>
      </c>
      <c r="E8334">
        <v>189.17</v>
      </c>
      <c r="F8334">
        <v>20140404</v>
      </c>
      <c r="G8334" t="s">
        <v>840</v>
      </c>
      <c r="H8334" t="s">
        <v>3924</v>
      </c>
      <c r="I8334" t="s">
        <v>21</v>
      </c>
    </row>
    <row r="8335" spans="1:9" x14ac:dyDescent="0.25">
      <c r="A8335">
        <v>20140410</v>
      </c>
      <c r="B8335" t="str">
        <f t="shared" si="490"/>
        <v>115176</v>
      </c>
      <c r="C8335" t="str">
        <f t="shared" si="491"/>
        <v>30000</v>
      </c>
      <c r="D8335" t="s">
        <v>556</v>
      </c>
      <c r="E8335">
        <v>355</v>
      </c>
      <c r="F8335">
        <v>20140407</v>
      </c>
      <c r="G8335" t="s">
        <v>2733</v>
      </c>
      <c r="H8335" t="s">
        <v>3925</v>
      </c>
      <c r="I8335" t="s">
        <v>1726</v>
      </c>
    </row>
    <row r="8336" spans="1:9" x14ac:dyDescent="0.25">
      <c r="A8336">
        <v>20140410</v>
      </c>
      <c r="B8336" t="str">
        <f>"115177"</f>
        <v>115177</v>
      </c>
      <c r="C8336" t="str">
        <f>"87316"</f>
        <v>87316</v>
      </c>
      <c r="D8336" t="s">
        <v>3926</v>
      </c>
      <c r="E8336">
        <v>146.4</v>
      </c>
      <c r="F8336">
        <v>20140408</v>
      </c>
      <c r="G8336" t="s">
        <v>3743</v>
      </c>
      <c r="H8336" t="s">
        <v>765</v>
      </c>
      <c r="I8336" t="s">
        <v>61</v>
      </c>
    </row>
    <row r="8337" spans="1:9" x14ac:dyDescent="0.25">
      <c r="A8337">
        <v>20140410</v>
      </c>
      <c r="B8337" t="str">
        <f>"115178"</f>
        <v>115178</v>
      </c>
      <c r="C8337" t="str">
        <f>"85333"</f>
        <v>85333</v>
      </c>
      <c r="D8337" t="s">
        <v>561</v>
      </c>
      <c r="E8337">
        <v>42.89</v>
      </c>
      <c r="F8337">
        <v>20140403</v>
      </c>
      <c r="G8337" t="s">
        <v>562</v>
      </c>
      <c r="H8337" t="s">
        <v>563</v>
      </c>
      <c r="I8337" t="s">
        <v>21</v>
      </c>
    </row>
    <row r="8338" spans="1:9" x14ac:dyDescent="0.25">
      <c r="A8338">
        <v>20140410</v>
      </c>
      <c r="B8338" t="str">
        <f>"115179"</f>
        <v>115179</v>
      </c>
      <c r="C8338" t="str">
        <f>"30480"</f>
        <v>30480</v>
      </c>
      <c r="D8338" t="s">
        <v>570</v>
      </c>
      <c r="E8338" s="1">
        <v>5442</v>
      </c>
      <c r="F8338">
        <v>20140408</v>
      </c>
      <c r="G8338" t="s">
        <v>571</v>
      </c>
      <c r="H8338" t="s">
        <v>572</v>
      </c>
      <c r="I8338" t="s">
        <v>21</v>
      </c>
    </row>
    <row r="8339" spans="1:9" x14ac:dyDescent="0.25">
      <c r="A8339">
        <v>20140410</v>
      </c>
      <c r="B8339" t="str">
        <f>"115180"</f>
        <v>115180</v>
      </c>
      <c r="C8339" t="str">
        <f>"31570"</f>
        <v>31570</v>
      </c>
      <c r="D8339" t="s">
        <v>1244</v>
      </c>
      <c r="E8339">
        <v>19.170000000000002</v>
      </c>
      <c r="F8339">
        <v>20140403</v>
      </c>
      <c r="G8339" t="s">
        <v>1426</v>
      </c>
      <c r="H8339" t="s">
        <v>414</v>
      </c>
      <c r="I8339" t="s">
        <v>38</v>
      </c>
    </row>
    <row r="8340" spans="1:9" x14ac:dyDescent="0.25">
      <c r="A8340">
        <v>20140410</v>
      </c>
      <c r="B8340" t="str">
        <f>"115181"</f>
        <v>115181</v>
      </c>
      <c r="C8340" t="str">
        <f>"87484"</f>
        <v>87484</v>
      </c>
      <c r="D8340" t="s">
        <v>588</v>
      </c>
      <c r="E8340" s="1">
        <v>3705</v>
      </c>
      <c r="F8340">
        <v>20140404</v>
      </c>
      <c r="G8340" t="s">
        <v>589</v>
      </c>
      <c r="H8340" t="s">
        <v>3239</v>
      </c>
      <c r="I8340" t="s">
        <v>68</v>
      </c>
    </row>
    <row r="8341" spans="1:9" x14ac:dyDescent="0.25">
      <c r="A8341">
        <v>20140410</v>
      </c>
      <c r="B8341" t="str">
        <f>"115182"</f>
        <v>115182</v>
      </c>
      <c r="C8341" t="str">
        <f>"81072"</f>
        <v>81072</v>
      </c>
      <c r="D8341" t="s">
        <v>598</v>
      </c>
      <c r="E8341" s="1">
        <v>1425</v>
      </c>
      <c r="F8341">
        <v>20140403</v>
      </c>
      <c r="G8341" t="s">
        <v>746</v>
      </c>
      <c r="H8341" t="s">
        <v>555</v>
      </c>
      <c r="I8341" t="s">
        <v>21</v>
      </c>
    </row>
    <row r="8342" spans="1:9" x14ac:dyDescent="0.25">
      <c r="A8342">
        <v>20140410</v>
      </c>
      <c r="B8342" t="str">
        <f>"115183"</f>
        <v>115183</v>
      </c>
      <c r="C8342" t="str">
        <f>"87385"</f>
        <v>87385</v>
      </c>
      <c r="D8342" t="s">
        <v>1089</v>
      </c>
      <c r="E8342">
        <v>58</v>
      </c>
      <c r="F8342">
        <v>20140409</v>
      </c>
      <c r="G8342" t="s">
        <v>3820</v>
      </c>
      <c r="H8342" t="s">
        <v>414</v>
      </c>
      <c r="I8342" t="s">
        <v>21</v>
      </c>
    </row>
    <row r="8343" spans="1:9" x14ac:dyDescent="0.25">
      <c r="A8343">
        <v>20140410</v>
      </c>
      <c r="B8343" t="str">
        <f>"115184"</f>
        <v>115184</v>
      </c>
      <c r="C8343" t="str">
        <f>"35337"</f>
        <v>35337</v>
      </c>
      <c r="D8343" t="s">
        <v>599</v>
      </c>
      <c r="E8343">
        <v>173.81</v>
      </c>
      <c r="F8343">
        <v>20140403</v>
      </c>
      <c r="G8343" t="s">
        <v>498</v>
      </c>
      <c r="H8343" t="s">
        <v>499</v>
      </c>
      <c r="I8343" t="s">
        <v>21</v>
      </c>
    </row>
    <row r="8344" spans="1:9" x14ac:dyDescent="0.25">
      <c r="A8344">
        <v>20140410</v>
      </c>
      <c r="B8344" t="str">
        <f>"115184"</f>
        <v>115184</v>
      </c>
      <c r="C8344" t="str">
        <f>"35337"</f>
        <v>35337</v>
      </c>
      <c r="D8344" t="s">
        <v>599</v>
      </c>
      <c r="E8344">
        <v>107.3</v>
      </c>
      <c r="F8344">
        <v>20140403</v>
      </c>
      <c r="G8344" t="s">
        <v>498</v>
      </c>
      <c r="H8344" t="s">
        <v>499</v>
      </c>
      <c r="I8344" t="s">
        <v>21</v>
      </c>
    </row>
    <row r="8345" spans="1:9" x14ac:dyDescent="0.25">
      <c r="A8345">
        <v>20140410</v>
      </c>
      <c r="B8345" t="str">
        <f>"115184"</f>
        <v>115184</v>
      </c>
      <c r="C8345" t="str">
        <f>"35337"</f>
        <v>35337</v>
      </c>
      <c r="D8345" t="s">
        <v>599</v>
      </c>
      <c r="E8345">
        <v>93.73</v>
      </c>
      <c r="F8345">
        <v>20140409</v>
      </c>
      <c r="G8345" t="s">
        <v>498</v>
      </c>
      <c r="H8345" t="s">
        <v>499</v>
      </c>
      <c r="I8345" t="s">
        <v>21</v>
      </c>
    </row>
    <row r="8346" spans="1:9" x14ac:dyDescent="0.25">
      <c r="A8346">
        <v>20140410</v>
      </c>
      <c r="B8346" t="str">
        <f>"115185"</f>
        <v>115185</v>
      </c>
      <c r="C8346" t="str">
        <f>"87088"</f>
        <v>87088</v>
      </c>
      <c r="D8346" t="s">
        <v>1097</v>
      </c>
      <c r="E8346" s="1">
        <v>5605.04</v>
      </c>
      <c r="F8346">
        <v>20140403</v>
      </c>
      <c r="G8346" t="s">
        <v>1271</v>
      </c>
      <c r="H8346" t="s">
        <v>1098</v>
      </c>
      <c r="I8346" t="s">
        <v>21</v>
      </c>
    </row>
    <row r="8347" spans="1:9" x14ac:dyDescent="0.25">
      <c r="A8347">
        <v>20140410</v>
      </c>
      <c r="B8347" t="str">
        <f>"115186"</f>
        <v>115186</v>
      </c>
      <c r="C8347" t="str">
        <f>"35817"</f>
        <v>35817</v>
      </c>
      <c r="D8347" t="s">
        <v>600</v>
      </c>
      <c r="E8347">
        <v>16.7</v>
      </c>
      <c r="F8347">
        <v>20140404</v>
      </c>
      <c r="G8347" t="s">
        <v>601</v>
      </c>
      <c r="H8347" t="s">
        <v>563</v>
      </c>
      <c r="I8347" t="s">
        <v>21</v>
      </c>
    </row>
    <row r="8348" spans="1:9" x14ac:dyDescent="0.25">
      <c r="A8348">
        <v>20140410</v>
      </c>
      <c r="B8348" t="str">
        <f>"115187"</f>
        <v>115187</v>
      </c>
      <c r="C8348" t="str">
        <f>"00268"</f>
        <v>00268</v>
      </c>
      <c r="D8348" t="s">
        <v>1878</v>
      </c>
      <c r="E8348">
        <v>475.24</v>
      </c>
      <c r="F8348">
        <v>20140409</v>
      </c>
      <c r="G8348" t="s">
        <v>1759</v>
      </c>
      <c r="H8348" t="s">
        <v>921</v>
      </c>
      <c r="I8348" t="s">
        <v>61</v>
      </c>
    </row>
    <row r="8349" spans="1:9" x14ac:dyDescent="0.25">
      <c r="A8349">
        <v>20140410</v>
      </c>
      <c r="B8349" t="str">
        <f>"115188"</f>
        <v>115188</v>
      </c>
      <c r="C8349" t="str">
        <f>"00268"</f>
        <v>00268</v>
      </c>
      <c r="D8349" t="s">
        <v>1878</v>
      </c>
      <c r="E8349">
        <v>210</v>
      </c>
      <c r="F8349">
        <v>20140409</v>
      </c>
      <c r="G8349" t="s">
        <v>1522</v>
      </c>
      <c r="H8349" t="s">
        <v>921</v>
      </c>
      <c r="I8349" t="s">
        <v>21</v>
      </c>
    </row>
    <row r="8350" spans="1:9" x14ac:dyDescent="0.25">
      <c r="A8350">
        <v>20140410</v>
      </c>
      <c r="B8350" t="str">
        <f>"115188"</f>
        <v>115188</v>
      </c>
      <c r="C8350" t="str">
        <f>"00268"</f>
        <v>00268</v>
      </c>
      <c r="D8350" t="s">
        <v>1878</v>
      </c>
      <c r="E8350">
        <v>-210</v>
      </c>
      <c r="F8350">
        <v>20140417</v>
      </c>
      <c r="G8350" t="s">
        <v>1522</v>
      </c>
      <c r="H8350" t="s">
        <v>3927</v>
      </c>
      <c r="I8350" t="s">
        <v>21</v>
      </c>
    </row>
    <row r="8351" spans="1:9" x14ac:dyDescent="0.25">
      <c r="A8351">
        <v>20140410</v>
      </c>
      <c r="B8351" t="str">
        <f>"115189"</f>
        <v>115189</v>
      </c>
      <c r="C8351" t="str">
        <f>"36960"</f>
        <v>36960</v>
      </c>
      <c r="D8351" t="s">
        <v>871</v>
      </c>
      <c r="E8351">
        <v>240</v>
      </c>
      <c r="F8351">
        <v>20140409</v>
      </c>
      <c r="G8351" t="s">
        <v>1408</v>
      </c>
      <c r="H8351" t="s">
        <v>525</v>
      </c>
      <c r="I8351" t="s">
        <v>12</v>
      </c>
    </row>
    <row r="8352" spans="1:9" x14ac:dyDescent="0.25">
      <c r="A8352">
        <v>20140410</v>
      </c>
      <c r="B8352" t="str">
        <f>"115190"</f>
        <v>115190</v>
      </c>
      <c r="C8352" t="str">
        <f>"37565"</f>
        <v>37565</v>
      </c>
      <c r="D8352" t="s">
        <v>609</v>
      </c>
      <c r="E8352">
        <v>52.5</v>
      </c>
      <c r="F8352">
        <v>20140409</v>
      </c>
      <c r="G8352" t="s">
        <v>473</v>
      </c>
      <c r="H8352" t="s">
        <v>610</v>
      </c>
      <c r="I8352" t="s">
        <v>21</v>
      </c>
    </row>
    <row r="8353" spans="1:9" x14ac:dyDescent="0.25">
      <c r="A8353">
        <v>20140410</v>
      </c>
      <c r="B8353" t="str">
        <f>"115190"</f>
        <v>115190</v>
      </c>
      <c r="C8353" t="str">
        <f>"37565"</f>
        <v>37565</v>
      </c>
      <c r="D8353" t="s">
        <v>609</v>
      </c>
      <c r="E8353">
        <v>12.27</v>
      </c>
      <c r="F8353">
        <v>20140403</v>
      </c>
      <c r="G8353" t="s">
        <v>392</v>
      </c>
      <c r="H8353" t="s">
        <v>3928</v>
      </c>
      <c r="I8353" t="s">
        <v>21</v>
      </c>
    </row>
    <row r="8354" spans="1:9" x14ac:dyDescent="0.25">
      <c r="A8354">
        <v>20140410</v>
      </c>
      <c r="B8354" t="str">
        <f>"115191"</f>
        <v>115191</v>
      </c>
      <c r="C8354" t="str">
        <f>"37955"</f>
        <v>37955</v>
      </c>
      <c r="D8354" t="s">
        <v>3929</v>
      </c>
      <c r="E8354">
        <v>350</v>
      </c>
      <c r="F8354">
        <v>20140409</v>
      </c>
      <c r="G8354" t="s">
        <v>135</v>
      </c>
      <c r="H8354" t="s">
        <v>679</v>
      </c>
      <c r="I8354" t="s">
        <v>25</v>
      </c>
    </row>
    <row r="8355" spans="1:9" x14ac:dyDescent="0.25">
      <c r="A8355">
        <v>20140410</v>
      </c>
      <c r="B8355" t="str">
        <f>"115192"</f>
        <v>115192</v>
      </c>
      <c r="C8355" t="str">
        <f>"81300"</f>
        <v>81300</v>
      </c>
      <c r="D8355" t="s">
        <v>3307</v>
      </c>
      <c r="E8355">
        <v>10.050000000000001</v>
      </c>
      <c r="F8355">
        <v>20140403</v>
      </c>
      <c r="G8355" t="s">
        <v>1329</v>
      </c>
      <c r="H8355" t="s">
        <v>354</v>
      </c>
      <c r="I8355" t="s">
        <v>21</v>
      </c>
    </row>
    <row r="8356" spans="1:9" x14ac:dyDescent="0.25">
      <c r="A8356">
        <v>20140410</v>
      </c>
      <c r="B8356" t="str">
        <f>"115193"</f>
        <v>115193</v>
      </c>
      <c r="C8356" t="str">
        <f>"87302"</f>
        <v>87302</v>
      </c>
      <c r="D8356" t="s">
        <v>3775</v>
      </c>
      <c r="E8356">
        <v>100.84</v>
      </c>
      <c r="F8356">
        <v>20140404</v>
      </c>
      <c r="G8356" t="s">
        <v>3743</v>
      </c>
      <c r="H8356" t="s">
        <v>765</v>
      </c>
      <c r="I8356" t="s">
        <v>61</v>
      </c>
    </row>
    <row r="8357" spans="1:9" x14ac:dyDescent="0.25">
      <c r="A8357">
        <v>20140410</v>
      </c>
      <c r="B8357" t="str">
        <f>"115194"</f>
        <v>115194</v>
      </c>
      <c r="C8357" t="str">
        <f>"85122"</f>
        <v>85122</v>
      </c>
      <c r="D8357" t="s">
        <v>1103</v>
      </c>
      <c r="E8357">
        <v>57.57</v>
      </c>
      <c r="F8357">
        <v>20140409</v>
      </c>
      <c r="G8357" t="s">
        <v>364</v>
      </c>
      <c r="H8357" t="s">
        <v>365</v>
      </c>
      <c r="I8357" t="s">
        <v>21</v>
      </c>
    </row>
    <row r="8358" spans="1:9" x14ac:dyDescent="0.25">
      <c r="A8358">
        <v>20140410</v>
      </c>
      <c r="B8358" t="str">
        <f>"115195"</f>
        <v>115195</v>
      </c>
      <c r="C8358" t="str">
        <f>"40910"</f>
        <v>40910</v>
      </c>
      <c r="D8358" t="s">
        <v>1886</v>
      </c>
      <c r="E8358">
        <v>125</v>
      </c>
      <c r="F8358">
        <v>20140409</v>
      </c>
      <c r="G8358" t="s">
        <v>331</v>
      </c>
      <c r="H8358" t="s">
        <v>3930</v>
      </c>
      <c r="I8358" t="s">
        <v>12</v>
      </c>
    </row>
    <row r="8359" spans="1:9" x14ac:dyDescent="0.25">
      <c r="A8359">
        <v>20140410</v>
      </c>
      <c r="B8359" t="str">
        <f>"115196"</f>
        <v>115196</v>
      </c>
      <c r="C8359" t="str">
        <f>"85363"</f>
        <v>85363</v>
      </c>
      <c r="D8359" t="s">
        <v>1996</v>
      </c>
      <c r="E8359" s="1">
        <v>11220</v>
      </c>
      <c r="F8359">
        <v>20140409</v>
      </c>
      <c r="G8359" t="s">
        <v>1271</v>
      </c>
      <c r="H8359" t="s">
        <v>3931</v>
      </c>
      <c r="I8359" t="s">
        <v>21</v>
      </c>
    </row>
    <row r="8360" spans="1:9" x14ac:dyDescent="0.25">
      <c r="A8360">
        <v>20140410</v>
      </c>
      <c r="B8360" t="str">
        <f>"115197"</f>
        <v>115197</v>
      </c>
      <c r="C8360" t="str">
        <f>"82061"</f>
        <v>82061</v>
      </c>
      <c r="D8360" t="s">
        <v>1998</v>
      </c>
      <c r="E8360">
        <v>800</v>
      </c>
      <c r="F8360">
        <v>20140409</v>
      </c>
      <c r="G8360" t="s">
        <v>340</v>
      </c>
      <c r="H8360" t="s">
        <v>3932</v>
      </c>
      <c r="I8360" t="s">
        <v>21</v>
      </c>
    </row>
    <row r="8361" spans="1:9" x14ac:dyDescent="0.25">
      <c r="A8361">
        <v>20140410</v>
      </c>
      <c r="B8361" t="str">
        <f>"115198"</f>
        <v>115198</v>
      </c>
      <c r="C8361" t="str">
        <f>"42513"</f>
        <v>42513</v>
      </c>
      <c r="D8361" t="s">
        <v>2000</v>
      </c>
      <c r="E8361">
        <v>172.89</v>
      </c>
      <c r="F8361">
        <v>20140409</v>
      </c>
      <c r="G8361" t="s">
        <v>3900</v>
      </c>
      <c r="H8361" t="s">
        <v>921</v>
      </c>
      <c r="I8361" t="s">
        <v>25</v>
      </c>
    </row>
    <row r="8362" spans="1:9" x14ac:dyDescent="0.25">
      <c r="A8362">
        <v>20140410</v>
      </c>
      <c r="B8362" t="str">
        <f>"115199"</f>
        <v>115199</v>
      </c>
      <c r="C8362" t="str">
        <f>"00267"</f>
        <v>00267</v>
      </c>
      <c r="D8362" t="s">
        <v>2000</v>
      </c>
      <c r="E8362">
        <v>172.89</v>
      </c>
      <c r="F8362">
        <v>20140409</v>
      </c>
      <c r="G8362" t="s">
        <v>1759</v>
      </c>
      <c r="H8362" t="s">
        <v>921</v>
      </c>
      <c r="I8362" t="s">
        <v>61</v>
      </c>
    </row>
    <row r="8363" spans="1:9" x14ac:dyDescent="0.25">
      <c r="A8363">
        <v>20140410</v>
      </c>
      <c r="B8363" t="str">
        <f>"115200"</f>
        <v>115200</v>
      </c>
      <c r="C8363" t="str">
        <f>"41253"</f>
        <v>41253</v>
      </c>
      <c r="D8363" t="s">
        <v>421</v>
      </c>
      <c r="E8363" s="1">
        <v>71020.56</v>
      </c>
      <c r="F8363">
        <v>20140409</v>
      </c>
      <c r="G8363" t="s">
        <v>404</v>
      </c>
      <c r="H8363" t="s">
        <v>913</v>
      </c>
      <c r="I8363" t="s">
        <v>12</v>
      </c>
    </row>
    <row r="8364" spans="1:9" x14ac:dyDescent="0.25">
      <c r="A8364">
        <v>20140410</v>
      </c>
      <c r="B8364" t="str">
        <f>"115200"</f>
        <v>115200</v>
      </c>
      <c r="C8364" t="str">
        <f>"41253"</f>
        <v>41253</v>
      </c>
      <c r="D8364" t="s">
        <v>421</v>
      </c>
      <c r="E8364" s="1">
        <v>7231.83</v>
      </c>
      <c r="F8364">
        <v>20140409</v>
      </c>
      <c r="G8364" t="s">
        <v>1404</v>
      </c>
      <c r="H8364" t="s">
        <v>1456</v>
      </c>
      <c r="I8364" t="s">
        <v>12</v>
      </c>
    </row>
    <row r="8365" spans="1:9" x14ac:dyDescent="0.25">
      <c r="A8365">
        <v>20140410</v>
      </c>
      <c r="B8365" t="str">
        <f>"115201"</f>
        <v>115201</v>
      </c>
      <c r="C8365" t="str">
        <f>"86767"</f>
        <v>86767</v>
      </c>
      <c r="D8365" t="s">
        <v>1458</v>
      </c>
      <c r="E8365">
        <v>40.5</v>
      </c>
      <c r="F8365">
        <v>20140409</v>
      </c>
      <c r="G8365" t="s">
        <v>601</v>
      </c>
      <c r="H8365" t="s">
        <v>563</v>
      </c>
      <c r="I8365" t="s">
        <v>21</v>
      </c>
    </row>
    <row r="8366" spans="1:9" x14ac:dyDescent="0.25">
      <c r="A8366">
        <v>20140410</v>
      </c>
      <c r="B8366" t="str">
        <f>"115202"</f>
        <v>115202</v>
      </c>
      <c r="C8366" t="str">
        <f>"82692"</f>
        <v>82692</v>
      </c>
      <c r="D8366" t="s">
        <v>3933</v>
      </c>
      <c r="E8366">
        <v>61</v>
      </c>
      <c r="F8366">
        <v>20140403</v>
      </c>
      <c r="G8366" t="s">
        <v>426</v>
      </c>
      <c r="H8366" t="s">
        <v>354</v>
      </c>
      <c r="I8366" t="s">
        <v>21</v>
      </c>
    </row>
    <row r="8367" spans="1:9" x14ac:dyDescent="0.25">
      <c r="A8367">
        <v>20140410</v>
      </c>
      <c r="B8367" t="str">
        <f>"115203"</f>
        <v>115203</v>
      </c>
      <c r="C8367" t="str">
        <f>"43798"</f>
        <v>43798</v>
      </c>
      <c r="D8367" t="s">
        <v>620</v>
      </c>
      <c r="E8367">
        <v>486</v>
      </c>
      <c r="F8367">
        <v>20140409</v>
      </c>
      <c r="G8367" t="s">
        <v>511</v>
      </c>
      <c r="H8367" t="s">
        <v>3934</v>
      </c>
      <c r="I8367" t="s">
        <v>21</v>
      </c>
    </row>
    <row r="8368" spans="1:9" x14ac:dyDescent="0.25">
      <c r="A8368">
        <v>20140410</v>
      </c>
      <c r="B8368" t="str">
        <f>"115203"</f>
        <v>115203</v>
      </c>
      <c r="C8368" t="str">
        <f>"43798"</f>
        <v>43798</v>
      </c>
      <c r="D8368" t="s">
        <v>620</v>
      </c>
      <c r="E8368">
        <v>607.70000000000005</v>
      </c>
      <c r="F8368">
        <v>20140409</v>
      </c>
      <c r="G8368" t="s">
        <v>1271</v>
      </c>
      <c r="H8368" t="s">
        <v>3935</v>
      </c>
      <c r="I8368" t="s">
        <v>21</v>
      </c>
    </row>
    <row r="8369" spans="1:9" x14ac:dyDescent="0.25">
      <c r="A8369">
        <v>20140410</v>
      </c>
      <c r="B8369" t="str">
        <f>"115204"</f>
        <v>115204</v>
      </c>
      <c r="C8369" t="str">
        <f>"84445"</f>
        <v>84445</v>
      </c>
      <c r="D8369" t="s">
        <v>1472</v>
      </c>
      <c r="E8369">
        <v>34.56</v>
      </c>
      <c r="F8369">
        <v>20140404</v>
      </c>
      <c r="G8369" t="s">
        <v>562</v>
      </c>
      <c r="H8369" t="s">
        <v>563</v>
      </c>
      <c r="I8369" t="s">
        <v>21</v>
      </c>
    </row>
    <row r="8370" spans="1:9" x14ac:dyDescent="0.25">
      <c r="A8370">
        <v>20140410</v>
      </c>
      <c r="B8370" t="str">
        <f>"115205"</f>
        <v>115205</v>
      </c>
      <c r="C8370" t="str">
        <f>"45605"</f>
        <v>45605</v>
      </c>
      <c r="D8370" t="s">
        <v>1474</v>
      </c>
      <c r="E8370">
        <v>47.94</v>
      </c>
      <c r="F8370">
        <v>20140403</v>
      </c>
      <c r="G8370" t="s">
        <v>413</v>
      </c>
      <c r="H8370" t="s">
        <v>3936</v>
      </c>
      <c r="I8370" t="s">
        <v>21</v>
      </c>
    </row>
    <row r="8371" spans="1:9" x14ac:dyDescent="0.25">
      <c r="A8371">
        <v>20140410</v>
      </c>
      <c r="B8371" t="str">
        <f>"115205"</f>
        <v>115205</v>
      </c>
      <c r="C8371" t="str">
        <f>"45605"</f>
        <v>45605</v>
      </c>
      <c r="D8371" t="s">
        <v>1474</v>
      </c>
      <c r="E8371">
        <v>12.6</v>
      </c>
      <c r="F8371">
        <v>20140403</v>
      </c>
      <c r="G8371" t="s">
        <v>413</v>
      </c>
      <c r="H8371" t="s">
        <v>3937</v>
      </c>
      <c r="I8371" t="s">
        <v>21</v>
      </c>
    </row>
    <row r="8372" spans="1:9" x14ac:dyDescent="0.25">
      <c r="A8372">
        <v>20140410</v>
      </c>
      <c r="B8372" t="str">
        <f>"115206"</f>
        <v>115206</v>
      </c>
      <c r="C8372" t="str">
        <f>"82185"</f>
        <v>82185</v>
      </c>
      <c r="D8372" t="s">
        <v>3565</v>
      </c>
      <c r="E8372">
        <v>146.88</v>
      </c>
      <c r="F8372">
        <v>20140408</v>
      </c>
      <c r="G8372" t="s">
        <v>356</v>
      </c>
      <c r="H8372" t="s">
        <v>357</v>
      </c>
      <c r="I8372" t="s">
        <v>61</v>
      </c>
    </row>
    <row r="8373" spans="1:9" x14ac:dyDescent="0.25">
      <c r="A8373">
        <v>20140410</v>
      </c>
      <c r="B8373" t="str">
        <f>"115206"</f>
        <v>115206</v>
      </c>
      <c r="C8373" t="str">
        <f>"82185"</f>
        <v>82185</v>
      </c>
      <c r="D8373" t="s">
        <v>3565</v>
      </c>
      <c r="E8373">
        <v>223.59</v>
      </c>
      <c r="F8373">
        <v>20140408</v>
      </c>
      <c r="G8373" t="s">
        <v>356</v>
      </c>
      <c r="H8373" t="s">
        <v>357</v>
      </c>
      <c r="I8373" t="s">
        <v>61</v>
      </c>
    </row>
    <row r="8374" spans="1:9" x14ac:dyDescent="0.25">
      <c r="A8374">
        <v>20140410</v>
      </c>
      <c r="B8374" t="str">
        <f>"115206"</f>
        <v>115206</v>
      </c>
      <c r="C8374" t="str">
        <f>"82185"</f>
        <v>82185</v>
      </c>
      <c r="D8374" t="s">
        <v>3565</v>
      </c>
      <c r="E8374">
        <v>-146.88</v>
      </c>
      <c r="F8374">
        <v>20140424</v>
      </c>
      <c r="G8374" t="s">
        <v>356</v>
      </c>
      <c r="H8374" t="s">
        <v>1965</v>
      </c>
      <c r="I8374" t="s">
        <v>61</v>
      </c>
    </row>
    <row r="8375" spans="1:9" x14ac:dyDescent="0.25">
      <c r="A8375">
        <v>20140410</v>
      </c>
      <c r="B8375" t="str">
        <f>"115206"</f>
        <v>115206</v>
      </c>
      <c r="C8375" t="str">
        <f>"82185"</f>
        <v>82185</v>
      </c>
      <c r="D8375" t="s">
        <v>3565</v>
      </c>
      <c r="E8375">
        <v>-223.59</v>
      </c>
      <c r="F8375">
        <v>20140424</v>
      </c>
      <c r="G8375" t="s">
        <v>356</v>
      </c>
      <c r="H8375" t="s">
        <v>1965</v>
      </c>
      <c r="I8375" t="s">
        <v>61</v>
      </c>
    </row>
    <row r="8376" spans="1:9" x14ac:dyDescent="0.25">
      <c r="A8376">
        <v>20140410</v>
      </c>
      <c r="B8376" t="str">
        <f t="shared" ref="B8376:B8381" si="492">"115207"</f>
        <v>115207</v>
      </c>
      <c r="C8376" t="str">
        <f t="shared" ref="C8376:C8381" si="493">"46500"</f>
        <v>46500</v>
      </c>
      <c r="D8376" t="s">
        <v>626</v>
      </c>
      <c r="E8376">
        <v>179.97</v>
      </c>
      <c r="F8376">
        <v>20140403</v>
      </c>
      <c r="G8376" t="s">
        <v>2599</v>
      </c>
      <c r="H8376" t="s">
        <v>414</v>
      </c>
      <c r="I8376" t="s">
        <v>21</v>
      </c>
    </row>
    <row r="8377" spans="1:9" x14ac:dyDescent="0.25">
      <c r="A8377">
        <v>20140410</v>
      </c>
      <c r="B8377" t="str">
        <f t="shared" si="492"/>
        <v>115207</v>
      </c>
      <c r="C8377" t="str">
        <f t="shared" si="493"/>
        <v>46500</v>
      </c>
      <c r="D8377" t="s">
        <v>626</v>
      </c>
      <c r="E8377">
        <v>116.8</v>
      </c>
      <c r="F8377">
        <v>20140403</v>
      </c>
      <c r="G8377" t="s">
        <v>413</v>
      </c>
      <c r="H8377" t="s">
        <v>414</v>
      </c>
      <c r="I8377" t="s">
        <v>21</v>
      </c>
    </row>
    <row r="8378" spans="1:9" x14ac:dyDescent="0.25">
      <c r="A8378">
        <v>20140410</v>
      </c>
      <c r="B8378" t="str">
        <f t="shared" si="492"/>
        <v>115207</v>
      </c>
      <c r="C8378" t="str">
        <f t="shared" si="493"/>
        <v>46500</v>
      </c>
      <c r="D8378" t="s">
        <v>626</v>
      </c>
      <c r="E8378">
        <v>-179.97</v>
      </c>
      <c r="F8378">
        <v>20140410</v>
      </c>
      <c r="G8378" t="s">
        <v>415</v>
      </c>
      <c r="H8378" t="s">
        <v>414</v>
      </c>
      <c r="I8378" t="s">
        <v>21</v>
      </c>
    </row>
    <row r="8379" spans="1:9" x14ac:dyDescent="0.25">
      <c r="A8379">
        <v>20140410</v>
      </c>
      <c r="B8379" t="str">
        <f t="shared" si="492"/>
        <v>115207</v>
      </c>
      <c r="C8379" t="str">
        <f t="shared" si="493"/>
        <v>46500</v>
      </c>
      <c r="D8379" t="s">
        <v>626</v>
      </c>
      <c r="E8379">
        <v>8.2899999999999991</v>
      </c>
      <c r="F8379">
        <v>20140403</v>
      </c>
      <c r="G8379" t="s">
        <v>630</v>
      </c>
      <c r="H8379" t="s">
        <v>414</v>
      </c>
      <c r="I8379" t="s">
        <v>21</v>
      </c>
    </row>
    <row r="8380" spans="1:9" x14ac:dyDescent="0.25">
      <c r="A8380">
        <v>20140410</v>
      </c>
      <c r="B8380" t="str">
        <f t="shared" si="492"/>
        <v>115207</v>
      </c>
      <c r="C8380" t="str">
        <f t="shared" si="493"/>
        <v>46500</v>
      </c>
      <c r="D8380" t="s">
        <v>626</v>
      </c>
      <c r="E8380">
        <v>716.76</v>
      </c>
      <c r="F8380">
        <v>20140403</v>
      </c>
      <c r="G8380" t="s">
        <v>631</v>
      </c>
      <c r="H8380" t="s">
        <v>414</v>
      </c>
      <c r="I8380" t="s">
        <v>21</v>
      </c>
    </row>
    <row r="8381" spans="1:9" x14ac:dyDescent="0.25">
      <c r="A8381">
        <v>20140410</v>
      </c>
      <c r="B8381" t="str">
        <f t="shared" si="492"/>
        <v>115207</v>
      </c>
      <c r="C8381" t="str">
        <f t="shared" si="493"/>
        <v>46500</v>
      </c>
      <c r="D8381" t="s">
        <v>626</v>
      </c>
      <c r="E8381" s="1">
        <v>6144.29</v>
      </c>
      <c r="F8381">
        <v>20140403</v>
      </c>
      <c r="G8381" t="s">
        <v>3820</v>
      </c>
      <c r="H8381" t="s">
        <v>414</v>
      </c>
      <c r="I8381" t="s">
        <v>21</v>
      </c>
    </row>
    <row r="8382" spans="1:9" x14ac:dyDescent="0.25">
      <c r="A8382">
        <v>20140410</v>
      </c>
      <c r="B8382" t="str">
        <f>"115208"</f>
        <v>115208</v>
      </c>
      <c r="C8382" t="str">
        <f>"84239"</f>
        <v>84239</v>
      </c>
      <c r="D8382" t="s">
        <v>632</v>
      </c>
      <c r="E8382">
        <v>345</v>
      </c>
      <c r="F8382">
        <v>20140403</v>
      </c>
      <c r="G8382" t="s">
        <v>633</v>
      </c>
      <c r="H8382" t="s">
        <v>634</v>
      </c>
      <c r="I8382" t="s">
        <v>21</v>
      </c>
    </row>
    <row r="8383" spans="1:9" x14ac:dyDescent="0.25">
      <c r="A8383">
        <v>20140410</v>
      </c>
      <c r="B8383" t="str">
        <f>"115208"</f>
        <v>115208</v>
      </c>
      <c r="C8383" t="str">
        <f>"84239"</f>
        <v>84239</v>
      </c>
      <c r="D8383" t="s">
        <v>632</v>
      </c>
      <c r="E8383">
        <v>30.5</v>
      </c>
      <c r="F8383">
        <v>20140403</v>
      </c>
      <c r="G8383" t="s">
        <v>633</v>
      </c>
      <c r="H8383" t="s">
        <v>634</v>
      </c>
      <c r="I8383" t="s">
        <v>21</v>
      </c>
    </row>
    <row r="8384" spans="1:9" x14ac:dyDescent="0.25">
      <c r="A8384">
        <v>20140410</v>
      </c>
      <c r="B8384" t="str">
        <f>"115208"</f>
        <v>115208</v>
      </c>
      <c r="C8384" t="str">
        <f>"84239"</f>
        <v>84239</v>
      </c>
      <c r="D8384" t="s">
        <v>632</v>
      </c>
      <c r="E8384">
        <v>130</v>
      </c>
      <c r="F8384">
        <v>20140409</v>
      </c>
      <c r="G8384" t="s">
        <v>633</v>
      </c>
      <c r="H8384" t="s">
        <v>634</v>
      </c>
      <c r="I8384" t="s">
        <v>21</v>
      </c>
    </row>
    <row r="8385" spans="1:9" x14ac:dyDescent="0.25">
      <c r="A8385">
        <v>20140410</v>
      </c>
      <c r="B8385" t="str">
        <f>"115208"</f>
        <v>115208</v>
      </c>
      <c r="C8385" t="str">
        <f>"84239"</f>
        <v>84239</v>
      </c>
      <c r="D8385" t="s">
        <v>632</v>
      </c>
      <c r="E8385">
        <v>-228</v>
      </c>
      <c r="F8385">
        <v>20140410</v>
      </c>
      <c r="G8385" t="s">
        <v>337</v>
      </c>
      <c r="H8385" t="s">
        <v>3938</v>
      </c>
      <c r="I8385" t="s">
        <v>21</v>
      </c>
    </row>
    <row r="8386" spans="1:9" x14ac:dyDescent="0.25">
      <c r="A8386">
        <v>20140410</v>
      </c>
      <c r="B8386" t="str">
        <f>"115209"</f>
        <v>115209</v>
      </c>
      <c r="C8386" t="str">
        <f>"82365"</f>
        <v>82365</v>
      </c>
      <c r="D8386" t="s">
        <v>1477</v>
      </c>
      <c r="E8386">
        <v>310.89</v>
      </c>
      <c r="F8386">
        <v>20140408</v>
      </c>
      <c r="G8386" t="s">
        <v>1478</v>
      </c>
      <c r="H8386" t="s">
        <v>3939</v>
      </c>
      <c r="I8386" t="s">
        <v>21</v>
      </c>
    </row>
    <row r="8387" spans="1:9" x14ac:dyDescent="0.25">
      <c r="A8387">
        <v>20140410</v>
      </c>
      <c r="B8387" t="str">
        <f>"115210"</f>
        <v>115210</v>
      </c>
      <c r="C8387" t="str">
        <f>"81788"</f>
        <v>81788</v>
      </c>
      <c r="D8387" t="s">
        <v>1104</v>
      </c>
      <c r="E8387">
        <v>244.5</v>
      </c>
      <c r="F8387">
        <v>20140403</v>
      </c>
      <c r="G8387" t="s">
        <v>581</v>
      </c>
      <c r="H8387" t="s">
        <v>3940</v>
      </c>
      <c r="I8387" t="s">
        <v>21</v>
      </c>
    </row>
    <row r="8388" spans="1:9" x14ac:dyDescent="0.25">
      <c r="A8388">
        <v>20140410</v>
      </c>
      <c r="B8388" t="str">
        <f>"115211"</f>
        <v>115211</v>
      </c>
      <c r="C8388" t="str">
        <f>"48820"</f>
        <v>48820</v>
      </c>
      <c r="D8388" t="s">
        <v>1106</v>
      </c>
      <c r="E8388">
        <v>347.82</v>
      </c>
      <c r="F8388">
        <v>20140409</v>
      </c>
      <c r="G8388" t="s">
        <v>1067</v>
      </c>
      <c r="H8388" t="s">
        <v>354</v>
      </c>
      <c r="I8388" t="s">
        <v>21</v>
      </c>
    </row>
    <row r="8389" spans="1:9" x14ac:dyDescent="0.25">
      <c r="A8389">
        <v>20140410</v>
      </c>
      <c r="B8389" t="str">
        <f>"115211"</f>
        <v>115211</v>
      </c>
      <c r="C8389" t="str">
        <f>"48820"</f>
        <v>48820</v>
      </c>
      <c r="D8389" t="s">
        <v>1106</v>
      </c>
      <c r="E8389">
        <v>58.07</v>
      </c>
      <c r="F8389">
        <v>20140409</v>
      </c>
      <c r="G8389" t="s">
        <v>1067</v>
      </c>
      <c r="H8389" t="s">
        <v>354</v>
      </c>
      <c r="I8389" t="s">
        <v>21</v>
      </c>
    </row>
    <row r="8390" spans="1:9" x14ac:dyDescent="0.25">
      <c r="A8390">
        <v>20140410</v>
      </c>
      <c r="B8390" t="str">
        <f>"115211"</f>
        <v>115211</v>
      </c>
      <c r="C8390" t="str">
        <f>"48820"</f>
        <v>48820</v>
      </c>
      <c r="D8390" t="s">
        <v>1106</v>
      </c>
      <c r="E8390">
        <v>359.06</v>
      </c>
      <c r="F8390">
        <v>20140409</v>
      </c>
      <c r="G8390" t="s">
        <v>1067</v>
      </c>
      <c r="H8390" t="s">
        <v>354</v>
      </c>
      <c r="I8390" t="s">
        <v>21</v>
      </c>
    </row>
    <row r="8391" spans="1:9" x14ac:dyDescent="0.25">
      <c r="A8391">
        <v>20140410</v>
      </c>
      <c r="B8391" t="str">
        <f>"115211"</f>
        <v>115211</v>
      </c>
      <c r="C8391" t="str">
        <f>"48820"</f>
        <v>48820</v>
      </c>
      <c r="D8391" t="s">
        <v>1106</v>
      </c>
      <c r="E8391">
        <v>97.75</v>
      </c>
      <c r="F8391">
        <v>20140409</v>
      </c>
      <c r="G8391" t="s">
        <v>209</v>
      </c>
      <c r="H8391" t="s">
        <v>354</v>
      </c>
      <c r="I8391" t="s">
        <v>25</v>
      </c>
    </row>
    <row r="8392" spans="1:9" x14ac:dyDescent="0.25">
      <c r="A8392">
        <v>20140410</v>
      </c>
      <c r="B8392" t="str">
        <f>"115212"</f>
        <v>115212</v>
      </c>
      <c r="C8392" t="str">
        <f>"82192"</f>
        <v>82192</v>
      </c>
      <c r="D8392" t="s">
        <v>642</v>
      </c>
      <c r="E8392" s="1">
        <v>4393</v>
      </c>
      <c r="F8392">
        <v>20140409</v>
      </c>
      <c r="G8392" t="s">
        <v>643</v>
      </c>
      <c r="H8392" t="s">
        <v>488</v>
      </c>
      <c r="I8392" t="s">
        <v>21</v>
      </c>
    </row>
    <row r="8393" spans="1:9" x14ac:dyDescent="0.25">
      <c r="A8393">
        <v>20140410</v>
      </c>
      <c r="B8393" t="str">
        <f>"115213"</f>
        <v>115213</v>
      </c>
      <c r="C8393" t="str">
        <f>"85760"</f>
        <v>85760</v>
      </c>
      <c r="D8393" t="s">
        <v>1485</v>
      </c>
      <c r="E8393">
        <v>449.34</v>
      </c>
      <c r="F8393">
        <v>20140403</v>
      </c>
      <c r="G8393" t="s">
        <v>511</v>
      </c>
      <c r="H8393" t="s">
        <v>414</v>
      </c>
      <c r="I8393" t="s">
        <v>21</v>
      </c>
    </row>
    <row r="8394" spans="1:9" x14ac:dyDescent="0.25">
      <c r="A8394">
        <v>20140410</v>
      </c>
      <c r="B8394" t="str">
        <f>"115213"</f>
        <v>115213</v>
      </c>
      <c r="C8394" t="str">
        <f>"85760"</f>
        <v>85760</v>
      </c>
      <c r="D8394" t="s">
        <v>1485</v>
      </c>
      <c r="E8394">
        <v>65.52</v>
      </c>
      <c r="F8394">
        <v>20140403</v>
      </c>
      <c r="G8394" t="s">
        <v>3820</v>
      </c>
      <c r="H8394" t="s">
        <v>414</v>
      </c>
      <c r="I8394" t="s">
        <v>21</v>
      </c>
    </row>
    <row r="8395" spans="1:9" x14ac:dyDescent="0.25">
      <c r="A8395">
        <v>20140410</v>
      </c>
      <c r="B8395" t="str">
        <f>"115214"</f>
        <v>115214</v>
      </c>
      <c r="C8395" t="str">
        <f>"52518"</f>
        <v>52518</v>
      </c>
      <c r="D8395" t="s">
        <v>647</v>
      </c>
      <c r="E8395">
        <v>462.68</v>
      </c>
      <c r="F8395">
        <v>20140409</v>
      </c>
      <c r="G8395" t="s">
        <v>498</v>
      </c>
      <c r="H8395" t="s">
        <v>499</v>
      </c>
      <c r="I8395" t="s">
        <v>21</v>
      </c>
    </row>
    <row r="8396" spans="1:9" x14ac:dyDescent="0.25">
      <c r="A8396">
        <v>20140410</v>
      </c>
      <c r="B8396" t="str">
        <f>"115214"</f>
        <v>115214</v>
      </c>
      <c r="C8396" t="str">
        <f>"52518"</f>
        <v>52518</v>
      </c>
      <c r="D8396" t="s">
        <v>647</v>
      </c>
      <c r="E8396">
        <v>198.9</v>
      </c>
      <c r="F8396">
        <v>20140409</v>
      </c>
      <c r="G8396" t="s">
        <v>496</v>
      </c>
      <c r="H8396" t="s">
        <v>414</v>
      </c>
      <c r="I8396" t="s">
        <v>21</v>
      </c>
    </row>
    <row r="8397" spans="1:9" x14ac:dyDescent="0.25">
      <c r="A8397">
        <v>20140410</v>
      </c>
      <c r="B8397" t="str">
        <f>"115215"</f>
        <v>115215</v>
      </c>
      <c r="C8397" t="str">
        <f>"53300"</f>
        <v>53300</v>
      </c>
      <c r="D8397" t="s">
        <v>1491</v>
      </c>
      <c r="E8397">
        <v>24.99</v>
      </c>
      <c r="F8397">
        <v>20140403</v>
      </c>
      <c r="G8397" t="s">
        <v>496</v>
      </c>
      <c r="H8397" t="s">
        <v>414</v>
      </c>
      <c r="I8397" t="s">
        <v>21</v>
      </c>
    </row>
    <row r="8398" spans="1:9" x14ac:dyDescent="0.25">
      <c r="A8398">
        <v>20140410</v>
      </c>
      <c r="B8398" t="str">
        <f>"115215"</f>
        <v>115215</v>
      </c>
      <c r="C8398" t="str">
        <f>"53300"</f>
        <v>53300</v>
      </c>
      <c r="D8398" t="s">
        <v>1491</v>
      </c>
      <c r="E8398">
        <v>1.2</v>
      </c>
      <c r="F8398">
        <v>20140403</v>
      </c>
      <c r="G8398" t="s">
        <v>476</v>
      </c>
      <c r="H8398" t="s">
        <v>414</v>
      </c>
      <c r="I8398" t="s">
        <v>21</v>
      </c>
    </row>
    <row r="8399" spans="1:9" x14ac:dyDescent="0.25">
      <c r="A8399">
        <v>20140410</v>
      </c>
      <c r="B8399" t="str">
        <f>"115215"</f>
        <v>115215</v>
      </c>
      <c r="C8399" t="str">
        <f>"53300"</f>
        <v>53300</v>
      </c>
      <c r="D8399" t="s">
        <v>1491</v>
      </c>
      <c r="E8399">
        <v>125.01</v>
      </c>
      <c r="F8399">
        <v>20140403</v>
      </c>
      <c r="G8399" t="s">
        <v>482</v>
      </c>
      <c r="H8399" t="s">
        <v>414</v>
      </c>
      <c r="I8399" t="s">
        <v>21</v>
      </c>
    </row>
    <row r="8400" spans="1:9" x14ac:dyDescent="0.25">
      <c r="A8400">
        <v>20140410</v>
      </c>
      <c r="B8400" t="str">
        <f>"115216"</f>
        <v>115216</v>
      </c>
      <c r="C8400" t="str">
        <f>"53301"</f>
        <v>53301</v>
      </c>
      <c r="D8400" t="s">
        <v>3941</v>
      </c>
      <c r="E8400">
        <v>164.7</v>
      </c>
      <c r="F8400">
        <v>20140407</v>
      </c>
      <c r="G8400" t="s">
        <v>583</v>
      </c>
      <c r="H8400" t="s">
        <v>354</v>
      </c>
      <c r="I8400" t="s">
        <v>21</v>
      </c>
    </row>
    <row r="8401" spans="1:9" x14ac:dyDescent="0.25">
      <c r="A8401">
        <v>20140410</v>
      </c>
      <c r="B8401" t="str">
        <f>"115217"</f>
        <v>115217</v>
      </c>
      <c r="C8401" t="str">
        <f>"82344"</f>
        <v>82344</v>
      </c>
      <c r="D8401" t="s">
        <v>2243</v>
      </c>
      <c r="E8401">
        <v>499</v>
      </c>
      <c r="F8401">
        <v>20140407</v>
      </c>
      <c r="G8401" t="s">
        <v>1605</v>
      </c>
      <c r="H8401" t="s">
        <v>3942</v>
      </c>
      <c r="I8401" t="s">
        <v>21</v>
      </c>
    </row>
    <row r="8402" spans="1:9" x14ac:dyDescent="0.25">
      <c r="A8402">
        <v>20140410</v>
      </c>
      <c r="B8402" t="str">
        <f>"115218"</f>
        <v>115218</v>
      </c>
      <c r="C8402" t="str">
        <f>"82978"</f>
        <v>82978</v>
      </c>
      <c r="D8402" t="s">
        <v>2245</v>
      </c>
      <c r="E8402">
        <v>961.65</v>
      </c>
      <c r="F8402">
        <v>20140403</v>
      </c>
      <c r="G8402" t="s">
        <v>1064</v>
      </c>
      <c r="H8402" t="s">
        <v>3943</v>
      </c>
      <c r="I8402" t="s">
        <v>21</v>
      </c>
    </row>
    <row r="8403" spans="1:9" x14ac:dyDescent="0.25">
      <c r="A8403">
        <v>20140410</v>
      </c>
      <c r="B8403" t="str">
        <f>"115219"</f>
        <v>115219</v>
      </c>
      <c r="C8403" t="str">
        <f>"00151"</f>
        <v>00151</v>
      </c>
      <c r="D8403" t="s">
        <v>1641</v>
      </c>
      <c r="E8403">
        <v>179</v>
      </c>
      <c r="F8403">
        <v>20140404</v>
      </c>
      <c r="G8403" t="s">
        <v>3419</v>
      </c>
      <c r="H8403" t="s">
        <v>1642</v>
      </c>
      <c r="I8403" t="s">
        <v>21</v>
      </c>
    </row>
    <row r="8404" spans="1:9" x14ac:dyDescent="0.25">
      <c r="A8404">
        <v>20140410</v>
      </c>
      <c r="B8404" t="str">
        <f>"115219"</f>
        <v>115219</v>
      </c>
      <c r="C8404" t="str">
        <f>"00151"</f>
        <v>00151</v>
      </c>
      <c r="D8404" t="s">
        <v>1641</v>
      </c>
      <c r="E8404">
        <v>-179</v>
      </c>
      <c r="F8404">
        <v>20140602</v>
      </c>
      <c r="G8404" t="s">
        <v>3419</v>
      </c>
      <c r="H8404" t="s">
        <v>3073</v>
      </c>
      <c r="I8404" t="s">
        <v>21</v>
      </c>
    </row>
    <row r="8405" spans="1:9" x14ac:dyDescent="0.25">
      <c r="A8405">
        <v>20140410</v>
      </c>
      <c r="B8405" t="str">
        <f>"115219"</f>
        <v>115219</v>
      </c>
      <c r="C8405" t="str">
        <f>"00151"</f>
        <v>00151</v>
      </c>
      <c r="D8405" t="s">
        <v>1641</v>
      </c>
      <c r="E8405">
        <v>81</v>
      </c>
      <c r="F8405">
        <v>20140404</v>
      </c>
      <c r="G8405" t="s">
        <v>1911</v>
      </c>
      <c r="H8405" t="s">
        <v>1642</v>
      </c>
      <c r="I8405" t="s">
        <v>21</v>
      </c>
    </row>
    <row r="8406" spans="1:9" x14ac:dyDescent="0.25">
      <c r="A8406">
        <v>20140410</v>
      </c>
      <c r="B8406" t="str">
        <f>"115219"</f>
        <v>115219</v>
      </c>
      <c r="C8406" t="str">
        <f>"00151"</f>
        <v>00151</v>
      </c>
      <c r="D8406" t="s">
        <v>1641</v>
      </c>
      <c r="E8406">
        <v>-81</v>
      </c>
      <c r="F8406">
        <v>20140602</v>
      </c>
      <c r="G8406" t="s">
        <v>1911</v>
      </c>
      <c r="H8406" t="s">
        <v>3073</v>
      </c>
      <c r="I8406" t="s">
        <v>21</v>
      </c>
    </row>
    <row r="8407" spans="1:9" x14ac:dyDescent="0.25">
      <c r="A8407">
        <v>20140410</v>
      </c>
      <c r="B8407" t="str">
        <f>"115220"</f>
        <v>115220</v>
      </c>
      <c r="C8407" t="str">
        <f>"86946"</f>
        <v>86946</v>
      </c>
      <c r="D8407" t="s">
        <v>933</v>
      </c>
      <c r="E8407">
        <v>144</v>
      </c>
      <c r="F8407">
        <v>20140408</v>
      </c>
      <c r="G8407" t="s">
        <v>1145</v>
      </c>
      <c r="H8407" t="s">
        <v>365</v>
      </c>
      <c r="I8407" t="s">
        <v>73</v>
      </c>
    </row>
    <row r="8408" spans="1:9" x14ac:dyDescent="0.25">
      <c r="A8408">
        <v>20140410</v>
      </c>
      <c r="B8408" t="str">
        <f>"115220"</f>
        <v>115220</v>
      </c>
      <c r="C8408" t="str">
        <f>"86946"</f>
        <v>86946</v>
      </c>
      <c r="D8408" t="s">
        <v>933</v>
      </c>
      <c r="E8408">
        <v>76.73</v>
      </c>
      <c r="F8408">
        <v>20140408</v>
      </c>
      <c r="G8408" t="s">
        <v>36</v>
      </c>
      <c r="H8408" t="s">
        <v>354</v>
      </c>
      <c r="I8408" t="s">
        <v>38</v>
      </c>
    </row>
    <row r="8409" spans="1:9" x14ac:dyDescent="0.25">
      <c r="A8409">
        <v>20140410</v>
      </c>
      <c r="B8409" t="str">
        <f>"115221"</f>
        <v>115221</v>
      </c>
      <c r="C8409" t="str">
        <f>"81360"</f>
        <v>81360</v>
      </c>
      <c r="D8409" t="s">
        <v>2249</v>
      </c>
      <c r="E8409">
        <v>452.28</v>
      </c>
      <c r="F8409">
        <v>20140409</v>
      </c>
      <c r="G8409" t="s">
        <v>789</v>
      </c>
      <c r="H8409" t="s">
        <v>1031</v>
      </c>
      <c r="I8409" t="s">
        <v>61</v>
      </c>
    </row>
    <row r="8410" spans="1:9" x14ac:dyDescent="0.25">
      <c r="A8410">
        <v>20140410</v>
      </c>
      <c r="B8410" t="str">
        <f>"115222"</f>
        <v>115222</v>
      </c>
      <c r="C8410" t="str">
        <f>"58570"</f>
        <v>58570</v>
      </c>
      <c r="D8410" t="s">
        <v>655</v>
      </c>
      <c r="E8410">
        <v>190</v>
      </c>
      <c r="F8410">
        <v>20140403</v>
      </c>
      <c r="G8410" t="s">
        <v>340</v>
      </c>
      <c r="H8410" t="s">
        <v>3944</v>
      </c>
      <c r="I8410" t="s">
        <v>21</v>
      </c>
    </row>
    <row r="8411" spans="1:9" x14ac:dyDescent="0.25">
      <c r="A8411">
        <v>20140410</v>
      </c>
      <c r="B8411" t="str">
        <f>"115222"</f>
        <v>115222</v>
      </c>
      <c r="C8411" t="str">
        <f>"58570"</f>
        <v>58570</v>
      </c>
      <c r="D8411" t="s">
        <v>655</v>
      </c>
      <c r="E8411">
        <v>190</v>
      </c>
      <c r="F8411">
        <v>20140403</v>
      </c>
      <c r="G8411" t="s">
        <v>340</v>
      </c>
      <c r="H8411" t="s">
        <v>3944</v>
      </c>
      <c r="I8411" t="s">
        <v>21</v>
      </c>
    </row>
    <row r="8412" spans="1:9" x14ac:dyDescent="0.25">
      <c r="A8412">
        <v>20140410</v>
      </c>
      <c r="B8412" t="str">
        <f>"115222"</f>
        <v>115222</v>
      </c>
      <c r="C8412" t="str">
        <f>"58570"</f>
        <v>58570</v>
      </c>
      <c r="D8412" t="s">
        <v>655</v>
      </c>
      <c r="E8412">
        <v>180</v>
      </c>
      <c r="F8412">
        <v>20140403</v>
      </c>
      <c r="G8412" t="s">
        <v>340</v>
      </c>
      <c r="H8412" t="s">
        <v>3944</v>
      </c>
      <c r="I8412" t="s">
        <v>21</v>
      </c>
    </row>
    <row r="8413" spans="1:9" x14ac:dyDescent="0.25">
      <c r="A8413">
        <v>20140410</v>
      </c>
      <c r="B8413" t="str">
        <f>"115222"</f>
        <v>115222</v>
      </c>
      <c r="C8413" t="str">
        <f>"58570"</f>
        <v>58570</v>
      </c>
      <c r="D8413" t="s">
        <v>655</v>
      </c>
      <c r="E8413">
        <v>747.11</v>
      </c>
      <c r="F8413">
        <v>20140403</v>
      </c>
      <c r="G8413" t="s">
        <v>340</v>
      </c>
      <c r="H8413" t="s">
        <v>3944</v>
      </c>
      <c r="I8413" t="s">
        <v>21</v>
      </c>
    </row>
    <row r="8414" spans="1:9" x14ac:dyDescent="0.25">
      <c r="A8414">
        <v>20140410</v>
      </c>
      <c r="B8414" t="str">
        <f>"115222"</f>
        <v>115222</v>
      </c>
      <c r="C8414" t="str">
        <f>"58570"</f>
        <v>58570</v>
      </c>
      <c r="D8414" t="s">
        <v>655</v>
      </c>
      <c r="E8414">
        <v>449.5</v>
      </c>
      <c r="F8414">
        <v>20140403</v>
      </c>
      <c r="G8414" t="s">
        <v>340</v>
      </c>
      <c r="H8414" t="s">
        <v>3944</v>
      </c>
      <c r="I8414" t="s">
        <v>21</v>
      </c>
    </row>
    <row r="8415" spans="1:9" x14ac:dyDescent="0.25">
      <c r="A8415">
        <v>20140410</v>
      </c>
      <c r="B8415" t="str">
        <f>"115223"</f>
        <v>115223</v>
      </c>
      <c r="C8415" t="str">
        <f>"58585"</f>
        <v>58585</v>
      </c>
      <c r="D8415" t="s">
        <v>1913</v>
      </c>
      <c r="E8415">
        <v>256.64</v>
      </c>
      <c r="F8415">
        <v>20140408</v>
      </c>
      <c r="G8415" t="s">
        <v>583</v>
      </c>
      <c r="H8415" t="s">
        <v>3945</v>
      </c>
      <c r="I8415" t="s">
        <v>21</v>
      </c>
    </row>
    <row r="8416" spans="1:9" x14ac:dyDescent="0.25">
      <c r="A8416">
        <v>20140410</v>
      </c>
      <c r="B8416" t="str">
        <f>"115224"</f>
        <v>115224</v>
      </c>
      <c r="C8416" t="str">
        <f>"58675"</f>
        <v>58675</v>
      </c>
      <c r="D8416" t="s">
        <v>657</v>
      </c>
      <c r="E8416" s="1">
        <v>4173.99</v>
      </c>
      <c r="F8416">
        <v>20140409</v>
      </c>
      <c r="G8416" t="s">
        <v>498</v>
      </c>
      <c r="H8416" t="s">
        <v>499</v>
      </c>
      <c r="I8416" t="s">
        <v>21</v>
      </c>
    </row>
    <row r="8417" spans="1:9" x14ac:dyDescent="0.25">
      <c r="A8417">
        <v>20140410</v>
      </c>
      <c r="B8417" t="str">
        <f>"115225"</f>
        <v>115225</v>
      </c>
      <c r="C8417" t="str">
        <f>"58772"</f>
        <v>58772</v>
      </c>
      <c r="D8417" t="s">
        <v>934</v>
      </c>
      <c r="E8417">
        <v>302.5</v>
      </c>
      <c r="F8417">
        <v>20140403</v>
      </c>
      <c r="G8417" t="s">
        <v>2458</v>
      </c>
      <c r="H8417" t="s">
        <v>3946</v>
      </c>
      <c r="I8417" t="s">
        <v>21</v>
      </c>
    </row>
    <row r="8418" spans="1:9" x14ac:dyDescent="0.25">
      <c r="A8418">
        <v>20140410</v>
      </c>
      <c r="B8418" t="str">
        <f>"115226"</f>
        <v>115226</v>
      </c>
      <c r="C8418" t="str">
        <f>"59190"</f>
        <v>59190</v>
      </c>
      <c r="D8418" t="s">
        <v>1499</v>
      </c>
      <c r="E8418">
        <v>20.62</v>
      </c>
      <c r="F8418">
        <v>20140403</v>
      </c>
      <c r="G8418" t="s">
        <v>498</v>
      </c>
      <c r="H8418" t="s">
        <v>3947</v>
      </c>
      <c r="I8418" t="s">
        <v>21</v>
      </c>
    </row>
    <row r="8419" spans="1:9" x14ac:dyDescent="0.25">
      <c r="A8419">
        <v>20140410</v>
      </c>
      <c r="B8419" t="str">
        <f>"115226"</f>
        <v>115226</v>
      </c>
      <c r="C8419" t="str">
        <f>"59190"</f>
        <v>59190</v>
      </c>
      <c r="D8419" t="s">
        <v>1499</v>
      </c>
      <c r="E8419">
        <v>52.45</v>
      </c>
      <c r="F8419">
        <v>20140409</v>
      </c>
      <c r="G8419" t="s">
        <v>498</v>
      </c>
      <c r="H8419" t="s">
        <v>499</v>
      </c>
      <c r="I8419" t="s">
        <v>21</v>
      </c>
    </row>
    <row r="8420" spans="1:9" x14ac:dyDescent="0.25">
      <c r="A8420">
        <v>20140410</v>
      </c>
      <c r="B8420" t="str">
        <f>"115226"</f>
        <v>115226</v>
      </c>
      <c r="C8420" t="str">
        <f>"59190"</f>
        <v>59190</v>
      </c>
      <c r="D8420" t="s">
        <v>1499</v>
      </c>
      <c r="E8420">
        <v>8.84</v>
      </c>
      <c r="F8420">
        <v>20140409</v>
      </c>
      <c r="G8420" t="s">
        <v>392</v>
      </c>
      <c r="H8420" t="s">
        <v>3947</v>
      </c>
      <c r="I8420" t="s">
        <v>21</v>
      </c>
    </row>
    <row r="8421" spans="1:9" x14ac:dyDescent="0.25">
      <c r="A8421">
        <v>20140410</v>
      </c>
      <c r="B8421" t="str">
        <f>"115227"</f>
        <v>115227</v>
      </c>
      <c r="C8421" t="str">
        <f>"87330"</f>
        <v>87330</v>
      </c>
      <c r="D8421" t="s">
        <v>671</v>
      </c>
      <c r="E8421" s="1">
        <v>1050</v>
      </c>
      <c r="F8421">
        <v>20140409</v>
      </c>
      <c r="G8421" t="s">
        <v>672</v>
      </c>
      <c r="H8421" t="s">
        <v>2264</v>
      </c>
      <c r="I8421" t="s">
        <v>21</v>
      </c>
    </row>
    <row r="8422" spans="1:9" x14ac:dyDescent="0.25">
      <c r="A8422">
        <v>20140410</v>
      </c>
      <c r="B8422" t="str">
        <f>"115228"</f>
        <v>115228</v>
      </c>
      <c r="C8422" t="str">
        <f>"81001"</f>
        <v>81001</v>
      </c>
      <c r="D8422" t="s">
        <v>2882</v>
      </c>
      <c r="E8422" s="1">
        <v>2861.25</v>
      </c>
      <c r="F8422">
        <v>20140404</v>
      </c>
      <c r="G8422" t="s">
        <v>2028</v>
      </c>
      <c r="H8422" t="s">
        <v>921</v>
      </c>
      <c r="I8422" t="s">
        <v>66</v>
      </c>
    </row>
    <row r="8423" spans="1:9" x14ac:dyDescent="0.25">
      <c r="A8423">
        <v>20140410</v>
      </c>
      <c r="B8423" t="str">
        <f>"115228"</f>
        <v>115228</v>
      </c>
      <c r="C8423" t="str">
        <f>"81001"</f>
        <v>81001</v>
      </c>
      <c r="D8423" t="s">
        <v>2882</v>
      </c>
      <c r="E8423" s="1">
        <v>-2861.25</v>
      </c>
      <c r="F8423">
        <v>20140605</v>
      </c>
      <c r="G8423" t="s">
        <v>2028</v>
      </c>
      <c r="H8423" t="s">
        <v>3948</v>
      </c>
      <c r="I8423" t="s">
        <v>66</v>
      </c>
    </row>
    <row r="8424" spans="1:9" x14ac:dyDescent="0.25">
      <c r="A8424">
        <v>20140410</v>
      </c>
      <c r="B8424" t="str">
        <f>"115229"</f>
        <v>115229</v>
      </c>
      <c r="C8424" t="str">
        <f>"86746"</f>
        <v>86746</v>
      </c>
      <c r="D8424" t="s">
        <v>380</v>
      </c>
      <c r="E8424" s="1">
        <v>1650</v>
      </c>
      <c r="F8424">
        <v>20140404</v>
      </c>
      <c r="G8424" t="s">
        <v>1504</v>
      </c>
      <c r="H8424" t="s">
        <v>2086</v>
      </c>
      <c r="I8424" t="s">
        <v>21</v>
      </c>
    </row>
    <row r="8425" spans="1:9" x14ac:dyDescent="0.25">
      <c r="A8425">
        <v>20140410</v>
      </c>
      <c r="B8425" t="str">
        <f>"115229"</f>
        <v>115229</v>
      </c>
      <c r="C8425" t="str">
        <f>"86746"</f>
        <v>86746</v>
      </c>
      <c r="D8425" t="s">
        <v>380</v>
      </c>
      <c r="E8425" s="1">
        <v>1650</v>
      </c>
      <c r="F8425">
        <v>20140408</v>
      </c>
      <c r="G8425" t="s">
        <v>1504</v>
      </c>
      <c r="H8425" t="s">
        <v>2086</v>
      </c>
      <c r="I8425" t="s">
        <v>21</v>
      </c>
    </row>
    <row r="8426" spans="1:9" x14ac:dyDescent="0.25">
      <c r="A8426">
        <v>20140410</v>
      </c>
      <c r="B8426" t="str">
        <f>"115229"</f>
        <v>115229</v>
      </c>
      <c r="C8426" t="str">
        <f>"86746"</f>
        <v>86746</v>
      </c>
      <c r="D8426" t="s">
        <v>380</v>
      </c>
      <c r="E8426" s="1">
        <v>1650</v>
      </c>
      <c r="F8426">
        <v>20140408</v>
      </c>
      <c r="G8426" t="s">
        <v>1504</v>
      </c>
      <c r="H8426" t="s">
        <v>2086</v>
      </c>
      <c r="I8426" t="s">
        <v>21</v>
      </c>
    </row>
    <row r="8427" spans="1:9" x14ac:dyDescent="0.25">
      <c r="A8427">
        <v>20140410</v>
      </c>
      <c r="B8427" t="str">
        <f>"115230"</f>
        <v>115230</v>
      </c>
      <c r="C8427" t="str">
        <f>"87812"</f>
        <v>87812</v>
      </c>
      <c r="D8427" t="s">
        <v>3949</v>
      </c>
      <c r="E8427">
        <v>154.80000000000001</v>
      </c>
      <c r="F8427">
        <v>20140408</v>
      </c>
      <c r="G8427" t="s">
        <v>3743</v>
      </c>
      <c r="H8427" t="s">
        <v>765</v>
      </c>
      <c r="I8427" t="s">
        <v>61</v>
      </c>
    </row>
    <row r="8428" spans="1:9" x14ac:dyDescent="0.25">
      <c r="A8428">
        <v>20140410</v>
      </c>
      <c r="B8428" t="str">
        <f>"115230"</f>
        <v>115230</v>
      </c>
      <c r="C8428" t="str">
        <f>"87812"</f>
        <v>87812</v>
      </c>
      <c r="D8428" t="s">
        <v>3949</v>
      </c>
      <c r="E8428">
        <v>60</v>
      </c>
      <c r="F8428">
        <v>20140408</v>
      </c>
      <c r="G8428" t="s">
        <v>3743</v>
      </c>
      <c r="H8428" t="s">
        <v>765</v>
      </c>
      <c r="I8428" t="s">
        <v>61</v>
      </c>
    </row>
    <row r="8429" spans="1:9" x14ac:dyDescent="0.25">
      <c r="A8429">
        <v>20140410</v>
      </c>
      <c r="B8429" t="str">
        <f>"115231"</f>
        <v>115231</v>
      </c>
      <c r="C8429" t="str">
        <f>"87619"</f>
        <v>87619</v>
      </c>
      <c r="D8429" t="s">
        <v>3950</v>
      </c>
      <c r="E8429">
        <v>100</v>
      </c>
      <c r="F8429">
        <v>20140408</v>
      </c>
      <c r="G8429" t="s">
        <v>1064</v>
      </c>
      <c r="H8429" t="s">
        <v>3951</v>
      </c>
      <c r="I8429" t="s">
        <v>21</v>
      </c>
    </row>
    <row r="8430" spans="1:9" x14ac:dyDescent="0.25">
      <c r="A8430">
        <v>20140410</v>
      </c>
      <c r="B8430" t="str">
        <f>"115232"</f>
        <v>115232</v>
      </c>
      <c r="C8430" t="str">
        <f>"84597"</f>
        <v>84597</v>
      </c>
      <c r="D8430" t="s">
        <v>1508</v>
      </c>
      <c r="E8430">
        <v>396.87</v>
      </c>
      <c r="F8430">
        <v>20140409</v>
      </c>
      <c r="G8430" t="s">
        <v>498</v>
      </c>
      <c r="H8430" t="s">
        <v>499</v>
      </c>
      <c r="I8430" t="s">
        <v>21</v>
      </c>
    </row>
    <row r="8431" spans="1:9" x14ac:dyDescent="0.25">
      <c r="A8431">
        <v>20140410</v>
      </c>
      <c r="B8431" t="str">
        <f>"115233"</f>
        <v>115233</v>
      </c>
      <c r="C8431" t="str">
        <f>"62200"</f>
        <v>62200</v>
      </c>
      <c r="D8431" t="s">
        <v>1510</v>
      </c>
      <c r="E8431">
        <v>190.95</v>
      </c>
      <c r="F8431">
        <v>20140403</v>
      </c>
      <c r="G8431" t="s">
        <v>496</v>
      </c>
      <c r="H8431" t="s">
        <v>414</v>
      </c>
      <c r="I8431" t="s">
        <v>21</v>
      </c>
    </row>
    <row r="8432" spans="1:9" x14ac:dyDescent="0.25">
      <c r="A8432">
        <v>20140410</v>
      </c>
      <c r="B8432" t="str">
        <f>"115234"</f>
        <v>115234</v>
      </c>
      <c r="C8432" t="str">
        <f>"00358"</f>
        <v>00358</v>
      </c>
      <c r="D8432" t="s">
        <v>3952</v>
      </c>
      <c r="E8432">
        <v>320.25</v>
      </c>
      <c r="F8432">
        <v>20140409</v>
      </c>
      <c r="G8432" t="s">
        <v>3730</v>
      </c>
      <c r="H8432" t="s">
        <v>1116</v>
      </c>
      <c r="I8432" t="s">
        <v>38</v>
      </c>
    </row>
    <row r="8433" spans="1:9" x14ac:dyDescent="0.25">
      <c r="A8433">
        <v>20140410</v>
      </c>
      <c r="B8433" t="str">
        <f>"115235"</f>
        <v>115235</v>
      </c>
      <c r="C8433" t="str">
        <f>"86433"</f>
        <v>86433</v>
      </c>
      <c r="D8433" t="s">
        <v>681</v>
      </c>
      <c r="E8433">
        <v>85</v>
      </c>
      <c r="F8433">
        <v>20140409</v>
      </c>
      <c r="G8433" t="s">
        <v>340</v>
      </c>
      <c r="H8433" t="s">
        <v>3953</v>
      </c>
      <c r="I8433" t="s">
        <v>21</v>
      </c>
    </row>
    <row r="8434" spans="1:9" x14ac:dyDescent="0.25">
      <c r="A8434">
        <v>20140410</v>
      </c>
      <c r="B8434" t="str">
        <f>"115236"</f>
        <v>115236</v>
      </c>
      <c r="C8434" t="str">
        <f>"62451"</f>
        <v>62451</v>
      </c>
      <c r="D8434" t="s">
        <v>1797</v>
      </c>
      <c r="E8434" s="1">
        <v>3190.85</v>
      </c>
      <c r="F8434">
        <v>20140408</v>
      </c>
      <c r="G8434" t="s">
        <v>36</v>
      </c>
      <c r="H8434" t="s">
        <v>1798</v>
      </c>
      <c r="I8434" t="s">
        <v>38</v>
      </c>
    </row>
    <row r="8435" spans="1:9" x14ac:dyDescent="0.25">
      <c r="A8435">
        <v>20140410</v>
      </c>
      <c r="B8435" t="str">
        <f>"115237"</f>
        <v>115237</v>
      </c>
      <c r="C8435" t="str">
        <f>"82243"</f>
        <v>82243</v>
      </c>
      <c r="D8435" t="s">
        <v>1517</v>
      </c>
      <c r="E8435">
        <v>90.96</v>
      </c>
      <c r="F8435">
        <v>20140409</v>
      </c>
      <c r="G8435" t="s">
        <v>627</v>
      </c>
      <c r="H8435" t="s">
        <v>414</v>
      </c>
      <c r="I8435" t="s">
        <v>21</v>
      </c>
    </row>
    <row r="8436" spans="1:9" x14ac:dyDescent="0.25">
      <c r="A8436">
        <v>20140410</v>
      </c>
      <c r="B8436" t="str">
        <f>"115237"</f>
        <v>115237</v>
      </c>
      <c r="C8436" t="str">
        <f>"82243"</f>
        <v>82243</v>
      </c>
      <c r="D8436" t="s">
        <v>1517</v>
      </c>
      <c r="E8436">
        <v>114.4</v>
      </c>
      <c r="F8436">
        <v>20140409</v>
      </c>
      <c r="G8436" t="s">
        <v>627</v>
      </c>
      <c r="H8436" t="s">
        <v>414</v>
      </c>
      <c r="I8436" t="s">
        <v>21</v>
      </c>
    </row>
    <row r="8437" spans="1:9" x14ac:dyDescent="0.25">
      <c r="A8437">
        <v>20140410</v>
      </c>
      <c r="B8437" t="str">
        <f>"115238"</f>
        <v>115238</v>
      </c>
      <c r="C8437" t="str">
        <f>"87288"</f>
        <v>87288</v>
      </c>
      <c r="D8437" t="s">
        <v>1137</v>
      </c>
      <c r="E8437">
        <v>86</v>
      </c>
      <c r="F8437">
        <v>20140403</v>
      </c>
      <c r="G8437" t="s">
        <v>557</v>
      </c>
      <c r="H8437" t="s">
        <v>993</v>
      </c>
      <c r="I8437" t="s">
        <v>21</v>
      </c>
    </row>
    <row r="8438" spans="1:9" x14ac:dyDescent="0.25">
      <c r="A8438">
        <v>20140410</v>
      </c>
      <c r="B8438" t="str">
        <f>"115239"</f>
        <v>115239</v>
      </c>
      <c r="C8438" t="str">
        <f>"81726"</f>
        <v>81726</v>
      </c>
      <c r="D8438" t="s">
        <v>3954</v>
      </c>
      <c r="E8438">
        <v>97.29</v>
      </c>
      <c r="F8438">
        <v>20140408</v>
      </c>
      <c r="G8438" t="s">
        <v>3743</v>
      </c>
      <c r="H8438" t="s">
        <v>765</v>
      </c>
      <c r="I8438" t="s">
        <v>61</v>
      </c>
    </row>
    <row r="8439" spans="1:9" x14ac:dyDescent="0.25">
      <c r="A8439">
        <v>20140410</v>
      </c>
      <c r="B8439" t="str">
        <f>"115240"</f>
        <v>115240</v>
      </c>
      <c r="C8439" t="str">
        <f>"65506"</f>
        <v>65506</v>
      </c>
      <c r="D8439" t="s">
        <v>951</v>
      </c>
      <c r="E8439">
        <v>55.44</v>
      </c>
      <c r="F8439">
        <v>20140409</v>
      </c>
      <c r="G8439" t="s">
        <v>364</v>
      </c>
      <c r="H8439" t="s">
        <v>365</v>
      </c>
      <c r="I8439" t="s">
        <v>21</v>
      </c>
    </row>
    <row r="8440" spans="1:9" x14ac:dyDescent="0.25">
      <c r="A8440">
        <v>20140410</v>
      </c>
      <c r="B8440" t="str">
        <f>"115241"</f>
        <v>115241</v>
      </c>
      <c r="C8440" t="str">
        <f>"81411"</f>
        <v>81411</v>
      </c>
      <c r="D8440" t="s">
        <v>687</v>
      </c>
      <c r="E8440" s="1">
        <v>1470</v>
      </c>
      <c r="F8440">
        <v>20140403</v>
      </c>
      <c r="G8440" t="s">
        <v>498</v>
      </c>
      <c r="H8440" t="s">
        <v>499</v>
      </c>
      <c r="I8440" t="s">
        <v>21</v>
      </c>
    </row>
    <row r="8441" spans="1:9" x14ac:dyDescent="0.25">
      <c r="A8441">
        <v>20140410</v>
      </c>
      <c r="B8441" t="str">
        <f>"115241"</f>
        <v>115241</v>
      </c>
      <c r="C8441" t="str">
        <f>"81411"</f>
        <v>81411</v>
      </c>
      <c r="D8441" t="s">
        <v>687</v>
      </c>
      <c r="E8441">
        <v>456</v>
      </c>
      <c r="F8441">
        <v>20140409</v>
      </c>
      <c r="G8441" t="s">
        <v>498</v>
      </c>
      <c r="H8441" t="s">
        <v>499</v>
      </c>
      <c r="I8441" t="s">
        <v>21</v>
      </c>
    </row>
    <row r="8442" spans="1:9" x14ac:dyDescent="0.25">
      <c r="A8442">
        <v>20140410</v>
      </c>
      <c r="B8442" t="str">
        <f>"115242"</f>
        <v>115242</v>
      </c>
      <c r="C8442" t="str">
        <f>"81481"</f>
        <v>81481</v>
      </c>
      <c r="D8442" t="s">
        <v>1803</v>
      </c>
      <c r="E8442">
        <v>229.5</v>
      </c>
      <c r="F8442">
        <v>20140409</v>
      </c>
      <c r="G8442" t="s">
        <v>1854</v>
      </c>
      <c r="H8442" t="s">
        <v>1805</v>
      </c>
      <c r="I8442" t="s">
        <v>25</v>
      </c>
    </row>
    <row r="8443" spans="1:9" x14ac:dyDescent="0.25">
      <c r="A8443">
        <v>20140410</v>
      </c>
      <c r="B8443" t="str">
        <f>"115242"</f>
        <v>115242</v>
      </c>
      <c r="C8443" t="str">
        <f>"81481"</f>
        <v>81481</v>
      </c>
      <c r="D8443" t="s">
        <v>1803</v>
      </c>
      <c r="E8443">
        <v>-229.5</v>
      </c>
      <c r="F8443">
        <v>20140411</v>
      </c>
      <c r="G8443" t="s">
        <v>1854</v>
      </c>
      <c r="H8443" t="s">
        <v>3955</v>
      </c>
      <c r="I8443" t="s">
        <v>25</v>
      </c>
    </row>
    <row r="8444" spans="1:9" x14ac:dyDescent="0.25">
      <c r="A8444">
        <v>20140410</v>
      </c>
      <c r="B8444" t="str">
        <f>"115243"</f>
        <v>115243</v>
      </c>
      <c r="C8444" t="str">
        <f>"87777"</f>
        <v>87777</v>
      </c>
      <c r="D8444" t="s">
        <v>3956</v>
      </c>
      <c r="E8444">
        <v>753</v>
      </c>
      <c r="F8444">
        <v>20140408</v>
      </c>
      <c r="G8444" t="s">
        <v>734</v>
      </c>
      <c r="H8444" t="s">
        <v>3957</v>
      </c>
      <c r="I8444" t="s">
        <v>21</v>
      </c>
    </row>
    <row r="8445" spans="1:9" x14ac:dyDescent="0.25">
      <c r="A8445">
        <v>20140410</v>
      </c>
      <c r="B8445" t="str">
        <f>"115244"</f>
        <v>115244</v>
      </c>
      <c r="C8445" t="str">
        <f>"68960"</f>
        <v>68960</v>
      </c>
      <c r="D8445" t="s">
        <v>689</v>
      </c>
      <c r="E8445">
        <v>57</v>
      </c>
      <c r="F8445">
        <v>20140404</v>
      </c>
      <c r="G8445" t="s">
        <v>356</v>
      </c>
      <c r="H8445" t="s">
        <v>357</v>
      </c>
      <c r="I8445" t="s">
        <v>61</v>
      </c>
    </row>
    <row r="8446" spans="1:9" x14ac:dyDescent="0.25">
      <c r="A8446">
        <v>20140410</v>
      </c>
      <c r="B8446" t="str">
        <f>"115244"</f>
        <v>115244</v>
      </c>
      <c r="C8446" t="str">
        <f>"68960"</f>
        <v>68960</v>
      </c>
      <c r="D8446" t="s">
        <v>689</v>
      </c>
      <c r="E8446">
        <v>72</v>
      </c>
      <c r="F8446">
        <v>20140409</v>
      </c>
      <c r="G8446" t="s">
        <v>356</v>
      </c>
      <c r="H8446" t="s">
        <v>357</v>
      </c>
      <c r="I8446" t="s">
        <v>61</v>
      </c>
    </row>
    <row r="8447" spans="1:9" x14ac:dyDescent="0.25">
      <c r="A8447">
        <v>20140410</v>
      </c>
      <c r="B8447" t="str">
        <f>"115245"</f>
        <v>115245</v>
      </c>
      <c r="C8447" t="str">
        <f>"86376"</f>
        <v>86376</v>
      </c>
      <c r="D8447" t="s">
        <v>1661</v>
      </c>
      <c r="E8447" s="1">
        <v>2677</v>
      </c>
      <c r="F8447">
        <v>20140407</v>
      </c>
      <c r="G8447" t="s">
        <v>1064</v>
      </c>
      <c r="H8447" t="s">
        <v>3958</v>
      </c>
      <c r="I8447" t="s">
        <v>21</v>
      </c>
    </row>
    <row r="8448" spans="1:9" x14ac:dyDescent="0.25">
      <c r="A8448">
        <v>20140410</v>
      </c>
      <c r="B8448" t="str">
        <f>"115245"</f>
        <v>115245</v>
      </c>
      <c r="C8448" t="str">
        <f>"86376"</f>
        <v>86376</v>
      </c>
      <c r="D8448" t="s">
        <v>1661</v>
      </c>
      <c r="E8448">
        <v>760</v>
      </c>
      <c r="F8448">
        <v>20140407</v>
      </c>
      <c r="G8448" t="s">
        <v>840</v>
      </c>
      <c r="H8448" t="s">
        <v>3959</v>
      </c>
      <c r="I8448" t="s">
        <v>21</v>
      </c>
    </row>
    <row r="8449" spans="1:9" x14ac:dyDescent="0.25">
      <c r="A8449">
        <v>20140410</v>
      </c>
      <c r="B8449" t="str">
        <f>"115245"</f>
        <v>115245</v>
      </c>
      <c r="C8449" t="str">
        <f>"86376"</f>
        <v>86376</v>
      </c>
      <c r="D8449" t="s">
        <v>1661</v>
      </c>
      <c r="E8449" s="1">
        <v>6475</v>
      </c>
      <c r="F8449">
        <v>20140408</v>
      </c>
      <c r="G8449" t="s">
        <v>1399</v>
      </c>
      <c r="H8449" t="s">
        <v>3960</v>
      </c>
      <c r="I8449" t="s">
        <v>21</v>
      </c>
    </row>
    <row r="8450" spans="1:9" x14ac:dyDescent="0.25">
      <c r="A8450">
        <v>20140410</v>
      </c>
      <c r="B8450" t="str">
        <f>"115246"</f>
        <v>115246</v>
      </c>
      <c r="C8450" t="str">
        <f>"81886"</f>
        <v>81886</v>
      </c>
      <c r="D8450" t="s">
        <v>1527</v>
      </c>
      <c r="E8450" s="1">
        <v>3430</v>
      </c>
      <c r="F8450">
        <v>20140403</v>
      </c>
      <c r="G8450" t="s">
        <v>746</v>
      </c>
      <c r="H8450" t="s">
        <v>555</v>
      </c>
      <c r="I8450" t="s">
        <v>21</v>
      </c>
    </row>
    <row r="8451" spans="1:9" x14ac:dyDescent="0.25">
      <c r="A8451">
        <v>20140410</v>
      </c>
      <c r="B8451" t="str">
        <f>"115247"</f>
        <v>115247</v>
      </c>
      <c r="C8451" t="str">
        <f>"86786"</f>
        <v>86786</v>
      </c>
      <c r="D8451" t="s">
        <v>3961</v>
      </c>
      <c r="E8451" s="1">
        <v>2090</v>
      </c>
      <c r="F8451">
        <v>20140404</v>
      </c>
      <c r="G8451" t="s">
        <v>3962</v>
      </c>
      <c r="H8451" t="s">
        <v>1228</v>
      </c>
      <c r="I8451" t="s">
        <v>79</v>
      </c>
    </row>
    <row r="8452" spans="1:9" x14ac:dyDescent="0.25">
      <c r="A8452">
        <v>20140410</v>
      </c>
      <c r="B8452" t="str">
        <f t="shared" ref="B8452:B8457" si="494">"115248"</f>
        <v>115248</v>
      </c>
      <c r="C8452" t="str">
        <f t="shared" ref="C8452:C8457" si="495">"69335"</f>
        <v>69335</v>
      </c>
      <c r="D8452" t="s">
        <v>958</v>
      </c>
      <c r="E8452">
        <v>220</v>
      </c>
      <c r="F8452">
        <v>20140404</v>
      </c>
      <c r="G8452" t="s">
        <v>2028</v>
      </c>
      <c r="H8452" t="s">
        <v>954</v>
      </c>
      <c r="I8452" t="s">
        <v>66</v>
      </c>
    </row>
    <row r="8453" spans="1:9" x14ac:dyDescent="0.25">
      <c r="A8453">
        <v>20140410</v>
      </c>
      <c r="B8453" t="str">
        <f t="shared" si="494"/>
        <v>115248</v>
      </c>
      <c r="C8453" t="str">
        <f t="shared" si="495"/>
        <v>69335</v>
      </c>
      <c r="D8453" t="s">
        <v>958</v>
      </c>
      <c r="E8453">
        <v>220</v>
      </c>
      <c r="F8453">
        <v>20140404</v>
      </c>
      <c r="G8453" t="s">
        <v>2028</v>
      </c>
      <c r="H8453" t="s">
        <v>954</v>
      </c>
      <c r="I8453" t="s">
        <v>66</v>
      </c>
    </row>
    <row r="8454" spans="1:9" x14ac:dyDescent="0.25">
      <c r="A8454">
        <v>20140410</v>
      </c>
      <c r="B8454" t="str">
        <f t="shared" si="494"/>
        <v>115248</v>
      </c>
      <c r="C8454" t="str">
        <f t="shared" si="495"/>
        <v>69335</v>
      </c>
      <c r="D8454" t="s">
        <v>958</v>
      </c>
      <c r="E8454">
        <v>220</v>
      </c>
      <c r="F8454">
        <v>20140404</v>
      </c>
      <c r="G8454" t="s">
        <v>2028</v>
      </c>
      <c r="H8454" t="s">
        <v>954</v>
      </c>
      <c r="I8454" t="s">
        <v>66</v>
      </c>
    </row>
    <row r="8455" spans="1:9" x14ac:dyDescent="0.25">
      <c r="A8455">
        <v>20140410</v>
      </c>
      <c r="B8455" t="str">
        <f t="shared" si="494"/>
        <v>115248</v>
      </c>
      <c r="C8455" t="str">
        <f t="shared" si="495"/>
        <v>69335</v>
      </c>
      <c r="D8455" t="s">
        <v>958</v>
      </c>
      <c r="E8455">
        <v>220</v>
      </c>
      <c r="F8455">
        <v>20140404</v>
      </c>
      <c r="G8455" t="s">
        <v>2028</v>
      </c>
      <c r="H8455" t="s">
        <v>954</v>
      </c>
      <c r="I8455" t="s">
        <v>66</v>
      </c>
    </row>
    <row r="8456" spans="1:9" x14ac:dyDescent="0.25">
      <c r="A8456">
        <v>20140410</v>
      </c>
      <c r="B8456" t="str">
        <f t="shared" si="494"/>
        <v>115248</v>
      </c>
      <c r="C8456" t="str">
        <f t="shared" si="495"/>
        <v>69335</v>
      </c>
      <c r="D8456" t="s">
        <v>958</v>
      </c>
      <c r="E8456">
        <v>220</v>
      </c>
      <c r="F8456">
        <v>20140404</v>
      </c>
      <c r="G8456" t="s">
        <v>2028</v>
      </c>
      <c r="H8456" t="s">
        <v>954</v>
      </c>
      <c r="I8456" t="s">
        <v>66</v>
      </c>
    </row>
    <row r="8457" spans="1:9" x14ac:dyDescent="0.25">
      <c r="A8457">
        <v>20140410</v>
      </c>
      <c r="B8457" t="str">
        <f t="shared" si="494"/>
        <v>115248</v>
      </c>
      <c r="C8457" t="str">
        <f t="shared" si="495"/>
        <v>69335</v>
      </c>
      <c r="D8457" t="s">
        <v>958</v>
      </c>
      <c r="E8457">
        <v>390</v>
      </c>
      <c r="F8457">
        <v>20140408</v>
      </c>
      <c r="G8457" t="s">
        <v>797</v>
      </c>
      <c r="H8457" t="s">
        <v>954</v>
      </c>
      <c r="I8457" t="s">
        <v>66</v>
      </c>
    </row>
    <row r="8458" spans="1:9" x14ac:dyDescent="0.25">
      <c r="A8458">
        <v>20140410</v>
      </c>
      <c r="B8458" t="str">
        <f>"115249"</f>
        <v>115249</v>
      </c>
      <c r="C8458" t="str">
        <f>"81398"</f>
        <v>81398</v>
      </c>
      <c r="D8458" t="s">
        <v>1154</v>
      </c>
      <c r="E8458">
        <v>159</v>
      </c>
      <c r="F8458">
        <v>20140408</v>
      </c>
      <c r="G8458" t="s">
        <v>1522</v>
      </c>
      <c r="H8458" t="s">
        <v>3963</v>
      </c>
      <c r="I8458" t="s">
        <v>21</v>
      </c>
    </row>
    <row r="8459" spans="1:9" x14ac:dyDescent="0.25">
      <c r="A8459">
        <v>20140410</v>
      </c>
      <c r="B8459" t="str">
        <f>"115249"</f>
        <v>115249</v>
      </c>
      <c r="C8459" t="str">
        <f>"81398"</f>
        <v>81398</v>
      </c>
      <c r="D8459" t="s">
        <v>1154</v>
      </c>
      <c r="E8459">
        <v>256</v>
      </c>
      <c r="F8459">
        <v>20140408</v>
      </c>
      <c r="G8459" t="s">
        <v>3964</v>
      </c>
      <c r="H8459" t="s">
        <v>3965</v>
      </c>
      <c r="I8459" t="s">
        <v>21</v>
      </c>
    </row>
    <row r="8460" spans="1:9" x14ac:dyDescent="0.25">
      <c r="A8460">
        <v>20140410</v>
      </c>
      <c r="B8460" t="str">
        <f t="shared" ref="B8460:B8470" si="496">"115250"</f>
        <v>115250</v>
      </c>
      <c r="C8460" t="str">
        <f t="shared" ref="C8460:C8470" si="497">"71850"</f>
        <v>71850</v>
      </c>
      <c r="D8460" t="s">
        <v>389</v>
      </c>
      <c r="E8460">
        <v>190</v>
      </c>
      <c r="F8460">
        <v>20140404</v>
      </c>
      <c r="G8460" t="s">
        <v>2028</v>
      </c>
      <c r="H8460" t="s">
        <v>954</v>
      </c>
      <c r="I8460" t="s">
        <v>66</v>
      </c>
    </row>
    <row r="8461" spans="1:9" x14ac:dyDescent="0.25">
      <c r="A8461">
        <v>20140410</v>
      </c>
      <c r="B8461" t="str">
        <f t="shared" si="496"/>
        <v>115250</v>
      </c>
      <c r="C8461" t="str">
        <f t="shared" si="497"/>
        <v>71850</v>
      </c>
      <c r="D8461" t="s">
        <v>389</v>
      </c>
      <c r="E8461">
        <v>190</v>
      </c>
      <c r="F8461">
        <v>20140404</v>
      </c>
      <c r="G8461" t="s">
        <v>2028</v>
      </c>
      <c r="H8461" t="s">
        <v>954</v>
      </c>
      <c r="I8461" t="s">
        <v>66</v>
      </c>
    </row>
    <row r="8462" spans="1:9" x14ac:dyDescent="0.25">
      <c r="A8462">
        <v>20140410</v>
      </c>
      <c r="B8462" t="str">
        <f t="shared" si="496"/>
        <v>115250</v>
      </c>
      <c r="C8462" t="str">
        <f t="shared" si="497"/>
        <v>71850</v>
      </c>
      <c r="D8462" t="s">
        <v>389</v>
      </c>
      <c r="E8462">
        <v>190</v>
      </c>
      <c r="F8462">
        <v>20140404</v>
      </c>
      <c r="G8462" t="s">
        <v>2028</v>
      </c>
      <c r="H8462" t="s">
        <v>954</v>
      </c>
      <c r="I8462" t="s">
        <v>66</v>
      </c>
    </row>
    <row r="8463" spans="1:9" x14ac:dyDescent="0.25">
      <c r="A8463">
        <v>20140410</v>
      </c>
      <c r="B8463" t="str">
        <f t="shared" si="496"/>
        <v>115250</v>
      </c>
      <c r="C8463" t="str">
        <f t="shared" si="497"/>
        <v>71850</v>
      </c>
      <c r="D8463" t="s">
        <v>389</v>
      </c>
      <c r="E8463">
        <v>190</v>
      </c>
      <c r="F8463">
        <v>20140404</v>
      </c>
      <c r="G8463" t="s">
        <v>2028</v>
      </c>
      <c r="H8463" t="s">
        <v>954</v>
      </c>
      <c r="I8463" t="s">
        <v>66</v>
      </c>
    </row>
    <row r="8464" spans="1:9" x14ac:dyDescent="0.25">
      <c r="A8464">
        <v>20140410</v>
      </c>
      <c r="B8464" t="str">
        <f t="shared" si="496"/>
        <v>115250</v>
      </c>
      <c r="C8464" t="str">
        <f t="shared" si="497"/>
        <v>71850</v>
      </c>
      <c r="D8464" t="s">
        <v>389</v>
      </c>
      <c r="E8464">
        <v>190</v>
      </c>
      <c r="F8464">
        <v>20140404</v>
      </c>
      <c r="G8464" t="s">
        <v>2028</v>
      </c>
      <c r="H8464" t="s">
        <v>954</v>
      </c>
      <c r="I8464" t="s">
        <v>66</v>
      </c>
    </row>
    <row r="8465" spans="1:9" x14ac:dyDescent="0.25">
      <c r="A8465">
        <v>20140410</v>
      </c>
      <c r="B8465" t="str">
        <f t="shared" si="496"/>
        <v>115250</v>
      </c>
      <c r="C8465" t="str">
        <f t="shared" si="497"/>
        <v>71850</v>
      </c>
      <c r="D8465" t="s">
        <v>389</v>
      </c>
      <c r="E8465">
        <v>190</v>
      </c>
      <c r="F8465">
        <v>20140409</v>
      </c>
      <c r="G8465" t="s">
        <v>797</v>
      </c>
      <c r="H8465" t="s">
        <v>954</v>
      </c>
      <c r="I8465" t="s">
        <v>66</v>
      </c>
    </row>
    <row r="8466" spans="1:9" x14ac:dyDescent="0.25">
      <c r="A8466">
        <v>20140410</v>
      </c>
      <c r="B8466" t="str">
        <f t="shared" si="496"/>
        <v>115250</v>
      </c>
      <c r="C8466" t="str">
        <f t="shared" si="497"/>
        <v>71850</v>
      </c>
      <c r="D8466" t="s">
        <v>389</v>
      </c>
      <c r="E8466">
        <v>190</v>
      </c>
      <c r="F8466">
        <v>20140409</v>
      </c>
      <c r="G8466" t="s">
        <v>922</v>
      </c>
      <c r="H8466" t="s">
        <v>954</v>
      </c>
      <c r="I8466" t="s">
        <v>66</v>
      </c>
    </row>
    <row r="8467" spans="1:9" x14ac:dyDescent="0.25">
      <c r="A8467">
        <v>20140410</v>
      </c>
      <c r="B8467" t="str">
        <f t="shared" si="496"/>
        <v>115250</v>
      </c>
      <c r="C8467" t="str">
        <f t="shared" si="497"/>
        <v>71850</v>
      </c>
      <c r="D8467" t="s">
        <v>389</v>
      </c>
      <c r="E8467">
        <v>190</v>
      </c>
      <c r="F8467">
        <v>20140409</v>
      </c>
      <c r="G8467" t="s">
        <v>923</v>
      </c>
      <c r="H8467" t="s">
        <v>954</v>
      </c>
      <c r="I8467" t="s">
        <v>66</v>
      </c>
    </row>
    <row r="8468" spans="1:9" x14ac:dyDescent="0.25">
      <c r="A8468">
        <v>20140410</v>
      </c>
      <c r="B8468" t="str">
        <f t="shared" si="496"/>
        <v>115250</v>
      </c>
      <c r="C8468" t="str">
        <f t="shared" si="497"/>
        <v>71850</v>
      </c>
      <c r="D8468" t="s">
        <v>389</v>
      </c>
      <c r="E8468">
        <v>190</v>
      </c>
      <c r="F8468">
        <v>20140409</v>
      </c>
      <c r="G8468" t="s">
        <v>924</v>
      </c>
      <c r="H8468" t="s">
        <v>954</v>
      </c>
      <c r="I8468" t="s">
        <v>66</v>
      </c>
    </row>
    <row r="8469" spans="1:9" x14ac:dyDescent="0.25">
      <c r="A8469">
        <v>20140410</v>
      </c>
      <c r="B8469" t="str">
        <f t="shared" si="496"/>
        <v>115250</v>
      </c>
      <c r="C8469" t="str">
        <f t="shared" si="497"/>
        <v>71850</v>
      </c>
      <c r="D8469" t="s">
        <v>389</v>
      </c>
      <c r="E8469">
        <v>190</v>
      </c>
      <c r="F8469">
        <v>20140409</v>
      </c>
      <c r="G8469" t="s">
        <v>925</v>
      </c>
      <c r="H8469" t="s">
        <v>954</v>
      </c>
      <c r="I8469" t="s">
        <v>66</v>
      </c>
    </row>
    <row r="8470" spans="1:9" x14ac:dyDescent="0.25">
      <c r="A8470">
        <v>20140410</v>
      </c>
      <c r="B8470" t="str">
        <f t="shared" si="496"/>
        <v>115250</v>
      </c>
      <c r="C8470" t="str">
        <f t="shared" si="497"/>
        <v>71850</v>
      </c>
      <c r="D8470" t="s">
        <v>389</v>
      </c>
      <c r="E8470">
        <v>190</v>
      </c>
      <c r="F8470">
        <v>20140409</v>
      </c>
      <c r="G8470" t="s">
        <v>2895</v>
      </c>
      <c r="H8470" t="s">
        <v>954</v>
      </c>
      <c r="I8470" t="s">
        <v>66</v>
      </c>
    </row>
    <row r="8471" spans="1:9" x14ac:dyDescent="0.25">
      <c r="A8471">
        <v>20140410</v>
      </c>
      <c r="B8471" t="str">
        <f>"115251"</f>
        <v>115251</v>
      </c>
      <c r="C8471" t="str">
        <f>"86596"</f>
        <v>86596</v>
      </c>
      <c r="D8471" t="s">
        <v>1683</v>
      </c>
      <c r="E8471">
        <v>450.23</v>
      </c>
      <c r="F8471">
        <v>20140409</v>
      </c>
      <c r="G8471" t="s">
        <v>1684</v>
      </c>
      <c r="H8471" t="s">
        <v>1685</v>
      </c>
      <c r="I8471" t="s">
        <v>21</v>
      </c>
    </row>
    <row r="8472" spans="1:9" x14ac:dyDescent="0.25">
      <c r="A8472">
        <v>20140410</v>
      </c>
      <c r="B8472" t="str">
        <f>"115251"</f>
        <v>115251</v>
      </c>
      <c r="C8472" t="str">
        <f>"86596"</f>
        <v>86596</v>
      </c>
      <c r="D8472" t="s">
        <v>1683</v>
      </c>
      <c r="E8472" s="1">
        <v>1500.63</v>
      </c>
      <c r="F8472">
        <v>20140409</v>
      </c>
      <c r="G8472" t="s">
        <v>1684</v>
      </c>
      <c r="H8472" t="s">
        <v>1685</v>
      </c>
      <c r="I8472" t="s">
        <v>21</v>
      </c>
    </row>
    <row r="8473" spans="1:9" x14ac:dyDescent="0.25">
      <c r="A8473">
        <v>20140410</v>
      </c>
      <c r="B8473" t="str">
        <f>"115252"</f>
        <v>115252</v>
      </c>
      <c r="C8473" t="str">
        <f>"87217"</f>
        <v>87217</v>
      </c>
      <c r="D8473" t="s">
        <v>1826</v>
      </c>
      <c r="E8473">
        <v>54.39</v>
      </c>
      <c r="F8473">
        <v>20140409</v>
      </c>
      <c r="G8473" t="s">
        <v>289</v>
      </c>
      <c r="H8473" t="s">
        <v>354</v>
      </c>
      <c r="I8473" t="s">
        <v>38</v>
      </c>
    </row>
    <row r="8474" spans="1:9" x14ac:dyDescent="0.25">
      <c r="A8474">
        <v>20140410</v>
      </c>
      <c r="B8474" t="str">
        <f>"115252"</f>
        <v>115252</v>
      </c>
      <c r="C8474" t="str">
        <f>"87217"</f>
        <v>87217</v>
      </c>
      <c r="D8474" t="s">
        <v>1826</v>
      </c>
      <c r="E8474">
        <v>34.340000000000003</v>
      </c>
      <c r="F8474">
        <v>20140409</v>
      </c>
      <c r="G8474" t="s">
        <v>289</v>
      </c>
      <c r="H8474" t="s">
        <v>3966</v>
      </c>
      <c r="I8474" t="s">
        <v>38</v>
      </c>
    </row>
    <row r="8475" spans="1:9" x14ac:dyDescent="0.25">
      <c r="A8475">
        <v>20140410</v>
      </c>
      <c r="B8475" t="str">
        <f>"115253"</f>
        <v>115253</v>
      </c>
      <c r="C8475" t="str">
        <f>"86085"</f>
        <v>86085</v>
      </c>
      <c r="D8475" t="s">
        <v>703</v>
      </c>
      <c r="E8475">
        <v>76</v>
      </c>
      <c r="F8475">
        <v>20140409</v>
      </c>
      <c r="G8475" t="s">
        <v>367</v>
      </c>
      <c r="H8475" t="s">
        <v>357</v>
      </c>
      <c r="I8475" t="s">
        <v>21</v>
      </c>
    </row>
    <row r="8476" spans="1:9" x14ac:dyDescent="0.25">
      <c r="A8476">
        <v>20140410</v>
      </c>
      <c r="B8476" t="str">
        <f>"115253"</f>
        <v>115253</v>
      </c>
      <c r="C8476" t="str">
        <f>"86085"</f>
        <v>86085</v>
      </c>
      <c r="D8476" t="s">
        <v>703</v>
      </c>
      <c r="E8476">
        <v>76</v>
      </c>
      <c r="F8476">
        <v>20140409</v>
      </c>
      <c r="G8476" t="s">
        <v>704</v>
      </c>
      <c r="H8476" t="s">
        <v>357</v>
      </c>
      <c r="I8476" t="s">
        <v>21</v>
      </c>
    </row>
    <row r="8477" spans="1:9" x14ac:dyDescent="0.25">
      <c r="A8477">
        <v>20140410</v>
      </c>
      <c r="B8477" t="str">
        <f t="shared" ref="B8477:B8490" si="498">"115254"</f>
        <v>115254</v>
      </c>
      <c r="C8477" t="str">
        <f t="shared" ref="C8477:C8490" si="499">"82502"</f>
        <v>82502</v>
      </c>
      <c r="D8477" t="s">
        <v>706</v>
      </c>
      <c r="E8477">
        <v>7.5</v>
      </c>
      <c r="F8477">
        <v>20140403</v>
      </c>
      <c r="G8477" t="s">
        <v>340</v>
      </c>
      <c r="H8477" t="s">
        <v>3967</v>
      </c>
      <c r="I8477" t="s">
        <v>21</v>
      </c>
    </row>
    <row r="8478" spans="1:9" x14ac:dyDescent="0.25">
      <c r="A8478">
        <v>20140410</v>
      </c>
      <c r="B8478" t="str">
        <f t="shared" si="498"/>
        <v>115254</v>
      </c>
      <c r="C8478" t="str">
        <f t="shared" si="499"/>
        <v>82502</v>
      </c>
      <c r="D8478" t="s">
        <v>706</v>
      </c>
      <c r="E8478">
        <v>50</v>
      </c>
      <c r="F8478">
        <v>20140403</v>
      </c>
      <c r="G8478" t="s">
        <v>340</v>
      </c>
      <c r="H8478" t="s">
        <v>3967</v>
      </c>
      <c r="I8478" t="s">
        <v>21</v>
      </c>
    </row>
    <row r="8479" spans="1:9" x14ac:dyDescent="0.25">
      <c r="A8479">
        <v>20140410</v>
      </c>
      <c r="B8479" t="str">
        <f t="shared" si="498"/>
        <v>115254</v>
      </c>
      <c r="C8479" t="str">
        <f t="shared" si="499"/>
        <v>82502</v>
      </c>
      <c r="D8479" t="s">
        <v>706</v>
      </c>
      <c r="E8479">
        <v>25</v>
      </c>
      <c r="F8479">
        <v>20140403</v>
      </c>
      <c r="G8479" t="s">
        <v>340</v>
      </c>
      <c r="H8479" t="s">
        <v>3967</v>
      </c>
      <c r="I8479" t="s">
        <v>21</v>
      </c>
    </row>
    <row r="8480" spans="1:9" x14ac:dyDescent="0.25">
      <c r="A8480">
        <v>20140410</v>
      </c>
      <c r="B8480" t="str">
        <f t="shared" si="498"/>
        <v>115254</v>
      </c>
      <c r="C8480" t="str">
        <f t="shared" si="499"/>
        <v>82502</v>
      </c>
      <c r="D8480" t="s">
        <v>706</v>
      </c>
      <c r="E8480">
        <v>25</v>
      </c>
      <c r="F8480">
        <v>20140403</v>
      </c>
      <c r="G8480" t="s">
        <v>340</v>
      </c>
      <c r="H8480" t="s">
        <v>3967</v>
      </c>
      <c r="I8480" t="s">
        <v>21</v>
      </c>
    </row>
    <row r="8481" spans="1:9" x14ac:dyDescent="0.25">
      <c r="A8481">
        <v>20140410</v>
      </c>
      <c r="B8481" t="str">
        <f t="shared" si="498"/>
        <v>115254</v>
      </c>
      <c r="C8481" t="str">
        <f t="shared" si="499"/>
        <v>82502</v>
      </c>
      <c r="D8481" t="s">
        <v>706</v>
      </c>
      <c r="E8481">
        <v>7.5</v>
      </c>
      <c r="F8481">
        <v>20140403</v>
      </c>
      <c r="G8481" t="s">
        <v>340</v>
      </c>
      <c r="H8481" t="s">
        <v>3967</v>
      </c>
      <c r="I8481" t="s">
        <v>21</v>
      </c>
    </row>
    <row r="8482" spans="1:9" x14ac:dyDescent="0.25">
      <c r="A8482">
        <v>20140410</v>
      </c>
      <c r="B8482" t="str">
        <f t="shared" si="498"/>
        <v>115254</v>
      </c>
      <c r="C8482" t="str">
        <f t="shared" si="499"/>
        <v>82502</v>
      </c>
      <c r="D8482" t="s">
        <v>706</v>
      </c>
      <c r="E8482">
        <v>26</v>
      </c>
      <c r="F8482">
        <v>20140403</v>
      </c>
      <c r="G8482" t="s">
        <v>340</v>
      </c>
      <c r="H8482" t="s">
        <v>3967</v>
      </c>
      <c r="I8482" t="s">
        <v>21</v>
      </c>
    </row>
    <row r="8483" spans="1:9" x14ac:dyDescent="0.25">
      <c r="A8483">
        <v>20140410</v>
      </c>
      <c r="B8483" t="str">
        <f t="shared" si="498"/>
        <v>115254</v>
      </c>
      <c r="C8483" t="str">
        <f t="shared" si="499"/>
        <v>82502</v>
      </c>
      <c r="D8483" t="s">
        <v>706</v>
      </c>
      <c r="E8483">
        <v>40</v>
      </c>
      <c r="F8483">
        <v>20140403</v>
      </c>
      <c r="G8483" t="s">
        <v>340</v>
      </c>
      <c r="H8483" t="s">
        <v>3967</v>
      </c>
      <c r="I8483" t="s">
        <v>21</v>
      </c>
    </row>
    <row r="8484" spans="1:9" x14ac:dyDescent="0.25">
      <c r="A8484">
        <v>20140410</v>
      </c>
      <c r="B8484" t="str">
        <f t="shared" si="498"/>
        <v>115254</v>
      </c>
      <c r="C8484" t="str">
        <f t="shared" si="499"/>
        <v>82502</v>
      </c>
      <c r="D8484" t="s">
        <v>706</v>
      </c>
      <c r="E8484">
        <v>20</v>
      </c>
      <c r="F8484">
        <v>20140403</v>
      </c>
      <c r="G8484" t="s">
        <v>340</v>
      </c>
      <c r="H8484" t="s">
        <v>3967</v>
      </c>
      <c r="I8484" t="s">
        <v>21</v>
      </c>
    </row>
    <row r="8485" spans="1:9" x14ac:dyDescent="0.25">
      <c r="A8485">
        <v>20140410</v>
      </c>
      <c r="B8485" t="str">
        <f t="shared" si="498"/>
        <v>115254</v>
      </c>
      <c r="C8485" t="str">
        <f t="shared" si="499"/>
        <v>82502</v>
      </c>
      <c r="D8485" t="s">
        <v>706</v>
      </c>
      <c r="E8485">
        <v>50</v>
      </c>
      <c r="F8485">
        <v>20140403</v>
      </c>
      <c r="G8485" t="s">
        <v>340</v>
      </c>
      <c r="H8485" t="s">
        <v>3967</v>
      </c>
      <c r="I8485" t="s">
        <v>21</v>
      </c>
    </row>
    <row r="8486" spans="1:9" x14ac:dyDescent="0.25">
      <c r="A8486">
        <v>20140410</v>
      </c>
      <c r="B8486" t="str">
        <f t="shared" si="498"/>
        <v>115254</v>
      </c>
      <c r="C8486" t="str">
        <f t="shared" si="499"/>
        <v>82502</v>
      </c>
      <c r="D8486" t="s">
        <v>706</v>
      </c>
      <c r="E8486">
        <v>20</v>
      </c>
      <c r="F8486">
        <v>20140403</v>
      </c>
      <c r="G8486" t="s">
        <v>340</v>
      </c>
      <c r="H8486" t="s">
        <v>3967</v>
      </c>
      <c r="I8486" t="s">
        <v>21</v>
      </c>
    </row>
    <row r="8487" spans="1:9" x14ac:dyDescent="0.25">
      <c r="A8487">
        <v>20140410</v>
      </c>
      <c r="B8487" t="str">
        <f t="shared" si="498"/>
        <v>115254</v>
      </c>
      <c r="C8487" t="str">
        <f t="shared" si="499"/>
        <v>82502</v>
      </c>
      <c r="D8487" t="s">
        <v>706</v>
      </c>
      <c r="E8487">
        <v>50</v>
      </c>
      <c r="F8487">
        <v>20140403</v>
      </c>
      <c r="G8487" t="s">
        <v>340</v>
      </c>
      <c r="H8487" t="s">
        <v>3967</v>
      </c>
      <c r="I8487" t="s">
        <v>21</v>
      </c>
    </row>
    <row r="8488" spans="1:9" x14ac:dyDescent="0.25">
      <c r="A8488">
        <v>20140410</v>
      </c>
      <c r="B8488" t="str">
        <f t="shared" si="498"/>
        <v>115254</v>
      </c>
      <c r="C8488" t="str">
        <f t="shared" si="499"/>
        <v>82502</v>
      </c>
      <c r="D8488" t="s">
        <v>706</v>
      </c>
      <c r="E8488">
        <v>150</v>
      </c>
      <c r="F8488">
        <v>20140409</v>
      </c>
      <c r="G8488" t="s">
        <v>340</v>
      </c>
      <c r="H8488" t="s">
        <v>3968</v>
      </c>
      <c r="I8488" t="s">
        <v>21</v>
      </c>
    </row>
    <row r="8489" spans="1:9" x14ac:dyDescent="0.25">
      <c r="A8489">
        <v>20140410</v>
      </c>
      <c r="B8489" t="str">
        <f t="shared" si="498"/>
        <v>115254</v>
      </c>
      <c r="C8489" t="str">
        <f t="shared" si="499"/>
        <v>82502</v>
      </c>
      <c r="D8489" t="s">
        <v>706</v>
      </c>
      <c r="E8489">
        <v>7.5</v>
      </c>
      <c r="F8489">
        <v>20140409</v>
      </c>
      <c r="G8489" t="s">
        <v>340</v>
      </c>
      <c r="H8489" t="s">
        <v>707</v>
      </c>
      <c r="I8489" t="s">
        <v>21</v>
      </c>
    </row>
    <row r="8490" spans="1:9" x14ac:dyDescent="0.25">
      <c r="A8490">
        <v>20140410</v>
      </c>
      <c r="B8490" t="str">
        <f t="shared" si="498"/>
        <v>115254</v>
      </c>
      <c r="C8490" t="str">
        <f t="shared" si="499"/>
        <v>82502</v>
      </c>
      <c r="D8490" t="s">
        <v>706</v>
      </c>
      <c r="E8490">
        <v>7.5</v>
      </c>
      <c r="F8490">
        <v>20140403</v>
      </c>
      <c r="G8490" t="s">
        <v>413</v>
      </c>
      <c r="H8490" t="s">
        <v>3969</v>
      </c>
      <c r="I8490" t="s">
        <v>21</v>
      </c>
    </row>
    <row r="8491" spans="1:9" x14ac:dyDescent="0.25">
      <c r="A8491">
        <v>20140410</v>
      </c>
      <c r="B8491" t="str">
        <f>"115255"</f>
        <v>115255</v>
      </c>
      <c r="C8491" t="str">
        <f>"83933"</f>
        <v>83933</v>
      </c>
      <c r="D8491" t="s">
        <v>1539</v>
      </c>
      <c r="E8491" s="1">
        <v>1386</v>
      </c>
      <c r="F8491">
        <v>20140409</v>
      </c>
      <c r="G8491" t="s">
        <v>404</v>
      </c>
      <c r="H8491" t="s">
        <v>1540</v>
      </c>
      <c r="I8491" t="s">
        <v>12</v>
      </c>
    </row>
    <row r="8492" spans="1:9" x14ac:dyDescent="0.25">
      <c r="A8492">
        <v>20140410</v>
      </c>
      <c r="B8492" t="str">
        <f>"115256"</f>
        <v>115256</v>
      </c>
      <c r="C8492" t="str">
        <f>"75600"</f>
        <v>75600</v>
      </c>
      <c r="D8492" t="s">
        <v>714</v>
      </c>
      <c r="E8492">
        <v>559</v>
      </c>
      <c r="F8492">
        <v>20140403</v>
      </c>
      <c r="G8492" t="s">
        <v>498</v>
      </c>
      <c r="H8492" t="s">
        <v>499</v>
      </c>
      <c r="I8492" t="s">
        <v>21</v>
      </c>
    </row>
    <row r="8493" spans="1:9" x14ac:dyDescent="0.25">
      <c r="A8493">
        <v>20140410</v>
      </c>
      <c r="B8493" t="str">
        <f>"115256"</f>
        <v>115256</v>
      </c>
      <c r="C8493" t="str">
        <f>"75600"</f>
        <v>75600</v>
      </c>
      <c r="D8493" t="s">
        <v>714</v>
      </c>
      <c r="E8493">
        <v>27.98</v>
      </c>
      <c r="F8493">
        <v>20140403</v>
      </c>
      <c r="G8493" t="s">
        <v>498</v>
      </c>
      <c r="H8493" t="s">
        <v>499</v>
      </c>
      <c r="I8493" t="s">
        <v>21</v>
      </c>
    </row>
    <row r="8494" spans="1:9" x14ac:dyDescent="0.25">
      <c r="A8494">
        <v>20140410</v>
      </c>
      <c r="B8494" t="str">
        <f>"115256"</f>
        <v>115256</v>
      </c>
      <c r="C8494" t="str">
        <f>"75600"</f>
        <v>75600</v>
      </c>
      <c r="D8494" t="s">
        <v>714</v>
      </c>
      <c r="E8494">
        <v>160.43</v>
      </c>
      <c r="F8494">
        <v>20140403</v>
      </c>
      <c r="G8494" t="s">
        <v>498</v>
      </c>
      <c r="H8494" t="s">
        <v>499</v>
      </c>
      <c r="I8494" t="s">
        <v>21</v>
      </c>
    </row>
    <row r="8495" spans="1:9" x14ac:dyDescent="0.25">
      <c r="A8495">
        <v>20140410</v>
      </c>
      <c r="B8495" t="str">
        <f>"115257"</f>
        <v>115257</v>
      </c>
      <c r="C8495" t="str">
        <f>"75581"</f>
        <v>75581</v>
      </c>
      <c r="D8495" t="s">
        <v>391</v>
      </c>
      <c r="E8495" s="1">
        <v>1020.6</v>
      </c>
      <c r="F8495">
        <v>20140403</v>
      </c>
      <c r="G8495" t="s">
        <v>392</v>
      </c>
      <c r="H8495" t="s">
        <v>393</v>
      </c>
      <c r="I8495" t="s">
        <v>21</v>
      </c>
    </row>
    <row r="8496" spans="1:9" x14ac:dyDescent="0.25">
      <c r="A8496">
        <v>20140410</v>
      </c>
      <c r="B8496" t="str">
        <f>"115258"</f>
        <v>115258</v>
      </c>
      <c r="C8496" t="str">
        <f>"00372"</f>
        <v>00372</v>
      </c>
      <c r="D8496" t="s">
        <v>979</v>
      </c>
      <c r="E8496">
        <v>345</v>
      </c>
      <c r="F8496">
        <v>20140409</v>
      </c>
      <c r="G8496" t="s">
        <v>3970</v>
      </c>
      <c r="H8496" t="s">
        <v>1109</v>
      </c>
      <c r="I8496" t="s">
        <v>21</v>
      </c>
    </row>
    <row r="8497" spans="1:9" x14ac:dyDescent="0.25">
      <c r="A8497">
        <v>20140410</v>
      </c>
      <c r="B8497" t="str">
        <f>"115259"</f>
        <v>115259</v>
      </c>
      <c r="C8497" t="str">
        <f>"87189"</f>
        <v>87189</v>
      </c>
      <c r="D8497" t="s">
        <v>730</v>
      </c>
      <c r="E8497">
        <v>121.38</v>
      </c>
      <c r="F8497">
        <v>20140403</v>
      </c>
      <c r="G8497" t="s">
        <v>413</v>
      </c>
      <c r="H8497" t="s">
        <v>3971</v>
      </c>
      <c r="I8497" t="s">
        <v>21</v>
      </c>
    </row>
    <row r="8498" spans="1:9" x14ac:dyDescent="0.25">
      <c r="A8498">
        <v>20140410</v>
      </c>
      <c r="B8498" t="str">
        <f>"115259"</f>
        <v>115259</v>
      </c>
      <c r="C8498" t="str">
        <f>"87189"</f>
        <v>87189</v>
      </c>
      <c r="D8498" t="s">
        <v>730</v>
      </c>
      <c r="E8498">
        <v>212.56</v>
      </c>
      <c r="F8498">
        <v>20140403</v>
      </c>
      <c r="G8498" t="s">
        <v>482</v>
      </c>
      <c r="H8498" t="s">
        <v>2301</v>
      </c>
      <c r="I8498" t="s">
        <v>21</v>
      </c>
    </row>
    <row r="8499" spans="1:9" x14ac:dyDescent="0.25">
      <c r="A8499">
        <v>20140410</v>
      </c>
      <c r="B8499" t="str">
        <f>"115259"</f>
        <v>115259</v>
      </c>
      <c r="C8499" t="str">
        <f>"87189"</f>
        <v>87189</v>
      </c>
      <c r="D8499" t="s">
        <v>730</v>
      </c>
      <c r="E8499">
        <v>86.44</v>
      </c>
      <c r="F8499">
        <v>20140403</v>
      </c>
      <c r="G8499" t="s">
        <v>734</v>
      </c>
      <c r="H8499" t="s">
        <v>3972</v>
      </c>
      <c r="I8499" t="s">
        <v>21</v>
      </c>
    </row>
    <row r="8500" spans="1:9" x14ac:dyDescent="0.25">
      <c r="A8500">
        <v>20140410</v>
      </c>
      <c r="B8500" t="str">
        <f>"115260"</f>
        <v>115260</v>
      </c>
      <c r="C8500" t="str">
        <f>"76690"</f>
        <v>76690</v>
      </c>
      <c r="D8500" t="s">
        <v>1544</v>
      </c>
      <c r="E8500">
        <v>55.29</v>
      </c>
      <c r="F8500">
        <v>20140403</v>
      </c>
      <c r="G8500" t="s">
        <v>1222</v>
      </c>
      <c r="H8500" t="s">
        <v>3973</v>
      </c>
      <c r="I8500" t="s">
        <v>21</v>
      </c>
    </row>
    <row r="8501" spans="1:9" x14ac:dyDescent="0.25">
      <c r="A8501">
        <v>20140410</v>
      </c>
      <c r="B8501" t="str">
        <f>"115260"</f>
        <v>115260</v>
      </c>
      <c r="C8501" t="str">
        <f>"76690"</f>
        <v>76690</v>
      </c>
      <c r="D8501" t="s">
        <v>1544</v>
      </c>
      <c r="E8501">
        <v>83.6</v>
      </c>
      <c r="F8501">
        <v>20140409</v>
      </c>
      <c r="G8501" t="s">
        <v>631</v>
      </c>
      <c r="H8501" t="s">
        <v>3974</v>
      </c>
      <c r="I8501" t="s">
        <v>21</v>
      </c>
    </row>
    <row r="8502" spans="1:9" x14ac:dyDescent="0.25">
      <c r="A8502">
        <v>20140410</v>
      </c>
      <c r="B8502" t="str">
        <f>"115260"</f>
        <v>115260</v>
      </c>
      <c r="C8502" t="str">
        <f>"76690"</f>
        <v>76690</v>
      </c>
      <c r="D8502" t="s">
        <v>1544</v>
      </c>
      <c r="E8502">
        <v>468.54</v>
      </c>
      <c r="F8502">
        <v>20140403</v>
      </c>
      <c r="G8502" t="s">
        <v>392</v>
      </c>
      <c r="H8502" t="s">
        <v>1545</v>
      </c>
      <c r="I8502" t="s">
        <v>21</v>
      </c>
    </row>
    <row r="8503" spans="1:9" x14ac:dyDescent="0.25">
      <c r="A8503">
        <v>20140410</v>
      </c>
      <c r="B8503" t="str">
        <f>"115261"</f>
        <v>115261</v>
      </c>
      <c r="C8503" t="str">
        <f>"76775"</f>
        <v>76775</v>
      </c>
      <c r="D8503" t="s">
        <v>2308</v>
      </c>
      <c r="E8503">
        <v>575</v>
      </c>
      <c r="F8503">
        <v>20140409</v>
      </c>
      <c r="G8503" t="s">
        <v>450</v>
      </c>
      <c r="H8503" t="s">
        <v>3975</v>
      </c>
      <c r="I8503" t="s">
        <v>21</v>
      </c>
    </row>
    <row r="8504" spans="1:9" x14ac:dyDescent="0.25">
      <c r="A8504">
        <v>20140410</v>
      </c>
      <c r="B8504" t="str">
        <f>"115262"</f>
        <v>115262</v>
      </c>
      <c r="C8504" t="str">
        <f>"84819"</f>
        <v>84819</v>
      </c>
      <c r="D8504" t="s">
        <v>2899</v>
      </c>
      <c r="E8504">
        <v>90</v>
      </c>
      <c r="F8504">
        <v>20140409</v>
      </c>
      <c r="G8504" t="s">
        <v>3970</v>
      </c>
      <c r="H8504" t="s">
        <v>1109</v>
      </c>
      <c r="I8504" t="s">
        <v>21</v>
      </c>
    </row>
    <row r="8505" spans="1:9" x14ac:dyDescent="0.25">
      <c r="A8505">
        <v>20140410</v>
      </c>
      <c r="B8505" t="str">
        <f>"115263"</f>
        <v>115263</v>
      </c>
      <c r="C8505" t="str">
        <f>"86291"</f>
        <v>86291</v>
      </c>
      <c r="D8505" t="s">
        <v>3976</v>
      </c>
      <c r="E8505">
        <v>112.6</v>
      </c>
      <c r="F8505">
        <v>20140404</v>
      </c>
      <c r="G8505" t="s">
        <v>3743</v>
      </c>
      <c r="H8505" t="s">
        <v>765</v>
      </c>
      <c r="I8505" t="s">
        <v>61</v>
      </c>
    </row>
    <row r="8506" spans="1:9" x14ac:dyDescent="0.25">
      <c r="A8506">
        <v>20140410</v>
      </c>
      <c r="B8506" t="str">
        <f>"115264"</f>
        <v>115264</v>
      </c>
      <c r="C8506" t="str">
        <f>"76904"</f>
        <v>76904</v>
      </c>
      <c r="D8506" t="s">
        <v>1323</v>
      </c>
      <c r="E8506">
        <v>45</v>
      </c>
      <c r="F8506">
        <v>20140404</v>
      </c>
      <c r="G8506" t="s">
        <v>637</v>
      </c>
      <c r="H8506" t="s">
        <v>784</v>
      </c>
      <c r="I8506" t="s">
        <v>38</v>
      </c>
    </row>
    <row r="8507" spans="1:9" x14ac:dyDescent="0.25">
      <c r="A8507">
        <v>20140410</v>
      </c>
      <c r="B8507" t="str">
        <f>"115265"</f>
        <v>115265</v>
      </c>
      <c r="C8507" t="str">
        <f>"76915"</f>
        <v>76915</v>
      </c>
      <c r="D8507" t="s">
        <v>1324</v>
      </c>
      <c r="E8507">
        <v>965.38</v>
      </c>
      <c r="F8507">
        <v>20140404</v>
      </c>
      <c r="G8507" t="s">
        <v>413</v>
      </c>
      <c r="H8507" t="s">
        <v>414</v>
      </c>
      <c r="I8507" t="s">
        <v>21</v>
      </c>
    </row>
    <row r="8508" spans="1:9" x14ac:dyDescent="0.25">
      <c r="A8508">
        <v>20140410</v>
      </c>
      <c r="B8508" t="str">
        <f>"115266"</f>
        <v>115266</v>
      </c>
      <c r="C8508" t="str">
        <f>"77173"</f>
        <v>77173</v>
      </c>
      <c r="D8508" t="s">
        <v>741</v>
      </c>
      <c r="E8508">
        <v>434</v>
      </c>
      <c r="F8508">
        <v>20140403</v>
      </c>
      <c r="G8508" t="s">
        <v>742</v>
      </c>
      <c r="H8508" t="s">
        <v>743</v>
      </c>
      <c r="I8508" t="s">
        <v>21</v>
      </c>
    </row>
    <row r="8509" spans="1:9" x14ac:dyDescent="0.25">
      <c r="A8509">
        <v>20140410</v>
      </c>
      <c r="B8509" t="str">
        <f>"115266"</f>
        <v>115266</v>
      </c>
      <c r="C8509" t="str">
        <f>"77173"</f>
        <v>77173</v>
      </c>
      <c r="D8509" t="s">
        <v>741</v>
      </c>
      <c r="E8509">
        <v>566.12</v>
      </c>
      <c r="F8509">
        <v>20140403</v>
      </c>
      <c r="G8509" t="s">
        <v>742</v>
      </c>
      <c r="H8509" t="s">
        <v>743</v>
      </c>
      <c r="I8509" t="s">
        <v>21</v>
      </c>
    </row>
    <row r="8510" spans="1:9" x14ac:dyDescent="0.25">
      <c r="A8510">
        <v>20140410</v>
      </c>
      <c r="B8510" t="str">
        <f>"115266"</f>
        <v>115266</v>
      </c>
      <c r="C8510" t="str">
        <f>"77173"</f>
        <v>77173</v>
      </c>
      <c r="D8510" t="s">
        <v>741</v>
      </c>
      <c r="E8510" s="1">
        <v>1372.6</v>
      </c>
      <c r="F8510">
        <v>20140403</v>
      </c>
      <c r="G8510" t="s">
        <v>742</v>
      </c>
      <c r="H8510" t="s">
        <v>743</v>
      </c>
      <c r="I8510" t="s">
        <v>21</v>
      </c>
    </row>
    <row r="8511" spans="1:9" x14ac:dyDescent="0.25">
      <c r="A8511">
        <v>20140410</v>
      </c>
      <c r="B8511" t="str">
        <f>"115266"</f>
        <v>115266</v>
      </c>
      <c r="C8511" t="str">
        <f>"77173"</f>
        <v>77173</v>
      </c>
      <c r="D8511" t="s">
        <v>741</v>
      </c>
      <c r="E8511" s="1">
        <v>1505.14</v>
      </c>
      <c r="F8511">
        <v>20140403</v>
      </c>
      <c r="G8511" t="s">
        <v>742</v>
      </c>
      <c r="H8511" t="s">
        <v>743</v>
      </c>
      <c r="I8511" t="s">
        <v>21</v>
      </c>
    </row>
    <row r="8512" spans="1:9" x14ac:dyDescent="0.25">
      <c r="A8512">
        <v>20140410</v>
      </c>
      <c r="B8512" t="str">
        <f>"115267"</f>
        <v>115267</v>
      </c>
      <c r="C8512" t="str">
        <f>"77705"</f>
        <v>77705</v>
      </c>
      <c r="D8512" t="s">
        <v>2312</v>
      </c>
      <c r="E8512">
        <v>893.37</v>
      </c>
      <c r="F8512">
        <v>20140409</v>
      </c>
      <c r="G8512" t="s">
        <v>1271</v>
      </c>
      <c r="H8512" t="s">
        <v>525</v>
      </c>
      <c r="I8512" t="s">
        <v>21</v>
      </c>
    </row>
    <row r="8513" spans="1:9" x14ac:dyDescent="0.25">
      <c r="A8513">
        <v>20140410</v>
      </c>
      <c r="B8513" t="str">
        <f>"115268"</f>
        <v>115268</v>
      </c>
      <c r="C8513" t="str">
        <f>"86588"</f>
        <v>86588</v>
      </c>
      <c r="D8513" t="s">
        <v>3977</v>
      </c>
      <c r="E8513" s="1">
        <v>7955</v>
      </c>
      <c r="F8513">
        <v>20140409</v>
      </c>
      <c r="G8513" t="s">
        <v>511</v>
      </c>
      <c r="H8513" t="s">
        <v>3978</v>
      </c>
      <c r="I8513" t="s">
        <v>21</v>
      </c>
    </row>
    <row r="8514" spans="1:9" x14ac:dyDescent="0.25">
      <c r="A8514">
        <v>20140410</v>
      </c>
      <c r="B8514" t="str">
        <f>"115269"</f>
        <v>115269</v>
      </c>
      <c r="C8514" t="str">
        <f>"79625"</f>
        <v>79625</v>
      </c>
      <c r="D8514" t="s">
        <v>1331</v>
      </c>
      <c r="E8514">
        <v>60.84</v>
      </c>
      <c r="F8514">
        <v>20140403</v>
      </c>
      <c r="G8514" t="s">
        <v>1145</v>
      </c>
      <c r="H8514" t="s">
        <v>365</v>
      </c>
      <c r="I8514" t="s">
        <v>73</v>
      </c>
    </row>
    <row r="8515" spans="1:9" x14ac:dyDescent="0.25">
      <c r="A8515">
        <v>20140410</v>
      </c>
      <c r="B8515" t="str">
        <f>"115269"</f>
        <v>115269</v>
      </c>
      <c r="C8515" t="str">
        <f>"79625"</f>
        <v>79625</v>
      </c>
      <c r="D8515" t="s">
        <v>1331</v>
      </c>
      <c r="E8515">
        <v>103.5</v>
      </c>
      <c r="F8515">
        <v>20140404</v>
      </c>
      <c r="G8515" t="s">
        <v>1145</v>
      </c>
      <c r="H8515" t="s">
        <v>365</v>
      </c>
      <c r="I8515" t="s">
        <v>73</v>
      </c>
    </row>
    <row r="8516" spans="1:9" x14ac:dyDescent="0.25">
      <c r="A8516">
        <v>20140410</v>
      </c>
      <c r="B8516" t="str">
        <f>"115270"</f>
        <v>115270</v>
      </c>
      <c r="C8516" t="str">
        <f>"19200"</f>
        <v>19200</v>
      </c>
      <c r="D8516" t="s">
        <v>436</v>
      </c>
      <c r="E8516">
        <v>23.4</v>
      </c>
      <c r="F8516">
        <v>20140409</v>
      </c>
      <c r="G8516" t="s">
        <v>410</v>
      </c>
      <c r="H8516" t="s">
        <v>411</v>
      </c>
      <c r="I8516" t="s">
        <v>12</v>
      </c>
    </row>
    <row r="8517" spans="1:9" x14ac:dyDescent="0.25">
      <c r="A8517">
        <v>20140410</v>
      </c>
      <c r="B8517" t="str">
        <f>"115271"</f>
        <v>115271</v>
      </c>
      <c r="C8517" t="str">
        <f>"87369"</f>
        <v>87369</v>
      </c>
      <c r="D8517" t="s">
        <v>3979</v>
      </c>
      <c r="E8517">
        <v>880</v>
      </c>
      <c r="F8517">
        <v>20140409</v>
      </c>
      <c r="G8517" t="s">
        <v>2072</v>
      </c>
      <c r="H8517" t="s">
        <v>679</v>
      </c>
      <c r="I8517" t="s">
        <v>21</v>
      </c>
    </row>
    <row r="8518" spans="1:9" x14ac:dyDescent="0.25">
      <c r="A8518">
        <v>20140411</v>
      </c>
      <c r="B8518" t="str">
        <f>"115272"</f>
        <v>115272</v>
      </c>
      <c r="C8518" t="str">
        <f>"81481"</f>
        <v>81481</v>
      </c>
      <c r="D8518" t="s">
        <v>1803</v>
      </c>
      <c r="E8518">
        <v>229.5</v>
      </c>
      <c r="F8518">
        <v>20140410</v>
      </c>
      <c r="G8518" t="s">
        <v>1854</v>
      </c>
      <c r="H8518" t="s">
        <v>1207</v>
      </c>
      <c r="I8518" t="s">
        <v>25</v>
      </c>
    </row>
    <row r="8519" spans="1:9" x14ac:dyDescent="0.25">
      <c r="A8519">
        <v>20140417</v>
      </c>
      <c r="B8519" t="str">
        <f>"115273"</f>
        <v>115273</v>
      </c>
      <c r="C8519" t="str">
        <f>"00155"</f>
        <v>00155</v>
      </c>
      <c r="D8519" t="s">
        <v>443</v>
      </c>
      <c r="E8519" s="1">
        <v>15560</v>
      </c>
      <c r="F8519">
        <v>20140415</v>
      </c>
      <c r="G8519" t="s">
        <v>3899</v>
      </c>
      <c r="H8519" t="s">
        <v>3980</v>
      </c>
      <c r="I8519" t="s">
        <v>21</v>
      </c>
    </row>
    <row r="8520" spans="1:9" x14ac:dyDescent="0.25">
      <c r="A8520">
        <v>20140417</v>
      </c>
      <c r="B8520" t="str">
        <f>"115274"</f>
        <v>115274</v>
      </c>
      <c r="C8520" t="str">
        <f>"86997"</f>
        <v>86997</v>
      </c>
      <c r="D8520" t="s">
        <v>2098</v>
      </c>
      <c r="E8520">
        <v>201.64</v>
      </c>
      <c r="F8520">
        <v>20140411</v>
      </c>
      <c r="G8520" t="s">
        <v>3820</v>
      </c>
      <c r="H8520" t="s">
        <v>414</v>
      </c>
      <c r="I8520" t="s">
        <v>21</v>
      </c>
    </row>
    <row r="8521" spans="1:9" x14ac:dyDescent="0.25">
      <c r="A8521">
        <v>20140417</v>
      </c>
      <c r="B8521" t="str">
        <f>"115275"</f>
        <v>115275</v>
      </c>
      <c r="C8521" t="str">
        <f>"86357"</f>
        <v>86357</v>
      </c>
      <c r="D8521" t="s">
        <v>3981</v>
      </c>
      <c r="E8521">
        <v>395</v>
      </c>
      <c r="F8521">
        <v>20140411</v>
      </c>
      <c r="G8521" t="s">
        <v>734</v>
      </c>
      <c r="H8521" t="s">
        <v>3982</v>
      </c>
      <c r="I8521" t="s">
        <v>21</v>
      </c>
    </row>
    <row r="8522" spans="1:9" x14ac:dyDescent="0.25">
      <c r="A8522">
        <v>20140417</v>
      </c>
      <c r="B8522" t="str">
        <f>"115276"</f>
        <v>115276</v>
      </c>
      <c r="C8522" t="str">
        <f>"01890"</f>
        <v>01890</v>
      </c>
      <c r="D8522" t="s">
        <v>447</v>
      </c>
      <c r="E8522">
        <v>159.88999999999999</v>
      </c>
      <c r="F8522">
        <v>20140415</v>
      </c>
      <c r="G8522" t="s">
        <v>448</v>
      </c>
      <c r="H8522" t="s">
        <v>414</v>
      </c>
      <c r="I8522" t="s">
        <v>21</v>
      </c>
    </row>
    <row r="8523" spans="1:9" x14ac:dyDescent="0.25">
      <c r="A8523">
        <v>20140417</v>
      </c>
      <c r="B8523" t="str">
        <f>"115276"</f>
        <v>115276</v>
      </c>
      <c r="C8523" t="str">
        <f>"01890"</f>
        <v>01890</v>
      </c>
      <c r="D8523" t="s">
        <v>447</v>
      </c>
      <c r="E8523">
        <v>151.21</v>
      </c>
      <c r="F8523">
        <v>20140411</v>
      </c>
      <c r="G8523" t="s">
        <v>496</v>
      </c>
      <c r="H8523" t="s">
        <v>414</v>
      </c>
      <c r="I8523" t="s">
        <v>21</v>
      </c>
    </row>
    <row r="8524" spans="1:9" x14ac:dyDescent="0.25">
      <c r="A8524">
        <v>20140417</v>
      </c>
      <c r="B8524" t="str">
        <f>"115276"</f>
        <v>115276</v>
      </c>
      <c r="C8524" t="str">
        <f>"01890"</f>
        <v>01890</v>
      </c>
      <c r="D8524" t="s">
        <v>447</v>
      </c>
      <c r="E8524">
        <v>151.21</v>
      </c>
      <c r="F8524">
        <v>20140411</v>
      </c>
      <c r="G8524" t="s">
        <v>496</v>
      </c>
      <c r="H8524" t="s">
        <v>414</v>
      </c>
      <c r="I8524" t="s">
        <v>21</v>
      </c>
    </row>
    <row r="8525" spans="1:9" x14ac:dyDescent="0.25">
      <c r="A8525">
        <v>20140417</v>
      </c>
      <c r="B8525" t="str">
        <f>"115277"</f>
        <v>115277</v>
      </c>
      <c r="C8525" t="str">
        <f>"52460"</f>
        <v>52460</v>
      </c>
      <c r="D8525" t="s">
        <v>452</v>
      </c>
      <c r="E8525">
        <v>34.700000000000003</v>
      </c>
      <c r="F8525">
        <v>20140411</v>
      </c>
      <c r="G8525" t="s">
        <v>145</v>
      </c>
      <c r="H8525" t="s">
        <v>997</v>
      </c>
      <c r="I8525" t="s">
        <v>38</v>
      </c>
    </row>
    <row r="8526" spans="1:9" x14ac:dyDescent="0.25">
      <c r="A8526">
        <v>20140417</v>
      </c>
      <c r="B8526" t="str">
        <f>"115278"</f>
        <v>115278</v>
      </c>
      <c r="C8526" t="str">
        <f>"87466"</f>
        <v>87466</v>
      </c>
      <c r="D8526" t="s">
        <v>468</v>
      </c>
      <c r="E8526">
        <v>120</v>
      </c>
      <c r="F8526">
        <v>20140416</v>
      </c>
      <c r="G8526" t="s">
        <v>469</v>
      </c>
      <c r="H8526" t="s">
        <v>501</v>
      </c>
      <c r="I8526" t="s">
        <v>21</v>
      </c>
    </row>
    <row r="8527" spans="1:9" x14ac:dyDescent="0.25">
      <c r="A8527">
        <v>20140417</v>
      </c>
      <c r="B8527" t="str">
        <f t="shared" ref="B8527:B8538" si="500">"115279"</f>
        <v>115279</v>
      </c>
      <c r="C8527" t="str">
        <f t="shared" ref="C8527:C8538" si="501">"84047"</f>
        <v>84047</v>
      </c>
      <c r="D8527" t="s">
        <v>472</v>
      </c>
      <c r="E8527">
        <v>255.75</v>
      </c>
      <c r="F8527">
        <v>20140415</v>
      </c>
      <c r="G8527" t="s">
        <v>473</v>
      </c>
      <c r="H8527" t="s">
        <v>474</v>
      </c>
      <c r="I8527" t="s">
        <v>21</v>
      </c>
    </row>
    <row r="8528" spans="1:9" x14ac:dyDescent="0.25">
      <c r="A8528">
        <v>20140417</v>
      </c>
      <c r="B8528" t="str">
        <f t="shared" si="500"/>
        <v>115279</v>
      </c>
      <c r="C8528" t="str">
        <f t="shared" si="501"/>
        <v>84047</v>
      </c>
      <c r="D8528" t="s">
        <v>472</v>
      </c>
      <c r="E8528">
        <v>150.15</v>
      </c>
      <c r="F8528">
        <v>20140415</v>
      </c>
      <c r="G8528" t="s">
        <v>475</v>
      </c>
      <c r="H8528" t="s">
        <v>474</v>
      </c>
      <c r="I8528" t="s">
        <v>21</v>
      </c>
    </row>
    <row r="8529" spans="1:9" x14ac:dyDescent="0.25">
      <c r="A8529">
        <v>20140417</v>
      </c>
      <c r="B8529" t="str">
        <f t="shared" si="500"/>
        <v>115279</v>
      </c>
      <c r="C8529" t="str">
        <f t="shared" si="501"/>
        <v>84047</v>
      </c>
      <c r="D8529" t="s">
        <v>472</v>
      </c>
      <c r="E8529">
        <v>154.55000000000001</v>
      </c>
      <c r="F8529">
        <v>20140415</v>
      </c>
      <c r="G8529" t="s">
        <v>476</v>
      </c>
      <c r="H8529" t="s">
        <v>474</v>
      </c>
      <c r="I8529" t="s">
        <v>21</v>
      </c>
    </row>
    <row r="8530" spans="1:9" x14ac:dyDescent="0.25">
      <c r="A8530">
        <v>20140417</v>
      </c>
      <c r="B8530" t="str">
        <f t="shared" si="500"/>
        <v>115279</v>
      </c>
      <c r="C8530" t="str">
        <f t="shared" si="501"/>
        <v>84047</v>
      </c>
      <c r="D8530" t="s">
        <v>472</v>
      </c>
      <c r="E8530">
        <v>150.15</v>
      </c>
      <c r="F8530">
        <v>20140415</v>
      </c>
      <c r="G8530" t="s">
        <v>477</v>
      </c>
      <c r="H8530" t="s">
        <v>474</v>
      </c>
      <c r="I8530" t="s">
        <v>21</v>
      </c>
    </row>
    <row r="8531" spans="1:9" x14ac:dyDescent="0.25">
      <c r="A8531">
        <v>20140417</v>
      </c>
      <c r="B8531" t="str">
        <f t="shared" si="500"/>
        <v>115279</v>
      </c>
      <c r="C8531" t="str">
        <f t="shared" si="501"/>
        <v>84047</v>
      </c>
      <c r="D8531" t="s">
        <v>472</v>
      </c>
      <c r="E8531">
        <v>183.7</v>
      </c>
      <c r="F8531">
        <v>20140415</v>
      </c>
      <c r="G8531" t="s">
        <v>478</v>
      </c>
      <c r="H8531" t="s">
        <v>474</v>
      </c>
      <c r="I8531" t="s">
        <v>21</v>
      </c>
    </row>
    <row r="8532" spans="1:9" x14ac:dyDescent="0.25">
      <c r="A8532">
        <v>20140417</v>
      </c>
      <c r="B8532" t="str">
        <f t="shared" si="500"/>
        <v>115279</v>
      </c>
      <c r="C8532" t="str">
        <f t="shared" si="501"/>
        <v>84047</v>
      </c>
      <c r="D8532" t="s">
        <v>472</v>
      </c>
      <c r="E8532">
        <v>150.15</v>
      </c>
      <c r="F8532">
        <v>20140415</v>
      </c>
      <c r="G8532" t="s">
        <v>479</v>
      </c>
      <c r="H8532" t="s">
        <v>474</v>
      </c>
      <c r="I8532" t="s">
        <v>21</v>
      </c>
    </row>
    <row r="8533" spans="1:9" x14ac:dyDescent="0.25">
      <c r="A8533">
        <v>20140417</v>
      </c>
      <c r="B8533" t="str">
        <f t="shared" si="500"/>
        <v>115279</v>
      </c>
      <c r="C8533" t="str">
        <f t="shared" si="501"/>
        <v>84047</v>
      </c>
      <c r="D8533" t="s">
        <v>472</v>
      </c>
      <c r="E8533">
        <v>150.15</v>
      </c>
      <c r="F8533">
        <v>20140415</v>
      </c>
      <c r="G8533" t="s">
        <v>480</v>
      </c>
      <c r="H8533" t="s">
        <v>474</v>
      </c>
      <c r="I8533" t="s">
        <v>21</v>
      </c>
    </row>
    <row r="8534" spans="1:9" x14ac:dyDescent="0.25">
      <c r="A8534">
        <v>20140417</v>
      </c>
      <c r="B8534" t="str">
        <f t="shared" si="500"/>
        <v>115279</v>
      </c>
      <c r="C8534" t="str">
        <f t="shared" si="501"/>
        <v>84047</v>
      </c>
      <c r="D8534" t="s">
        <v>472</v>
      </c>
      <c r="E8534">
        <v>150.15</v>
      </c>
      <c r="F8534">
        <v>20140415</v>
      </c>
      <c r="G8534" t="s">
        <v>481</v>
      </c>
      <c r="H8534" t="s">
        <v>474</v>
      </c>
      <c r="I8534" t="s">
        <v>21</v>
      </c>
    </row>
    <row r="8535" spans="1:9" x14ac:dyDescent="0.25">
      <c r="A8535">
        <v>20140417</v>
      </c>
      <c r="B8535" t="str">
        <f t="shared" si="500"/>
        <v>115279</v>
      </c>
      <c r="C8535" t="str">
        <f t="shared" si="501"/>
        <v>84047</v>
      </c>
      <c r="D8535" t="s">
        <v>472</v>
      </c>
      <c r="E8535">
        <v>87.45</v>
      </c>
      <c r="F8535">
        <v>20140415</v>
      </c>
      <c r="G8535" t="s">
        <v>482</v>
      </c>
      <c r="H8535" t="s">
        <v>474</v>
      </c>
      <c r="I8535" t="s">
        <v>21</v>
      </c>
    </row>
    <row r="8536" spans="1:9" x14ac:dyDescent="0.25">
      <c r="A8536">
        <v>20140417</v>
      </c>
      <c r="B8536" t="str">
        <f t="shared" si="500"/>
        <v>115279</v>
      </c>
      <c r="C8536" t="str">
        <f t="shared" si="501"/>
        <v>84047</v>
      </c>
      <c r="D8536" t="s">
        <v>472</v>
      </c>
      <c r="E8536">
        <v>150.15</v>
      </c>
      <c r="F8536">
        <v>20140415</v>
      </c>
      <c r="G8536" t="s">
        <v>483</v>
      </c>
      <c r="H8536" t="s">
        <v>474</v>
      </c>
      <c r="I8536" t="s">
        <v>21</v>
      </c>
    </row>
    <row r="8537" spans="1:9" x14ac:dyDescent="0.25">
      <c r="A8537">
        <v>20140417</v>
      </c>
      <c r="B8537" t="str">
        <f t="shared" si="500"/>
        <v>115279</v>
      </c>
      <c r="C8537" t="str">
        <f t="shared" si="501"/>
        <v>84047</v>
      </c>
      <c r="D8537" t="s">
        <v>472</v>
      </c>
      <c r="E8537">
        <v>177.65</v>
      </c>
      <c r="F8537">
        <v>20140415</v>
      </c>
      <c r="G8537" t="s">
        <v>484</v>
      </c>
      <c r="H8537" t="s">
        <v>474</v>
      </c>
      <c r="I8537" t="s">
        <v>21</v>
      </c>
    </row>
    <row r="8538" spans="1:9" x14ac:dyDescent="0.25">
      <c r="A8538">
        <v>20140417</v>
      </c>
      <c r="B8538" t="str">
        <f t="shared" si="500"/>
        <v>115279</v>
      </c>
      <c r="C8538" t="str">
        <f t="shared" si="501"/>
        <v>84047</v>
      </c>
      <c r="D8538" t="s">
        <v>472</v>
      </c>
      <c r="E8538">
        <v>123.75</v>
      </c>
      <c r="F8538">
        <v>20140415</v>
      </c>
      <c r="G8538" t="s">
        <v>485</v>
      </c>
      <c r="H8538" t="s">
        <v>474</v>
      </c>
      <c r="I8538" t="s">
        <v>21</v>
      </c>
    </row>
    <row r="8539" spans="1:9" x14ac:dyDescent="0.25">
      <c r="A8539">
        <v>20140417</v>
      </c>
      <c r="B8539" t="str">
        <f>"115280"</f>
        <v>115280</v>
      </c>
      <c r="C8539" t="str">
        <f>"00255"</f>
        <v>00255</v>
      </c>
      <c r="D8539" t="s">
        <v>489</v>
      </c>
      <c r="E8539" s="1">
        <v>1172.8599999999999</v>
      </c>
      <c r="F8539">
        <v>20140411</v>
      </c>
      <c r="G8539" t="s">
        <v>491</v>
      </c>
      <c r="H8539" t="s">
        <v>488</v>
      </c>
      <c r="I8539" t="s">
        <v>21</v>
      </c>
    </row>
    <row r="8540" spans="1:9" x14ac:dyDescent="0.25">
      <c r="A8540">
        <v>20140417</v>
      </c>
      <c r="B8540" t="str">
        <f>"115280"</f>
        <v>115280</v>
      </c>
      <c r="C8540" t="str">
        <f>"00255"</f>
        <v>00255</v>
      </c>
      <c r="D8540" t="s">
        <v>489</v>
      </c>
      <c r="E8540" s="1">
        <v>1495.84</v>
      </c>
      <c r="F8540">
        <v>20140411</v>
      </c>
      <c r="G8540" t="s">
        <v>493</v>
      </c>
      <c r="H8540" t="s">
        <v>488</v>
      </c>
      <c r="I8540" t="s">
        <v>21</v>
      </c>
    </row>
    <row r="8541" spans="1:9" x14ac:dyDescent="0.25">
      <c r="A8541">
        <v>20140417</v>
      </c>
      <c r="B8541" t="str">
        <f>"115280"</f>
        <v>115280</v>
      </c>
      <c r="C8541" t="str">
        <f>"00255"</f>
        <v>00255</v>
      </c>
      <c r="D8541" t="s">
        <v>489</v>
      </c>
      <c r="E8541">
        <v>223.81</v>
      </c>
      <c r="F8541">
        <v>20140411</v>
      </c>
      <c r="G8541" t="s">
        <v>771</v>
      </c>
      <c r="H8541" t="s">
        <v>488</v>
      </c>
      <c r="I8541" t="s">
        <v>21</v>
      </c>
    </row>
    <row r="8542" spans="1:9" x14ac:dyDescent="0.25">
      <c r="A8542">
        <v>20140417</v>
      </c>
      <c r="B8542" t="str">
        <f>"115280"</f>
        <v>115280</v>
      </c>
      <c r="C8542" t="str">
        <f>"00255"</f>
        <v>00255</v>
      </c>
      <c r="D8542" t="s">
        <v>489</v>
      </c>
      <c r="E8542">
        <v>682.14</v>
      </c>
      <c r="F8542">
        <v>20140411</v>
      </c>
      <c r="G8542" t="s">
        <v>494</v>
      </c>
      <c r="H8542" t="s">
        <v>488</v>
      </c>
      <c r="I8542" t="s">
        <v>21</v>
      </c>
    </row>
    <row r="8543" spans="1:9" x14ac:dyDescent="0.25">
      <c r="A8543">
        <v>20140417</v>
      </c>
      <c r="B8543" t="str">
        <f>"115281"</f>
        <v>115281</v>
      </c>
      <c r="C8543" t="str">
        <f>"87465"</f>
        <v>87465</v>
      </c>
      <c r="D8543" t="s">
        <v>500</v>
      </c>
      <c r="E8543">
        <v>120</v>
      </c>
      <c r="F8543">
        <v>20140416</v>
      </c>
      <c r="G8543" t="s">
        <v>469</v>
      </c>
      <c r="H8543" t="s">
        <v>501</v>
      </c>
      <c r="I8543" t="s">
        <v>21</v>
      </c>
    </row>
    <row r="8544" spans="1:9" x14ac:dyDescent="0.25">
      <c r="A8544">
        <v>20140417</v>
      </c>
      <c r="B8544" t="str">
        <f>"115282"</f>
        <v>115282</v>
      </c>
      <c r="C8544" t="str">
        <f>"84154"</f>
        <v>84154</v>
      </c>
      <c r="D8544" t="s">
        <v>3983</v>
      </c>
      <c r="E8544">
        <v>39.9</v>
      </c>
      <c r="F8544">
        <v>20140416</v>
      </c>
      <c r="G8544" t="s">
        <v>582</v>
      </c>
      <c r="H8544" t="s">
        <v>354</v>
      </c>
      <c r="I8544" t="s">
        <v>21</v>
      </c>
    </row>
    <row r="8545" spans="1:9" x14ac:dyDescent="0.25">
      <c r="A8545">
        <v>20140417</v>
      </c>
      <c r="B8545" t="str">
        <f>"115283"</f>
        <v>115283</v>
      </c>
      <c r="C8545" t="str">
        <f>"11851"</f>
        <v>11851</v>
      </c>
      <c r="D8545" t="s">
        <v>342</v>
      </c>
      <c r="E8545">
        <v>124</v>
      </c>
      <c r="F8545">
        <v>20140415</v>
      </c>
      <c r="G8545" t="s">
        <v>214</v>
      </c>
      <c r="H8545" t="s">
        <v>1029</v>
      </c>
      <c r="I8545" t="s">
        <v>38</v>
      </c>
    </row>
    <row r="8546" spans="1:9" x14ac:dyDescent="0.25">
      <c r="A8546">
        <v>20140417</v>
      </c>
      <c r="B8546" t="str">
        <f>"115284"</f>
        <v>115284</v>
      </c>
      <c r="C8546" t="str">
        <f>"12140"</f>
        <v>12140</v>
      </c>
      <c r="D8546" t="s">
        <v>406</v>
      </c>
      <c r="E8546" s="1">
        <v>33864.39</v>
      </c>
      <c r="F8546">
        <v>20140415</v>
      </c>
      <c r="G8546" t="s">
        <v>404</v>
      </c>
      <c r="H8546" t="s">
        <v>408</v>
      </c>
      <c r="I8546" t="s">
        <v>12</v>
      </c>
    </row>
    <row r="8547" spans="1:9" x14ac:dyDescent="0.25">
      <c r="A8547">
        <v>20140417</v>
      </c>
      <c r="B8547" t="str">
        <f>"115285"</f>
        <v>115285</v>
      </c>
      <c r="C8547" t="str">
        <f>"87264"</f>
        <v>87264</v>
      </c>
      <c r="D8547" t="s">
        <v>1361</v>
      </c>
      <c r="E8547">
        <v>100</v>
      </c>
      <c r="F8547">
        <v>20140415</v>
      </c>
      <c r="G8547" t="s">
        <v>1362</v>
      </c>
      <c r="H8547" t="s">
        <v>1363</v>
      </c>
      <c r="I8547" t="s">
        <v>21</v>
      </c>
    </row>
    <row r="8548" spans="1:9" x14ac:dyDescent="0.25">
      <c r="A8548">
        <v>20140417</v>
      </c>
      <c r="B8548" t="str">
        <f>"115286"</f>
        <v>115286</v>
      </c>
      <c r="C8548" t="str">
        <f>"86472"</f>
        <v>86472</v>
      </c>
      <c r="D8548" t="s">
        <v>3904</v>
      </c>
      <c r="E8548">
        <v>95.65</v>
      </c>
      <c r="F8548">
        <v>20140411</v>
      </c>
      <c r="G8548" t="s">
        <v>498</v>
      </c>
      <c r="H8548" t="s">
        <v>499</v>
      </c>
      <c r="I8548" t="s">
        <v>21</v>
      </c>
    </row>
    <row r="8549" spans="1:9" x14ac:dyDescent="0.25">
      <c r="A8549">
        <v>20140417</v>
      </c>
      <c r="B8549" t="str">
        <f>"115287"</f>
        <v>115287</v>
      </c>
      <c r="C8549" t="str">
        <f>"84575"</f>
        <v>84575</v>
      </c>
      <c r="D8549" t="s">
        <v>1568</v>
      </c>
      <c r="E8549">
        <v>259.2</v>
      </c>
      <c r="F8549">
        <v>20140415</v>
      </c>
      <c r="G8549" t="s">
        <v>562</v>
      </c>
      <c r="H8549" t="s">
        <v>563</v>
      </c>
      <c r="I8549" t="s">
        <v>21</v>
      </c>
    </row>
    <row r="8550" spans="1:9" x14ac:dyDescent="0.25">
      <c r="A8550">
        <v>20140417</v>
      </c>
      <c r="B8550" t="str">
        <f>"115288"</f>
        <v>115288</v>
      </c>
      <c r="C8550" t="str">
        <f>"87549"</f>
        <v>87549</v>
      </c>
      <c r="D8550" t="s">
        <v>1382</v>
      </c>
      <c r="E8550">
        <v>49.99</v>
      </c>
      <c r="F8550">
        <v>20140414</v>
      </c>
      <c r="G8550" t="s">
        <v>99</v>
      </c>
      <c r="H8550" t="s">
        <v>2633</v>
      </c>
      <c r="I8550" t="s">
        <v>21</v>
      </c>
    </row>
    <row r="8551" spans="1:9" x14ac:dyDescent="0.25">
      <c r="A8551">
        <v>20140417</v>
      </c>
      <c r="B8551" t="str">
        <f>"115289"</f>
        <v>115289</v>
      </c>
      <c r="C8551" t="str">
        <f>"83876"</f>
        <v>83876</v>
      </c>
      <c r="D8551" t="s">
        <v>1211</v>
      </c>
      <c r="E8551">
        <v>73.72</v>
      </c>
      <c r="F8551">
        <v>20140415</v>
      </c>
      <c r="G8551" t="s">
        <v>473</v>
      </c>
      <c r="H8551" t="s">
        <v>414</v>
      </c>
      <c r="I8551" t="s">
        <v>21</v>
      </c>
    </row>
    <row r="8552" spans="1:9" x14ac:dyDescent="0.25">
      <c r="A8552">
        <v>20140417</v>
      </c>
      <c r="B8552" t="str">
        <f>"115290"</f>
        <v>115290</v>
      </c>
      <c r="C8552" t="str">
        <f>"18500"</f>
        <v>18500</v>
      </c>
      <c r="D8552" t="s">
        <v>517</v>
      </c>
      <c r="E8552" s="1">
        <v>13864</v>
      </c>
      <c r="F8552">
        <v>20140416</v>
      </c>
      <c r="G8552" t="s">
        <v>14</v>
      </c>
      <c r="H8552" t="s">
        <v>15</v>
      </c>
      <c r="I8552" t="s">
        <v>15</v>
      </c>
    </row>
    <row r="8553" spans="1:9" x14ac:dyDescent="0.25">
      <c r="A8553">
        <v>20140417</v>
      </c>
      <c r="B8553" t="str">
        <f>"115291"</f>
        <v>115291</v>
      </c>
      <c r="C8553" t="str">
        <f>"87732"</f>
        <v>87732</v>
      </c>
      <c r="D8553" t="s">
        <v>3284</v>
      </c>
      <c r="E8553">
        <v>78.84</v>
      </c>
      <c r="F8553">
        <v>20140415</v>
      </c>
      <c r="G8553" t="s">
        <v>810</v>
      </c>
      <c r="H8553" t="s">
        <v>365</v>
      </c>
      <c r="I8553" t="s">
        <v>66</v>
      </c>
    </row>
    <row r="8554" spans="1:9" x14ac:dyDescent="0.25">
      <c r="A8554">
        <v>20140417</v>
      </c>
      <c r="B8554" t="str">
        <f>"115292"</f>
        <v>115292</v>
      </c>
      <c r="C8554" t="str">
        <f>"22200"</f>
        <v>22200</v>
      </c>
      <c r="D8554" t="s">
        <v>519</v>
      </c>
      <c r="E8554">
        <v>63</v>
      </c>
      <c r="F8554">
        <v>20140415</v>
      </c>
      <c r="G8554" t="s">
        <v>496</v>
      </c>
      <c r="H8554" t="s">
        <v>3709</v>
      </c>
      <c r="I8554" t="s">
        <v>21</v>
      </c>
    </row>
    <row r="8555" spans="1:9" x14ac:dyDescent="0.25">
      <c r="A8555">
        <v>20140417</v>
      </c>
      <c r="B8555" t="str">
        <f>"115293"</f>
        <v>115293</v>
      </c>
      <c r="C8555" t="str">
        <f>"22200"</f>
        <v>22200</v>
      </c>
      <c r="D8555" t="s">
        <v>519</v>
      </c>
      <c r="E8555">
        <v>167.5</v>
      </c>
      <c r="F8555">
        <v>20140415</v>
      </c>
      <c r="G8555" t="s">
        <v>202</v>
      </c>
      <c r="H8555" t="s">
        <v>1394</v>
      </c>
      <c r="I8555" t="s">
        <v>12</v>
      </c>
    </row>
    <row r="8556" spans="1:9" x14ac:dyDescent="0.25">
      <c r="A8556">
        <v>20140417</v>
      </c>
      <c r="B8556" t="str">
        <f>"115294"</f>
        <v>115294</v>
      </c>
      <c r="C8556" t="str">
        <f>"82630"</f>
        <v>82630</v>
      </c>
      <c r="D8556" t="s">
        <v>804</v>
      </c>
      <c r="E8556">
        <v>325</v>
      </c>
      <c r="F8556">
        <v>20140415</v>
      </c>
      <c r="G8556" t="s">
        <v>3984</v>
      </c>
      <c r="H8556" t="s">
        <v>354</v>
      </c>
      <c r="I8556" t="s">
        <v>21</v>
      </c>
    </row>
    <row r="8557" spans="1:9" x14ac:dyDescent="0.25">
      <c r="A8557">
        <v>20140417</v>
      </c>
      <c r="B8557" t="str">
        <f t="shared" ref="B8557:B8568" si="502">"115295"</f>
        <v>115295</v>
      </c>
      <c r="C8557" t="str">
        <f t="shared" ref="C8557:C8568" si="503">"82286"</f>
        <v>82286</v>
      </c>
      <c r="D8557" t="s">
        <v>532</v>
      </c>
      <c r="E8557" s="1">
        <v>1808.87</v>
      </c>
      <c r="F8557">
        <v>20140415</v>
      </c>
      <c r="G8557" t="s">
        <v>533</v>
      </c>
      <c r="H8557" t="s">
        <v>534</v>
      </c>
      <c r="I8557" t="s">
        <v>21</v>
      </c>
    </row>
    <row r="8558" spans="1:9" x14ac:dyDescent="0.25">
      <c r="A8558">
        <v>20140417</v>
      </c>
      <c r="B8558" t="str">
        <f t="shared" si="502"/>
        <v>115295</v>
      </c>
      <c r="C8558" t="str">
        <f t="shared" si="503"/>
        <v>82286</v>
      </c>
      <c r="D8558" t="s">
        <v>532</v>
      </c>
      <c r="E8558">
        <v>48.89</v>
      </c>
      <c r="F8558">
        <v>20140415</v>
      </c>
      <c r="G8558" t="s">
        <v>535</v>
      </c>
      <c r="H8558" t="s">
        <v>534</v>
      </c>
      <c r="I8558" t="s">
        <v>21</v>
      </c>
    </row>
    <row r="8559" spans="1:9" x14ac:dyDescent="0.25">
      <c r="A8559">
        <v>20140417</v>
      </c>
      <c r="B8559" t="str">
        <f t="shared" si="502"/>
        <v>115295</v>
      </c>
      <c r="C8559" t="str">
        <f t="shared" si="503"/>
        <v>82286</v>
      </c>
      <c r="D8559" t="s">
        <v>532</v>
      </c>
      <c r="E8559">
        <v>733.32</v>
      </c>
      <c r="F8559">
        <v>20140415</v>
      </c>
      <c r="G8559" t="s">
        <v>536</v>
      </c>
      <c r="H8559" t="s">
        <v>534</v>
      </c>
      <c r="I8559" t="s">
        <v>21</v>
      </c>
    </row>
    <row r="8560" spans="1:9" x14ac:dyDescent="0.25">
      <c r="A8560">
        <v>20140417</v>
      </c>
      <c r="B8560" t="str">
        <f t="shared" si="502"/>
        <v>115295</v>
      </c>
      <c r="C8560" t="str">
        <f t="shared" si="503"/>
        <v>82286</v>
      </c>
      <c r="D8560" t="s">
        <v>532</v>
      </c>
      <c r="E8560">
        <v>244.44</v>
      </c>
      <c r="F8560">
        <v>20140415</v>
      </c>
      <c r="G8560" t="s">
        <v>537</v>
      </c>
      <c r="H8560" t="s">
        <v>534</v>
      </c>
      <c r="I8560" t="s">
        <v>21</v>
      </c>
    </row>
    <row r="8561" spans="1:9" x14ac:dyDescent="0.25">
      <c r="A8561">
        <v>20140417</v>
      </c>
      <c r="B8561" t="str">
        <f t="shared" si="502"/>
        <v>115295</v>
      </c>
      <c r="C8561" t="str">
        <f t="shared" si="503"/>
        <v>82286</v>
      </c>
      <c r="D8561" t="s">
        <v>532</v>
      </c>
      <c r="E8561">
        <v>293.39</v>
      </c>
      <c r="F8561">
        <v>20140415</v>
      </c>
      <c r="G8561" t="s">
        <v>538</v>
      </c>
      <c r="H8561" t="s">
        <v>534</v>
      </c>
      <c r="I8561" t="s">
        <v>21</v>
      </c>
    </row>
    <row r="8562" spans="1:9" x14ac:dyDescent="0.25">
      <c r="A8562">
        <v>20140417</v>
      </c>
      <c r="B8562" t="str">
        <f t="shared" si="502"/>
        <v>115295</v>
      </c>
      <c r="C8562" t="str">
        <f t="shared" si="503"/>
        <v>82286</v>
      </c>
      <c r="D8562" t="s">
        <v>532</v>
      </c>
      <c r="E8562">
        <v>342.21</v>
      </c>
      <c r="F8562">
        <v>20140415</v>
      </c>
      <c r="G8562" t="s">
        <v>539</v>
      </c>
      <c r="H8562" t="s">
        <v>534</v>
      </c>
      <c r="I8562" t="s">
        <v>21</v>
      </c>
    </row>
    <row r="8563" spans="1:9" x14ac:dyDescent="0.25">
      <c r="A8563">
        <v>20140417</v>
      </c>
      <c r="B8563" t="str">
        <f t="shared" si="502"/>
        <v>115295</v>
      </c>
      <c r="C8563" t="str">
        <f t="shared" si="503"/>
        <v>82286</v>
      </c>
      <c r="D8563" t="s">
        <v>532</v>
      </c>
      <c r="E8563">
        <v>180.52</v>
      </c>
      <c r="F8563">
        <v>20140415</v>
      </c>
      <c r="G8563" t="s">
        <v>540</v>
      </c>
      <c r="H8563" t="s">
        <v>534</v>
      </c>
      <c r="I8563" t="s">
        <v>21</v>
      </c>
    </row>
    <row r="8564" spans="1:9" x14ac:dyDescent="0.25">
      <c r="A8564">
        <v>20140417</v>
      </c>
      <c r="B8564" t="str">
        <f t="shared" si="502"/>
        <v>115295</v>
      </c>
      <c r="C8564" t="str">
        <f t="shared" si="503"/>
        <v>82286</v>
      </c>
      <c r="D8564" t="s">
        <v>532</v>
      </c>
      <c r="E8564">
        <v>180.51</v>
      </c>
      <c r="F8564">
        <v>20140415</v>
      </c>
      <c r="G8564" t="s">
        <v>541</v>
      </c>
      <c r="H8564" t="s">
        <v>534</v>
      </c>
      <c r="I8564" t="s">
        <v>21</v>
      </c>
    </row>
    <row r="8565" spans="1:9" x14ac:dyDescent="0.25">
      <c r="A8565">
        <v>20140417</v>
      </c>
      <c r="B8565" t="str">
        <f t="shared" si="502"/>
        <v>115295</v>
      </c>
      <c r="C8565" t="str">
        <f t="shared" si="503"/>
        <v>82286</v>
      </c>
      <c r="D8565" t="s">
        <v>532</v>
      </c>
      <c r="E8565">
        <v>782.21</v>
      </c>
      <c r="F8565">
        <v>20140415</v>
      </c>
      <c r="G8565" t="s">
        <v>542</v>
      </c>
      <c r="H8565" t="s">
        <v>534</v>
      </c>
      <c r="I8565" t="s">
        <v>21</v>
      </c>
    </row>
    <row r="8566" spans="1:9" x14ac:dyDescent="0.25">
      <c r="A8566">
        <v>20140417</v>
      </c>
      <c r="B8566" t="str">
        <f t="shared" si="502"/>
        <v>115295</v>
      </c>
      <c r="C8566" t="str">
        <f t="shared" si="503"/>
        <v>82286</v>
      </c>
      <c r="D8566" t="s">
        <v>532</v>
      </c>
      <c r="E8566">
        <v>48.89</v>
      </c>
      <c r="F8566">
        <v>20140415</v>
      </c>
      <c r="G8566" t="s">
        <v>543</v>
      </c>
      <c r="H8566" t="s">
        <v>534</v>
      </c>
      <c r="I8566" t="s">
        <v>21</v>
      </c>
    </row>
    <row r="8567" spans="1:9" x14ac:dyDescent="0.25">
      <c r="A8567">
        <v>20140417</v>
      </c>
      <c r="B8567" t="str">
        <f t="shared" si="502"/>
        <v>115295</v>
      </c>
      <c r="C8567" t="str">
        <f t="shared" si="503"/>
        <v>82286</v>
      </c>
      <c r="D8567" t="s">
        <v>532</v>
      </c>
      <c r="E8567">
        <v>293.37</v>
      </c>
      <c r="F8567">
        <v>20140415</v>
      </c>
      <c r="G8567" t="s">
        <v>544</v>
      </c>
      <c r="H8567" t="s">
        <v>534</v>
      </c>
      <c r="I8567" t="s">
        <v>21</v>
      </c>
    </row>
    <row r="8568" spans="1:9" x14ac:dyDescent="0.25">
      <c r="A8568">
        <v>20140417</v>
      </c>
      <c r="B8568" t="str">
        <f t="shared" si="502"/>
        <v>115295</v>
      </c>
      <c r="C8568" t="str">
        <f t="shared" si="503"/>
        <v>82286</v>
      </c>
      <c r="D8568" t="s">
        <v>532</v>
      </c>
      <c r="E8568">
        <v>293.38</v>
      </c>
      <c r="F8568">
        <v>20140415</v>
      </c>
      <c r="G8568" t="s">
        <v>545</v>
      </c>
      <c r="H8568" t="s">
        <v>534</v>
      </c>
      <c r="I8568" t="s">
        <v>21</v>
      </c>
    </row>
    <row r="8569" spans="1:9" x14ac:dyDescent="0.25">
      <c r="A8569">
        <v>20140417</v>
      </c>
      <c r="B8569" t="str">
        <f t="shared" ref="B8569:B8574" si="504">"115296"</f>
        <v>115296</v>
      </c>
      <c r="C8569" t="str">
        <f t="shared" ref="C8569:C8574" si="505">"26990"</f>
        <v>26990</v>
      </c>
      <c r="D8569" t="s">
        <v>548</v>
      </c>
      <c r="E8569">
        <v>20</v>
      </c>
      <c r="F8569">
        <v>20140416</v>
      </c>
      <c r="G8569" t="s">
        <v>2663</v>
      </c>
      <c r="H8569" t="s">
        <v>3985</v>
      </c>
      <c r="I8569" t="s">
        <v>21</v>
      </c>
    </row>
    <row r="8570" spans="1:9" x14ac:dyDescent="0.25">
      <c r="A8570">
        <v>20140417</v>
      </c>
      <c r="B8570" t="str">
        <f t="shared" si="504"/>
        <v>115296</v>
      </c>
      <c r="C8570" t="str">
        <f t="shared" si="505"/>
        <v>26990</v>
      </c>
      <c r="D8570" t="s">
        <v>548</v>
      </c>
      <c r="E8570">
        <v>40</v>
      </c>
      <c r="F8570">
        <v>20140411</v>
      </c>
      <c r="G8570" t="s">
        <v>1738</v>
      </c>
      <c r="H8570" t="s">
        <v>954</v>
      </c>
      <c r="I8570" t="s">
        <v>21</v>
      </c>
    </row>
    <row r="8571" spans="1:9" x14ac:dyDescent="0.25">
      <c r="A8571">
        <v>20140417</v>
      </c>
      <c r="B8571" t="str">
        <f t="shared" si="504"/>
        <v>115296</v>
      </c>
      <c r="C8571" t="str">
        <f t="shared" si="505"/>
        <v>26990</v>
      </c>
      <c r="D8571" t="s">
        <v>548</v>
      </c>
      <c r="E8571">
        <v>40</v>
      </c>
      <c r="F8571">
        <v>20140411</v>
      </c>
      <c r="G8571" t="s">
        <v>1738</v>
      </c>
      <c r="H8571" t="s">
        <v>954</v>
      </c>
      <c r="I8571" t="s">
        <v>21</v>
      </c>
    </row>
    <row r="8572" spans="1:9" x14ac:dyDescent="0.25">
      <c r="A8572">
        <v>20140417</v>
      </c>
      <c r="B8572" t="str">
        <f t="shared" si="504"/>
        <v>115296</v>
      </c>
      <c r="C8572" t="str">
        <f t="shared" si="505"/>
        <v>26990</v>
      </c>
      <c r="D8572" t="s">
        <v>548</v>
      </c>
      <c r="E8572">
        <v>20</v>
      </c>
      <c r="F8572">
        <v>20140411</v>
      </c>
      <c r="G8572" t="s">
        <v>2423</v>
      </c>
      <c r="H8572" t="s">
        <v>1054</v>
      </c>
      <c r="I8572" t="s">
        <v>21</v>
      </c>
    </row>
    <row r="8573" spans="1:9" x14ac:dyDescent="0.25">
      <c r="A8573">
        <v>20140417</v>
      </c>
      <c r="B8573" t="str">
        <f t="shared" si="504"/>
        <v>115296</v>
      </c>
      <c r="C8573" t="str">
        <f t="shared" si="505"/>
        <v>26990</v>
      </c>
      <c r="D8573" t="s">
        <v>548</v>
      </c>
      <c r="E8573">
        <v>150</v>
      </c>
      <c r="F8573">
        <v>20140411</v>
      </c>
      <c r="G8573" t="s">
        <v>426</v>
      </c>
      <c r="H8573" t="s">
        <v>3986</v>
      </c>
      <c r="I8573" t="s">
        <v>21</v>
      </c>
    </row>
    <row r="8574" spans="1:9" x14ac:dyDescent="0.25">
      <c r="A8574">
        <v>20140417</v>
      </c>
      <c r="B8574" t="str">
        <f t="shared" si="504"/>
        <v>115296</v>
      </c>
      <c r="C8574" t="str">
        <f t="shared" si="505"/>
        <v>26990</v>
      </c>
      <c r="D8574" t="s">
        <v>548</v>
      </c>
      <c r="E8574">
        <v>150</v>
      </c>
      <c r="F8574">
        <v>20140411</v>
      </c>
      <c r="G8574" t="s">
        <v>426</v>
      </c>
      <c r="H8574" t="s">
        <v>1054</v>
      </c>
      <c r="I8574" t="s">
        <v>21</v>
      </c>
    </row>
    <row r="8575" spans="1:9" x14ac:dyDescent="0.25">
      <c r="A8575">
        <v>20140417</v>
      </c>
      <c r="B8575" t="str">
        <f>"115297"</f>
        <v>115297</v>
      </c>
      <c r="C8575" t="str">
        <f>"83698"</f>
        <v>83698</v>
      </c>
      <c r="D8575" t="s">
        <v>3381</v>
      </c>
      <c r="E8575">
        <v>33.659999999999997</v>
      </c>
      <c r="F8575">
        <v>20140415</v>
      </c>
      <c r="G8575" t="s">
        <v>1738</v>
      </c>
      <c r="H8575" t="s">
        <v>563</v>
      </c>
      <c r="I8575" t="s">
        <v>21</v>
      </c>
    </row>
    <row r="8576" spans="1:9" x14ac:dyDescent="0.25">
      <c r="A8576">
        <v>20140417</v>
      </c>
      <c r="B8576" t="str">
        <f>"115298"</f>
        <v>115298</v>
      </c>
      <c r="C8576" t="str">
        <f>"28070"</f>
        <v>28070</v>
      </c>
      <c r="D8576" t="s">
        <v>1416</v>
      </c>
      <c r="E8576">
        <v>120</v>
      </c>
      <c r="F8576">
        <v>20140416</v>
      </c>
      <c r="G8576" t="s">
        <v>498</v>
      </c>
      <c r="H8576" t="s">
        <v>3987</v>
      </c>
      <c r="I8576" t="s">
        <v>21</v>
      </c>
    </row>
    <row r="8577" spans="1:9" x14ac:dyDescent="0.25">
      <c r="A8577">
        <v>20140417</v>
      </c>
      <c r="B8577" t="str">
        <f>"115299"</f>
        <v>115299</v>
      </c>
      <c r="C8577" t="str">
        <f>"00088"</f>
        <v>00088</v>
      </c>
      <c r="D8577" t="s">
        <v>2350</v>
      </c>
      <c r="E8577">
        <v>5.08</v>
      </c>
      <c r="F8577">
        <v>20140416</v>
      </c>
      <c r="G8577" t="s">
        <v>356</v>
      </c>
      <c r="H8577" t="s">
        <v>3988</v>
      </c>
      <c r="I8577" t="s">
        <v>61</v>
      </c>
    </row>
    <row r="8578" spans="1:9" x14ac:dyDescent="0.25">
      <c r="A8578">
        <v>20140417</v>
      </c>
      <c r="B8578" t="str">
        <f>"115300"</f>
        <v>115300</v>
      </c>
      <c r="C8578" t="str">
        <f>"87817"</f>
        <v>87817</v>
      </c>
      <c r="D8578" t="s">
        <v>3989</v>
      </c>
      <c r="E8578" s="1">
        <v>3278</v>
      </c>
      <c r="F8578">
        <v>20140415</v>
      </c>
      <c r="G8578" t="s">
        <v>176</v>
      </c>
      <c r="H8578" t="s">
        <v>3990</v>
      </c>
      <c r="I8578" t="s">
        <v>25</v>
      </c>
    </row>
    <row r="8579" spans="1:9" x14ac:dyDescent="0.25">
      <c r="A8579">
        <v>20140417</v>
      </c>
      <c r="B8579" t="str">
        <f>"115301"</f>
        <v>115301</v>
      </c>
      <c r="C8579" t="str">
        <f>"81292"</f>
        <v>81292</v>
      </c>
      <c r="D8579" t="s">
        <v>1417</v>
      </c>
      <c r="E8579">
        <v>28.99</v>
      </c>
      <c r="F8579">
        <v>20140414</v>
      </c>
      <c r="G8579" t="s">
        <v>498</v>
      </c>
      <c r="H8579" t="s">
        <v>499</v>
      </c>
      <c r="I8579" t="s">
        <v>21</v>
      </c>
    </row>
    <row r="8580" spans="1:9" x14ac:dyDescent="0.25">
      <c r="A8580">
        <v>20140417</v>
      </c>
      <c r="B8580" t="str">
        <f>"115302"</f>
        <v>115302</v>
      </c>
      <c r="C8580" t="str">
        <f>"30000"</f>
        <v>30000</v>
      </c>
      <c r="D8580" t="s">
        <v>556</v>
      </c>
      <c r="E8580">
        <v>93.86</v>
      </c>
      <c r="F8580">
        <v>20140415</v>
      </c>
      <c r="G8580" t="s">
        <v>861</v>
      </c>
      <c r="H8580" t="s">
        <v>3991</v>
      </c>
      <c r="I8580" t="s">
        <v>21</v>
      </c>
    </row>
    <row r="8581" spans="1:9" x14ac:dyDescent="0.25">
      <c r="A8581">
        <v>20140417</v>
      </c>
      <c r="B8581" t="str">
        <f>"115302"</f>
        <v>115302</v>
      </c>
      <c r="C8581" t="str">
        <f>"30000"</f>
        <v>30000</v>
      </c>
      <c r="D8581" t="s">
        <v>556</v>
      </c>
      <c r="E8581">
        <v>3.49</v>
      </c>
      <c r="F8581">
        <v>20140411</v>
      </c>
      <c r="G8581" t="s">
        <v>137</v>
      </c>
      <c r="H8581" t="s">
        <v>3992</v>
      </c>
      <c r="I8581" t="s">
        <v>21</v>
      </c>
    </row>
    <row r="8582" spans="1:9" x14ac:dyDescent="0.25">
      <c r="A8582">
        <v>20140417</v>
      </c>
      <c r="B8582" t="str">
        <f>"115303"</f>
        <v>115303</v>
      </c>
      <c r="C8582" t="str">
        <f>"30125"</f>
        <v>30125</v>
      </c>
      <c r="D8582" t="s">
        <v>2509</v>
      </c>
      <c r="E8582">
        <v>978.27</v>
      </c>
      <c r="F8582">
        <v>20140411</v>
      </c>
      <c r="G8582" t="s">
        <v>119</v>
      </c>
      <c r="H8582" t="s">
        <v>3993</v>
      </c>
      <c r="I8582" t="s">
        <v>38</v>
      </c>
    </row>
    <row r="8583" spans="1:9" x14ac:dyDescent="0.25">
      <c r="A8583">
        <v>20140417</v>
      </c>
      <c r="B8583" t="str">
        <f>"115304"</f>
        <v>115304</v>
      </c>
      <c r="C8583" t="str">
        <f>"31970"</f>
        <v>31970</v>
      </c>
      <c r="D8583" t="s">
        <v>3770</v>
      </c>
      <c r="E8583">
        <v>70.92</v>
      </c>
      <c r="F8583">
        <v>20140415</v>
      </c>
      <c r="G8583" t="s">
        <v>3743</v>
      </c>
      <c r="H8583" t="s">
        <v>765</v>
      </c>
      <c r="I8583" t="s">
        <v>61</v>
      </c>
    </row>
    <row r="8584" spans="1:9" x14ac:dyDescent="0.25">
      <c r="A8584">
        <v>20140417</v>
      </c>
      <c r="B8584" t="str">
        <f>"115305"</f>
        <v>115305</v>
      </c>
      <c r="C8584" t="str">
        <f>"87495"</f>
        <v>87495</v>
      </c>
      <c r="D8584" t="s">
        <v>859</v>
      </c>
      <c r="E8584">
        <v>260.8</v>
      </c>
      <c r="F8584">
        <v>20140416</v>
      </c>
      <c r="G8584" t="s">
        <v>3771</v>
      </c>
      <c r="H8584" t="s">
        <v>354</v>
      </c>
      <c r="I8584" t="s">
        <v>21</v>
      </c>
    </row>
    <row r="8585" spans="1:9" x14ac:dyDescent="0.25">
      <c r="A8585">
        <v>20140417</v>
      </c>
      <c r="B8585" t="str">
        <f>"115306"</f>
        <v>115306</v>
      </c>
      <c r="C8585" t="str">
        <f>"87385"</f>
        <v>87385</v>
      </c>
      <c r="D8585" t="s">
        <v>1089</v>
      </c>
      <c r="E8585">
        <v>514.24</v>
      </c>
      <c r="F8585">
        <v>20140415</v>
      </c>
      <c r="G8585" t="s">
        <v>3820</v>
      </c>
      <c r="H8585" t="s">
        <v>414</v>
      </c>
      <c r="I8585" t="s">
        <v>21</v>
      </c>
    </row>
    <row r="8586" spans="1:9" x14ac:dyDescent="0.25">
      <c r="A8586">
        <v>20140417</v>
      </c>
      <c r="B8586" t="str">
        <f>"115307"</f>
        <v>115307</v>
      </c>
      <c r="C8586" t="str">
        <f>"34267"</f>
        <v>34267</v>
      </c>
      <c r="D8586" t="s">
        <v>3994</v>
      </c>
      <c r="E8586">
        <v>104.35</v>
      </c>
      <c r="F8586">
        <v>20140416</v>
      </c>
      <c r="G8586" t="s">
        <v>810</v>
      </c>
      <c r="H8586" t="s">
        <v>365</v>
      </c>
      <c r="I8586" t="s">
        <v>66</v>
      </c>
    </row>
    <row r="8587" spans="1:9" x14ac:dyDescent="0.25">
      <c r="A8587">
        <v>20140417</v>
      </c>
      <c r="B8587" t="str">
        <f>"115308"</f>
        <v>115308</v>
      </c>
      <c r="C8587" t="str">
        <f>"34315"</f>
        <v>34315</v>
      </c>
      <c r="D8587" t="s">
        <v>3995</v>
      </c>
      <c r="E8587">
        <v>77.72</v>
      </c>
      <c r="F8587">
        <v>20140415</v>
      </c>
      <c r="G8587" t="s">
        <v>329</v>
      </c>
      <c r="H8587" t="s">
        <v>765</v>
      </c>
      <c r="I8587" t="s">
        <v>25</v>
      </c>
    </row>
    <row r="8588" spans="1:9" x14ac:dyDescent="0.25">
      <c r="A8588">
        <v>20140417</v>
      </c>
      <c r="B8588" t="str">
        <f>"115309"</f>
        <v>115309</v>
      </c>
      <c r="C8588" t="str">
        <f>"00496"</f>
        <v>00496</v>
      </c>
      <c r="D8588" t="s">
        <v>3996</v>
      </c>
      <c r="E8588">
        <v>140.19</v>
      </c>
      <c r="F8588">
        <v>20140416</v>
      </c>
      <c r="G8588" t="s">
        <v>3970</v>
      </c>
      <c r="H8588" t="s">
        <v>921</v>
      </c>
      <c r="I8588" t="s">
        <v>21</v>
      </c>
    </row>
    <row r="8589" spans="1:9" x14ac:dyDescent="0.25">
      <c r="A8589">
        <v>20140417</v>
      </c>
      <c r="B8589" t="str">
        <f>"115309"</f>
        <v>115309</v>
      </c>
      <c r="C8589" t="str">
        <f>"00496"</f>
        <v>00496</v>
      </c>
      <c r="D8589" t="s">
        <v>3996</v>
      </c>
      <c r="E8589">
        <v>750</v>
      </c>
      <c r="F8589">
        <v>20140415</v>
      </c>
      <c r="G8589" t="s">
        <v>3997</v>
      </c>
      <c r="H8589" t="s">
        <v>921</v>
      </c>
      <c r="I8589" t="s">
        <v>21</v>
      </c>
    </row>
    <row r="8590" spans="1:9" x14ac:dyDescent="0.25">
      <c r="A8590">
        <v>20140417</v>
      </c>
      <c r="B8590" t="str">
        <f>"115310"</f>
        <v>115310</v>
      </c>
      <c r="C8590" t="str">
        <f>"00496"</f>
        <v>00496</v>
      </c>
      <c r="D8590" t="s">
        <v>3996</v>
      </c>
      <c r="E8590">
        <v>791.28</v>
      </c>
      <c r="F8590">
        <v>20140416</v>
      </c>
      <c r="G8590" t="s">
        <v>965</v>
      </c>
      <c r="H8590" t="s">
        <v>921</v>
      </c>
      <c r="I8590" t="s">
        <v>21</v>
      </c>
    </row>
    <row r="8591" spans="1:9" x14ac:dyDescent="0.25">
      <c r="A8591">
        <v>20140417</v>
      </c>
      <c r="B8591" t="str">
        <f>"115311"</f>
        <v>115311</v>
      </c>
      <c r="C8591" t="str">
        <f>"87088"</f>
        <v>87088</v>
      </c>
      <c r="D8591" t="s">
        <v>1097</v>
      </c>
      <c r="E8591" s="1">
        <v>1105</v>
      </c>
      <c r="F8591">
        <v>20140411</v>
      </c>
      <c r="G8591" t="s">
        <v>511</v>
      </c>
      <c r="H8591" t="s">
        <v>3998</v>
      </c>
      <c r="I8591" t="s">
        <v>21</v>
      </c>
    </row>
    <row r="8592" spans="1:9" x14ac:dyDescent="0.25">
      <c r="A8592">
        <v>20140417</v>
      </c>
      <c r="B8592" t="str">
        <f>"115312"</f>
        <v>115312</v>
      </c>
      <c r="C8592" t="str">
        <f>"81141"</f>
        <v>81141</v>
      </c>
      <c r="D8592" t="s">
        <v>3999</v>
      </c>
      <c r="E8592" s="1">
        <v>2310</v>
      </c>
      <c r="F8592">
        <v>20140416</v>
      </c>
      <c r="G8592" t="s">
        <v>119</v>
      </c>
      <c r="H8592" t="s">
        <v>4000</v>
      </c>
      <c r="I8592" t="s">
        <v>38</v>
      </c>
    </row>
    <row r="8593" spans="1:9" x14ac:dyDescent="0.25">
      <c r="A8593">
        <v>20140417</v>
      </c>
      <c r="B8593" t="str">
        <f>"115313"</f>
        <v>115313</v>
      </c>
      <c r="C8593" t="str">
        <f>"36970"</f>
        <v>36970</v>
      </c>
      <c r="D8593" t="s">
        <v>1253</v>
      </c>
      <c r="E8593">
        <v>81.99</v>
      </c>
      <c r="F8593">
        <v>20140415</v>
      </c>
      <c r="G8593" t="s">
        <v>2211</v>
      </c>
      <c r="H8593" t="s">
        <v>563</v>
      </c>
      <c r="I8593" t="s">
        <v>2212</v>
      </c>
    </row>
    <row r="8594" spans="1:9" x14ac:dyDescent="0.25">
      <c r="A8594">
        <v>20140417</v>
      </c>
      <c r="B8594" t="str">
        <f>"115314"</f>
        <v>115314</v>
      </c>
      <c r="C8594" t="str">
        <f>"83362"</f>
        <v>83362</v>
      </c>
      <c r="D8594" t="s">
        <v>1443</v>
      </c>
      <c r="E8594">
        <v>425.47</v>
      </c>
      <c r="F8594">
        <v>20140411</v>
      </c>
      <c r="G8594" t="s">
        <v>1071</v>
      </c>
      <c r="H8594" t="s">
        <v>4001</v>
      </c>
      <c r="I8594" t="s">
        <v>21</v>
      </c>
    </row>
    <row r="8595" spans="1:9" x14ac:dyDescent="0.25">
      <c r="A8595">
        <v>20140417</v>
      </c>
      <c r="B8595" t="str">
        <f>"115315"</f>
        <v>115315</v>
      </c>
      <c r="C8595" t="str">
        <f>"38405"</f>
        <v>38405</v>
      </c>
      <c r="D8595" t="s">
        <v>4002</v>
      </c>
      <c r="E8595" s="1">
        <v>2100</v>
      </c>
      <c r="F8595">
        <v>20140411</v>
      </c>
      <c r="G8595" t="s">
        <v>174</v>
      </c>
      <c r="H8595" t="s">
        <v>4003</v>
      </c>
      <c r="I8595" t="s">
        <v>25</v>
      </c>
    </row>
    <row r="8596" spans="1:9" x14ac:dyDescent="0.25">
      <c r="A8596">
        <v>20140417</v>
      </c>
      <c r="B8596" t="str">
        <f>"115316"</f>
        <v>115316</v>
      </c>
      <c r="C8596" t="str">
        <f>"87784"</f>
        <v>87784</v>
      </c>
      <c r="D8596" t="s">
        <v>4004</v>
      </c>
      <c r="E8596">
        <v>811.37</v>
      </c>
      <c r="F8596">
        <v>20140411</v>
      </c>
      <c r="G8596" t="s">
        <v>1613</v>
      </c>
      <c r="H8596" t="s">
        <v>4005</v>
      </c>
      <c r="I8596" t="s">
        <v>21</v>
      </c>
    </row>
    <row r="8597" spans="1:9" x14ac:dyDescent="0.25">
      <c r="A8597">
        <v>20140417</v>
      </c>
      <c r="B8597" t="str">
        <f>"115317"</f>
        <v>115317</v>
      </c>
      <c r="C8597" t="str">
        <f>"87816"</f>
        <v>87816</v>
      </c>
      <c r="D8597" t="s">
        <v>4006</v>
      </c>
      <c r="E8597">
        <v>85.2</v>
      </c>
      <c r="F8597">
        <v>20140415</v>
      </c>
      <c r="G8597" t="s">
        <v>3743</v>
      </c>
      <c r="H8597" t="s">
        <v>765</v>
      </c>
      <c r="I8597" t="s">
        <v>61</v>
      </c>
    </row>
    <row r="8598" spans="1:9" x14ac:dyDescent="0.25">
      <c r="A8598">
        <v>20140417</v>
      </c>
      <c r="B8598" t="str">
        <f>"115318"</f>
        <v>115318</v>
      </c>
      <c r="C8598" t="str">
        <f>"87814"</f>
        <v>87814</v>
      </c>
      <c r="D8598" t="s">
        <v>4007</v>
      </c>
      <c r="E8598">
        <v>90</v>
      </c>
      <c r="F8598">
        <v>20140414</v>
      </c>
      <c r="G8598" t="s">
        <v>3323</v>
      </c>
      <c r="H8598" t="s">
        <v>3942</v>
      </c>
      <c r="I8598" t="s">
        <v>21</v>
      </c>
    </row>
    <row r="8599" spans="1:9" x14ac:dyDescent="0.25">
      <c r="A8599">
        <v>20140417</v>
      </c>
      <c r="B8599" t="str">
        <f>"115319"</f>
        <v>115319</v>
      </c>
      <c r="C8599" t="str">
        <f>"86906"</f>
        <v>86906</v>
      </c>
      <c r="D8599" t="s">
        <v>4008</v>
      </c>
      <c r="E8599">
        <v>72.36</v>
      </c>
      <c r="F8599">
        <v>20140416</v>
      </c>
      <c r="G8599" t="s">
        <v>1145</v>
      </c>
      <c r="H8599" t="s">
        <v>365</v>
      </c>
      <c r="I8599" t="s">
        <v>73</v>
      </c>
    </row>
    <row r="8600" spans="1:9" x14ac:dyDescent="0.25">
      <c r="A8600">
        <v>20140417</v>
      </c>
      <c r="B8600" t="str">
        <f>"115320"</f>
        <v>115320</v>
      </c>
      <c r="C8600" t="str">
        <f>"43798"</f>
        <v>43798</v>
      </c>
      <c r="D8600" t="s">
        <v>620</v>
      </c>
      <c r="E8600" s="1">
        <v>1056</v>
      </c>
      <c r="F8600">
        <v>20140416</v>
      </c>
      <c r="G8600" t="s">
        <v>337</v>
      </c>
      <c r="H8600" t="s">
        <v>4009</v>
      </c>
      <c r="I8600" t="s">
        <v>21</v>
      </c>
    </row>
    <row r="8601" spans="1:9" x14ac:dyDescent="0.25">
      <c r="A8601">
        <v>20140417</v>
      </c>
      <c r="B8601" t="str">
        <f>"115321"</f>
        <v>115321</v>
      </c>
      <c r="C8601" t="str">
        <f>"82185"</f>
        <v>82185</v>
      </c>
      <c r="D8601" t="s">
        <v>3565</v>
      </c>
      <c r="E8601">
        <v>146.88</v>
      </c>
      <c r="F8601">
        <v>20140416</v>
      </c>
      <c r="G8601" t="s">
        <v>356</v>
      </c>
      <c r="H8601" t="s">
        <v>357</v>
      </c>
      <c r="I8601" t="s">
        <v>61</v>
      </c>
    </row>
    <row r="8602" spans="1:9" x14ac:dyDescent="0.25">
      <c r="A8602">
        <v>20140417</v>
      </c>
      <c r="B8602" t="str">
        <f>"115322"</f>
        <v>115322</v>
      </c>
      <c r="C8602" t="str">
        <f>"87473"</f>
        <v>87473</v>
      </c>
      <c r="D8602" t="s">
        <v>160</v>
      </c>
      <c r="E8602">
        <v>600</v>
      </c>
      <c r="F8602">
        <v>20140416</v>
      </c>
      <c r="G8602" t="s">
        <v>1264</v>
      </c>
      <c r="H8602" t="s">
        <v>357</v>
      </c>
      <c r="I8602" t="s">
        <v>21</v>
      </c>
    </row>
    <row r="8603" spans="1:9" x14ac:dyDescent="0.25">
      <c r="A8603">
        <v>20140417</v>
      </c>
      <c r="B8603" t="str">
        <f>"115323"</f>
        <v>115323</v>
      </c>
      <c r="C8603" t="str">
        <f>"87473"</f>
        <v>87473</v>
      </c>
      <c r="D8603" t="s">
        <v>160</v>
      </c>
      <c r="E8603">
        <v>370</v>
      </c>
      <c r="F8603">
        <v>20140416</v>
      </c>
      <c r="G8603" t="s">
        <v>2009</v>
      </c>
      <c r="H8603" t="s">
        <v>357</v>
      </c>
      <c r="I8603" t="s">
        <v>21</v>
      </c>
    </row>
    <row r="8604" spans="1:9" x14ac:dyDescent="0.25">
      <c r="A8604">
        <v>20140417</v>
      </c>
      <c r="B8604" t="str">
        <f>"115324"</f>
        <v>115324</v>
      </c>
      <c r="C8604" t="str">
        <f>"87820"</f>
        <v>87820</v>
      </c>
      <c r="D8604" t="s">
        <v>4010</v>
      </c>
      <c r="E8604" s="1">
        <v>1442.4</v>
      </c>
      <c r="F8604">
        <v>20140416</v>
      </c>
      <c r="G8604" t="s">
        <v>965</v>
      </c>
      <c r="H8604" t="s">
        <v>4011</v>
      </c>
      <c r="I8604" t="s">
        <v>21</v>
      </c>
    </row>
    <row r="8605" spans="1:9" x14ac:dyDescent="0.25">
      <c r="A8605">
        <v>20140417</v>
      </c>
      <c r="B8605" t="str">
        <f>"115325"</f>
        <v>115325</v>
      </c>
      <c r="C8605" t="str">
        <f>"87557"</f>
        <v>87557</v>
      </c>
      <c r="D8605" t="s">
        <v>1629</v>
      </c>
      <c r="E8605">
        <v>133.79</v>
      </c>
      <c r="F8605">
        <v>20140416</v>
      </c>
      <c r="G8605" t="s">
        <v>1630</v>
      </c>
      <c r="H8605" t="s">
        <v>563</v>
      </c>
      <c r="I8605" t="s">
        <v>21</v>
      </c>
    </row>
    <row r="8606" spans="1:9" x14ac:dyDescent="0.25">
      <c r="A8606">
        <v>20140417</v>
      </c>
      <c r="B8606" t="str">
        <f>"115326"</f>
        <v>115326</v>
      </c>
      <c r="C8606" t="str">
        <f>"85562"</f>
        <v>85562</v>
      </c>
      <c r="D8606" t="s">
        <v>4012</v>
      </c>
      <c r="E8606">
        <v>71</v>
      </c>
      <c r="F8606">
        <v>20140415</v>
      </c>
      <c r="G8606" t="s">
        <v>329</v>
      </c>
      <c r="H8606" t="s">
        <v>765</v>
      </c>
      <c r="I8606" t="s">
        <v>25</v>
      </c>
    </row>
    <row r="8607" spans="1:9" x14ac:dyDescent="0.25">
      <c r="A8607">
        <v>20140417</v>
      </c>
      <c r="B8607" t="str">
        <f>"115327"</f>
        <v>115327</v>
      </c>
      <c r="C8607" t="str">
        <f>"49555"</f>
        <v>49555</v>
      </c>
      <c r="D8607" t="s">
        <v>2388</v>
      </c>
      <c r="E8607">
        <v>872.03</v>
      </c>
      <c r="F8607">
        <v>20140415</v>
      </c>
      <c r="G8607" t="s">
        <v>1020</v>
      </c>
      <c r="H8607" t="s">
        <v>4013</v>
      </c>
      <c r="I8607" t="s">
        <v>21</v>
      </c>
    </row>
    <row r="8608" spans="1:9" x14ac:dyDescent="0.25">
      <c r="A8608">
        <v>20140417</v>
      </c>
      <c r="B8608" t="str">
        <f>"115328"</f>
        <v>115328</v>
      </c>
      <c r="C8608" t="str">
        <f>"87810"</f>
        <v>87810</v>
      </c>
      <c r="D8608" t="s">
        <v>4014</v>
      </c>
      <c r="E8608">
        <v>64.25</v>
      </c>
      <c r="F8608">
        <v>20140415</v>
      </c>
      <c r="G8608" t="s">
        <v>214</v>
      </c>
      <c r="H8608" t="s">
        <v>414</v>
      </c>
      <c r="I8608" t="s">
        <v>38</v>
      </c>
    </row>
    <row r="8609" spans="1:9" x14ac:dyDescent="0.25">
      <c r="A8609">
        <v>20140417</v>
      </c>
      <c r="B8609" t="str">
        <f>"115329"</f>
        <v>115329</v>
      </c>
      <c r="C8609" t="str">
        <f>"49832"</f>
        <v>49832</v>
      </c>
      <c r="D8609" t="s">
        <v>1631</v>
      </c>
      <c r="E8609" s="1">
        <v>73840.38</v>
      </c>
      <c r="F8609">
        <v>20140415</v>
      </c>
      <c r="G8609" t="s">
        <v>568</v>
      </c>
      <c r="H8609" t="s">
        <v>4015</v>
      </c>
      <c r="I8609" t="s">
        <v>21</v>
      </c>
    </row>
    <row r="8610" spans="1:9" x14ac:dyDescent="0.25">
      <c r="A8610">
        <v>20140417</v>
      </c>
      <c r="B8610" t="str">
        <f>"115330"</f>
        <v>115330</v>
      </c>
      <c r="C8610" t="str">
        <f>"84193"</f>
        <v>84193</v>
      </c>
      <c r="D8610" t="s">
        <v>1110</v>
      </c>
      <c r="E8610">
        <v>24.93</v>
      </c>
      <c r="F8610">
        <v>20140415</v>
      </c>
      <c r="G8610" t="s">
        <v>562</v>
      </c>
      <c r="H8610" t="s">
        <v>563</v>
      </c>
      <c r="I8610" t="s">
        <v>21</v>
      </c>
    </row>
    <row r="8611" spans="1:9" x14ac:dyDescent="0.25">
      <c r="A8611">
        <v>20140417</v>
      </c>
      <c r="B8611" t="str">
        <f>"115331"</f>
        <v>115331</v>
      </c>
      <c r="C8611" t="str">
        <f>"51550"</f>
        <v>51550</v>
      </c>
      <c r="D8611" t="s">
        <v>2868</v>
      </c>
      <c r="E8611">
        <v>79.489999999999995</v>
      </c>
      <c r="F8611">
        <v>20140411</v>
      </c>
      <c r="G8611" t="s">
        <v>828</v>
      </c>
      <c r="H8611" t="s">
        <v>4016</v>
      </c>
      <c r="I8611" t="s">
        <v>21</v>
      </c>
    </row>
    <row r="8612" spans="1:9" x14ac:dyDescent="0.25">
      <c r="A8612">
        <v>20140417</v>
      </c>
      <c r="B8612" t="str">
        <f>"115332"</f>
        <v>115332</v>
      </c>
      <c r="C8612" t="str">
        <f>"87819"</f>
        <v>87819</v>
      </c>
      <c r="D8612" t="s">
        <v>4017</v>
      </c>
      <c r="E8612">
        <v>47</v>
      </c>
      <c r="F8612">
        <v>20140415</v>
      </c>
      <c r="G8612" t="s">
        <v>2995</v>
      </c>
      <c r="H8612" t="s">
        <v>4018</v>
      </c>
      <c r="I8612" t="s">
        <v>38</v>
      </c>
    </row>
    <row r="8613" spans="1:9" x14ac:dyDescent="0.25">
      <c r="A8613">
        <v>20140417</v>
      </c>
      <c r="B8613" t="str">
        <f>"115333"</f>
        <v>115333</v>
      </c>
      <c r="C8613" t="str">
        <f>"00760"</f>
        <v>00760</v>
      </c>
      <c r="D8613" t="s">
        <v>920</v>
      </c>
      <c r="E8613">
        <v>396</v>
      </c>
      <c r="F8613">
        <v>20140415</v>
      </c>
      <c r="G8613" t="s">
        <v>3984</v>
      </c>
      <c r="H8613" t="s">
        <v>921</v>
      </c>
      <c r="I8613" t="s">
        <v>21</v>
      </c>
    </row>
    <row r="8614" spans="1:9" x14ac:dyDescent="0.25">
      <c r="A8614">
        <v>20140417</v>
      </c>
      <c r="B8614" t="str">
        <f>"115334"</f>
        <v>115334</v>
      </c>
      <c r="C8614" t="str">
        <f>"87691"</f>
        <v>87691</v>
      </c>
      <c r="D8614" t="s">
        <v>2870</v>
      </c>
      <c r="E8614">
        <v>478.2</v>
      </c>
      <c r="F8614">
        <v>20140415</v>
      </c>
      <c r="G8614" t="s">
        <v>392</v>
      </c>
      <c r="H8614" t="s">
        <v>414</v>
      </c>
      <c r="I8614" t="s">
        <v>21</v>
      </c>
    </row>
    <row r="8615" spans="1:9" x14ac:dyDescent="0.25">
      <c r="A8615">
        <v>20140417</v>
      </c>
      <c r="B8615" t="str">
        <f>"115335"</f>
        <v>115335</v>
      </c>
      <c r="C8615" t="str">
        <f>"82625"</f>
        <v>82625</v>
      </c>
      <c r="D8615" t="s">
        <v>649</v>
      </c>
      <c r="E8615" s="1">
        <v>1692.6</v>
      </c>
      <c r="F8615">
        <v>20140411</v>
      </c>
      <c r="G8615" t="s">
        <v>2458</v>
      </c>
      <c r="H8615" t="s">
        <v>4019</v>
      </c>
      <c r="I8615" t="s">
        <v>21</v>
      </c>
    </row>
    <row r="8616" spans="1:9" x14ac:dyDescent="0.25">
      <c r="A8616">
        <v>20140417</v>
      </c>
      <c r="B8616" t="str">
        <f>"115336"</f>
        <v>115336</v>
      </c>
      <c r="C8616" t="str">
        <f>"55625"</f>
        <v>55625</v>
      </c>
      <c r="D8616" t="s">
        <v>1639</v>
      </c>
      <c r="E8616">
        <v>43.27</v>
      </c>
      <c r="F8616">
        <v>20140415</v>
      </c>
      <c r="G8616" t="s">
        <v>506</v>
      </c>
      <c r="H8616" t="s">
        <v>1788</v>
      </c>
      <c r="I8616" t="s">
        <v>21</v>
      </c>
    </row>
    <row r="8617" spans="1:9" x14ac:dyDescent="0.25">
      <c r="A8617">
        <v>20140417</v>
      </c>
      <c r="B8617" t="str">
        <f>"115337"</f>
        <v>115337</v>
      </c>
      <c r="C8617" t="str">
        <f>"55795"</f>
        <v>55795</v>
      </c>
      <c r="D8617" t="s">
        <v>931</v>
      </c>
      <c r="E8617">
        <v>57.57</v>
      </c>
      <c r="F8617">
        <v>20140416</v>
      </c>
      <c r="G8617" t="s">
        <v>3179</v>
      </c>
      <c r="H8617" t="s">
        <v>365</v>
      </c>
      <c r="I8617" t="s">
        <v>79</v>
      </c>
    </row>
    <row r="8618" spans="1:9" x14ac:dyDescent="0.25">
      <c r="A8618">
        <v>20140417</v>
      </c>
      <c r="B8618" t="str">
        <f>"115338"</f>
        <v>115338</v>
      </c>
      <c r="C8618" t="str">
        <f>"58784"</f>
        <v>58784</v>
      </c>
      <c r="D8618" t="s">
        <v>658</v>
      </c>
      <c r="E8618">
        <v>148.56</v>
      </c>
      <c r="F8618">
        <v>20140415</v>
      </c>
      <c r="G8618" t="s">
        <v>340</v>
      </c>
      <c r="H8618" t="s">
        <v>2085</v>
      </c>
      <c r="I8618" t="s">
        <v>21</v>
      </c>
    </row>
    <row r="8619" spans="1:9" x14ac:dyDescent="0.25">
      <c r="A8619">
        <v>20140417</v>
      </c>
      <c r="B8619" t="str">
        <f>"115339"</f>
        <v>115339</v>
      </c>
      <c r="C8619" t="str">
        <f>"59500"</f>
        <v>59500</v>
      </c>
      <c r="D8619" t="s">
        <v>670</v>
      </c>
      <c r="E8619">
        <v>3.79</v>
      </c>
      <c r="F8619">
        <v>20140414</v>
      </c>
      <c r="G8619" t="s">
        <v>137</v>
      </c>
      <c r="H8619" t="s">
        <v>414</v>
      </c>
      <c r="I8619" t="s">
        <v>21</v>
      </c>
    </row>
    <row r="8620" spans="1:9" x14ac:dyDescent="0.25">
      <c r="A8620">
        <v>20140417</v>
      </c>
      <c r="B8620" t="str">
        <f>"115339"</f>
        <v>115339</v>
      </c>
      <c r="C8620" t="str">
        <f>"59500"</f>
        <v>59500</v>
      </c>
      <c r="D8620" t="s">
        <v>670</v>
      </c>
      <c r="E8620">
        <v>69.89</v>
      </c>
      <c r="F8620">
        <v>20140414</v>
      </c>
      <c r="G8620" t="s">
        <v>137</v>
      </c>
      <c r="H8620" t="s">
        <v>414</v>
      </c>
      <c r="I8620" t="s">
        <v>21</v>
      </c>
    </row>
    <row r="8621" spans="1:9" x14ac:dyDescent="0.25">
      <c r="A8621">
        <v>20140417</v>
      </c>
      <c r="B8621" t="str">
        <f>"115340"</f>
        <v>115340</v>
      </c>
      <c r="C8621" t="str">
        <f>"59725"</f>
        <v>59725</v>
      </c>
      <c r="D8621" t="s">
        <v>674</v>
      </c>
      <c r="E8621">
        <v>41.46</v>
      </c>
      <c r="F8621">
        <v>20140415</v>
      </c>
      <c r="G8621" t="s">
        <v>415</v>
      </c>
      <c r="H8621" t="s">
        <v>414</v>
      </c>
      <c r="I8621" t="s">
        <v>21</v>
      </c>
    </row>
    <row r="8622" spans="1:9" x14ac:dyDescent="0.25">
      <c r="A8622">
        <v>20140417</v>
      </c>
      <c r="B8622" t="str">
        <f>"115341"</f>
        <v>115341</v>
      </c>
      <c r="C8622" t="str">
        <f>"86795"</f>
        <v>86795</v>
      </c>
      <c r="D8622" t="s">
        <v>430</v>
      </c>
      <c r="E8622">
        <v>110.88</v>
      </c>
      <c r="F8622">
        <v>20140416</v>
      </c>
      <c r="G8622" t="s">
        <v>410</v>
      </c>
      <c r="H8622" t="s">
        <v>365</v>
      </c>
      <c r="I8622" t="s">
        <v>12</v>
      </c>
    </row>
    <row r="8623" spans="1:9" x14ac:dyDescent="0.25">
      <c r="A8623">
        <v>20140417</v>
      </c>
      <c r="B8623" t="str">
        <f>"115342"</f>
        <v>115342</v>
      </c>
      <c r="C8623" t="str">
        <f>"83617"</f>
        <v>83617</v>
      </c>
      <c r="D8623" t="s">
        <v>1289</v>
      </c>
      <c r="E8623">
        <v>347.42</v>
      </c>
      <c r="F8623">
        <v>20140415</v>
      </c>
      <c r="G8623" t="s">
        <v>1254</v>
      </c>
      <c r="H8623" t="s">
        <v>563</v>
      </c>
      <c r="I8623" t="s">
        <v>79</v>
      </c>
    </row>
    <row r="8624" spans="1:9" x14ac:dyDescent="0.25">
      <c r="A8624">
        <v>20140417</v>
      </c>
      <c r="B8624" t="str">
        <f>"115343"</f>
        <v>115343</v>
      </c>
      <c r="C8624" t="str">
        <f>"61920"</f>
        <v>61920</v>
      </c>
      <c r="D8624" t="s">
        <v>4020</v>
      </c>
      <c r="E8624">
        <v>40</v>
      </c>
      <c r="F8624">
        <v>20140411</v>
      </c>
      <c r="G8624" t="s">
        <v>119</v>
      </c>
      <c r="H8624" t="s">
        <v>4021</v>
      </c>
      <c r="I8624" t="s">
        <v>38</v>
      </c>
    </row>
    <row r="8625" spans="1:9" x14ac:dyDescent="0.25">
      <c r="A8625">
        <v>20140417</v>
      </c>
      <c r="B8625" t="str">
        <f>"115344"</f>
        <v>115344</v>
      </c>
      <c r="C8625" t="str">
        <f>"84578"</f>
        <v>84578</v>
      </c>
      <c r="D8625" t="s">
        <v>3259</v>
      </c>
      <c r="E8625">
        <v>105</v>
      </c>
      <c r="F8625">
        <v>20140416</v>
      </c>
      <c r="G8625" t="s">
        <v>2932</v>
      </c>
      <c r="H8625" t="s">
        <v>357</v>
      </c>
      <c r="I8625" t="s">
        <v>21</v>
      </c>
    </row>
    <row r="8626" spans="1:9" x14ac:dyDescent="0.25">
      <c r="A8626">
        <v>20140417</v>
      </c>
      <c r="B8626" t="str">
        <f>"115344"</f>
        <v>115344</v>
      </c>
      <c r="C8626" t="str">
        <f>"84578"</f>
        <v>84578</v>
      </c>
      <c r="D8626" t="s">
        <v>3259</v>
      </c>
      <c r="E8626">
        <v>105</v>
      </c>
      <c r="F8626">
        <v>20140416</v>
      </c>
      <c r="G8626" t="s">
        <v>4022</v>
      </c>
      <c r="H8626" t="s">
        <v>357</v>
      </c>
      <c r="I8626" t="s">
        <v>21</v>
      </c>
    </row>
    <row r="8627" spans="1:9" x14ac:dyDescent="0.25">
      <c r="A8627">
        <v>20140417</v>
      </c>
      <c r="B8627" t="str">
        <f>"115345"</f>
        <v>115345</v>
      </c>
      <c r="C8627" t="str">
        <f>"82957"</f>
        <v>82957</v>
      </c>
      <c r="D8627" t="s">
        <v>1927</v>
      </c>
      <c r="E8627">
        <v>141.75</v>
      </c>
      <c r="F8627">
        <v>20140416</v>
      </c>
      <c r="G8627" t="s">
        <v>3771</v>
      </c>
      <c r="H8627" t="s">
        <v>4023</v>
      </c>
      <c r="I8627" t="s">
        <v>21</v>
      </c>
    </row>
    <row r="8628" spans="1:9" x14ac:dyDescent="0.25">
      <c r="A8628">
        <v>20140417</v>
      </c>
      <c r="B8628" t="str">
        <f>"115346"</f>
        <v>115346</v>
      </c>
      <c r="C8628" t="str">
        <f>"62900"</f>
        <v>62900</v>
      </c>
      <c r="D8628" t="s">
        <v>1293</v>
      </c>
      <c r="E8628" s="1">
        <v>1054.26</v>
      </c>
      <c r="F8628">
        <v>20140415</v>
      </c>
      <c r="G8628" t="s">
        <v>1020</v>
      </c>
      <c r="H8628" t="s">
        <v>4024</v>
      </c>
      <c r="I8628" t="s">
        <v>21</v>
      </c>
    </row>
    <row r="8629" spans="1:9" x14ac:dyDescent="0.25">
      <c r="A8629">
        <v>20140417</v>
      </c>
      <c r="B8629" t="str">
        <f>"115346"</f>
        <v>115346</v>
      </c>
      <c r="C8629" t="str">
        <f>"62900"</f>
        <v>62900</v>
      </c>
      <c r="D8629" t="s">
        <v>1293</v>
      </c>
      <c r="E8629">
        <v>67.14</v>
      </c>
      <c r="F8629">
        <v>20140411</v>
      </c>
      <c r="G8629" t="s">
        <v>2733</v>
      </c>
      <c r="H8629" t="s">
        <v>4025</v>
      </c>
      <c r="I8629" t="s">
        <v>1726</v>
      </c>
    </row>
    <row r="8630" spans="1:9" x14ac:dyDescent="0.25">
      <c r="A8630">
        <v>20140417</v>
      </c>
      <c r="B8630" t="str">
        <f>"115346"</f>
        <v>115346</v>
      </c>
      <c r="C8630" t="str">
        <f>"62900"</f>
        <v>62900</v>
      </c>
      <c r="D8630" t="s">
        <v>1293</v>
      </c>
      <c r="E8630">
        <v>131.06</v>
      </c>
      <c r="F8630">
        <v>20140415</v>
      </c>
      <c r="G8630" t="s">
        <v>2733</v>
      </c>
      <c r="H8630" t="s">
        <v>4026</v>
      </c>
      <c r="I8630" t="s">
        <v>1726</v>
      </c>
    </row>
    <row r="8631" spans="1:9" x14ac:dyDescent="0.25">
      <c r="A8631">
        <v>20140417</v>
      </c>
      <c r="B8631" t="str">
        <f>"115346"</f>
        <v>115346</v>
      </c>
      <c r="C8631" t="str">
        <f>"62900"</f>
        <v>62900</v>
      </c>
      <c r="D8631" t="s">
        <v>1293</v>
      </c>
      <c r="E8631">
        <v>45.87</v>
      </c>
      <c r="F8631">
        <v>20140415</v>
      </c>
      <c r="G8631" t="s">
        <v>2733</v>
      </c>
      <c r="H8631" t="s">
        <v>4027</v>
      </c>
      <c r="I8631" t="s">
        <v>1726</v>
      </c>
    </row>
    <row r="8632" spans="1:9" x14ac:dyDescent="0.25">
      <c r="A8632">
        <v>20140417</v>
      </c>
      <c r="B8632" t="str">
        <f>"115347"</f>
        <v>115347</v>
      </c>
      <c r="C8632" t="str">
        <f>"87818"</f>
        <v>87818</v>
      </c>
      <c r="D8632" t="s">
        <v>4028</v>
      </c>
      <c r="E8632" s="1">
        <v>6346</v>
      </c>
      <c r="F8632">
        <v>20140415</v>
      </c>
      <c r="G8632" t="s">
        <v>511</v>
      </c>
      <c r="H8632" t="s">
        <v>525</v>
      </c>
      <c r="I8632" t="s">
        <v>21</v>
      </c>
    </row>
    <row r="8633" spans="1:9" x14ac:dyDescent="0.25">
      <c r="A8633">
        <v>20140417</v>
      </c>
      <c r="B8633" t="str">
        <f>"115348"</f>
        <v>115348</v>
      </c>
      <c r="C8633" t="str">
        <f>"81726"</f>
        <v>81726</v>
      </c>
      <c r="D8633" t="s">
        <v>3954</v>
      </c>
      <c r="E8633">
        <v>105.2</v>
      </c>
      <c r="F8633">
        <v>20140415</v>
      </c>
      <c r="G8633" t="s">
        <v>3743</v>
      </c>
      <c r="H8633" t="s">
        <v>765</v>
      </c>
      <c r="I8633" t="s">
        <v>61</v>
      </c>
    </row>
    <row r="8634" spans="1:9" x14ac:dyDescent="0.25">
      <c r="A8634">
        <v>20140417</v>
      </c>
      <c r="B8634" t="str">
        <f>"115349"</f>
        <v>115349</v>
      </c>
      <c r="C8634" t="str">
        <f>"87383"</f>
        <v>87383</v>
      </c>
      <c r="D8634" t="s">
        <v>4029</v>
      </c>
      <c r="E8634">
        <v>142.03</v>
      </c>
      <c r="F8634">
        <v>20140416</v>
      </c>
      <c r="G8634" t="s">
        <v>2432</v>
      </c>
      <c r="H8634" t="s">
        <v>365</v>
      </c>
      <c r="I8634" t="s">
        <v>66</v>
      </c>
    </row>
    <row r="8635" spans="1:9" x14ac:dyDescent="0.25">
      <c r="A8635">
        <v>20140417</v>
      </c>
      <c r="B8635" t="str">
        <f>"115350"</f>
        <v>115350</v>
      </c>
      <c r="C8635" t="str">
        <f>"87245"</f>
        <v>87245</v>
      </c>
      <c r="D8635" t="s">
        <v>3189</v>
      </c>
      <c r="E8635" s="1">
        <v>1252</v>
      </c>
      <c r="F8635">
        <v>20140416</v>
      </c>
      <c r="G8635" t="s">
        <v>2932</v>
      </c>
      <c r="H8635" t="s">
        <v>4030</v>
      </c>
      <c r="I8635" t="s">
        <v>21</v>
      </c>
    </row>
    <row r="8636" spans="1:9" x14ac:dyDescent="0.25">
      <c r="A8636">
        <v>20140417</v>
      </c>
      <c r="B8636" t="str">
        <f>"115350"</f>
        <v>115350</v>
      </c>
      <c r="C8636" t="str">
        <f>"87245"</f>
        <v>87245</v>
      </c>
      <c r="D8636" t="s">
        <v>3189</v>
      </c>
      <c r="E8636">
        <v>10</v>
      </c>
      <c r="F8636">
        <v>20140416</v>
      </c>
      <c r="G8636" t="s">
        <v>2932</v>
      </c>
      <c r="H8636" t="s">
        <v>4030</v>
      </c>
      <c r="I8636" t="s">
        <v>21</v>
      </c>
    </row>
    <row r="8637" spans="1:9" x14ac:dyDescent="0.25">
      <c r="A8637">
        <v>20140417</v>
      </c>
      <c r="B8637" t="str">
        <f>"115350"</f>
        <v>115350</v>
      </c>
      <c r="C8637" t="str">
        <f>"87245"</f>
        <v>87245</v>
      </c>
      <c r="D8637" t="s">
        <v>3189</v>
      </c>
      <c r="E8637">
        <v>770</v>
      </c>
      <c r="F8637">
        <v>20140416</v>
      </c>
      <c r="G8637" t="s">
        <v>4022</v>
      </c>
      <c r="H8637" t="s">
        <v>4030</v>
      </c>
      <c r="I8637" t="s">
        <v>21</v>
      </c>
    </row>
    <row r="8638" spans="1:9" x14ac:dyDescent="0.25">
      <c r="A8638">
        <v>20140417</v>
      </c>
      <c r="B8638" t="str">
        <f>"115350"</f>
        <v>115350</v>
      </c>
      <c r="C8638" t="str">
        <f>"87245"</f>
        <v>87245</v>
      </c>
      <c r="D8638" t="s">
        <v>3189</v>
      </c>
      <c r="E8638">
        <v>10</v>
      </c>
      <c r="F8638">
        <v>20140416</v>
      </c>
      <c r="G8638" t="s">
        <v>4022</v>
      </c>
      <c r="H8638" t="s">
        <v>4031</v>
      </c>
      <c r="I8638" t="s">
        <v>21</v>
      </c>
    </row>
    <row r="8639" spans="1:9" x14ac:dyDescent="0.25">
      <c r="A8639">
        <v>20140417</v>
      </c>
      <c r="B8639" t="str">
        <f>"115351"</f>
        <v>115351</v>
      </c>
      <c r="C8639" t="str">
        <f>"86376"</f>
        <v>86376</v>
      </c>
      <c r="D8639" t="s">
        <v>1661</v>
      </c>
      <c r="E8639" s="1">
        <v>3367</v>
      </c>
      <c r="F8639">
        <v>20140411</v>
      </c>
      <c r="G8639" t="s">
        <v>1067</v>
      </c>
      <c r="H8639" t="s">
        <v>4032</v>
      </c>
      <c r="I8639" t="s">
        <v>21</v>
      </c>
    </row>
    <row r="8640" spans="1:9" x14ac:dyDescent="0.25">
      <c r="A8640">
        <v>20140417</v>
      </c>
      <c r="B8640" t="str">
        <f>"115352"</f>
        <v>115352</v>
      </c>
      <c r="C8640" t="str">
        <f>"81119"</f>
        <v>81119</v>
      </c>
      <c r="D8640" t="s">
        <v>1815</v>
      </c>
      <c r="E8640">
        <v>67.95</v>
      </c>
      <c r="F8640">
        <v>20140415</v>
      </c>
      <c r="G8640" t="s">
        <v>982</v>
      </c>
      <c r="H8640" t="s">
        <v>563</v>
      </c>
      <c r="I8640" t="s">
        <v>21</v>
      </c>
    </row>
    <row r="8641" spans="1:9" x14ac:dyDescent="0.25">
      <c r="A8641">
        <v>20140417</v>
      </c>
      <c r="B8641" t="str">
        <f>"115353"</f>
        <v>115353</v>
      </c>
      <c r="C8641" t="str">
        <f>"70665"</f>
        <v>70665</v>
      </c>
      <c r="D8641" t="s">
        <v>693</v>
      </c>
      <c r="E8641">
        <v>100</v>
      </c>
      <c r="F8641">
        <v>20140415</v>
      </c>
      <c r="G8641" t="s">
        <v>364</v>
      </c>
      <c r="H8641" t="s">
        <v>1054</v>
      </c>
      <c r="I8641" t="s">
        <v>21</v>
      </c>
    </row>
    <row r="8642" spans="1:9" x14ac:dyDescent="0.25">
      <c r="A8642">
        <v>20140417</v>
      </c>
      <c r="B8642" t="str">
        <f>"115354"</f>
        <v>115354</v>
      </c>
      <c r="C8642" t="str">
        <f>"69859"</f>
        <v>69859</v>
      </c>
      <c r="D8642" t="s">
        <v>4033</v>
      </c>
      <c r="E8642" s="1">
        <v>1975.37</v>
      </c>
      <c r="F8642">
        <v>20140411</v>
      </c>
      <c r="G8642" t="s">
        <v>194</v>
      </c>
      <c r="H8642" t="s">
        <v>1534</v>
      </c>
      <c r="I8642" t="s">
        <v>25</v>
      </c>
    </row>
    <row r="8643" spans="1:9" x14ac:dyDescent="0.25">
      <c r="A8643">
        <v>20140417</v>
      </c>
      <c r="B8643" t="str">
        <f>"115355"</f>
        <v>115355</v>
      </c>
      <c r="C8643" t="str">
        <f>"86616"</f>
        <v>86616</v>
      </c>
      <c r="D8643" t="s">
        <v>1942</v>
      </c>
      <c r="E8643" s="1">
        <v>4050</v>
      </c>
      <c r="F8643">
        <v>20140411</v>
      </c>
      <c r="G8643" t="s">
        <v>1943</v>
      </c>
      <c r="H8643" t="s">
        <v>4034</v>
      </c>
      <c r="I8643" t="s">
        <v>21</v>
      </c>
    </row>
    <row r="8644" spans="1:9" x14ac:dyDescent="0.25">
      <c r="A8644">
        <v>20140417</v>
      </c>
      <c r="B8644" t="str">
        <f>"115356"</f>
        <v>115356</v>
      </c>
      <c r="C8644" t="str">
        <f>"70681"</f>
        <v>70681</v>
      </c>
      <c r="D8644" t="s">
        <v>3191</v>
      </c>
      <c r="E8644">
        <v>908</v>
      </c>
      <c r="F8644">
        <v>20140411</v>
      </c>
      <c r="G8644" t="s">
        <v>810</v>
      </c>
      <c r="H8644" t="s">
        <v>4035</v>
      </c>
      <c r="I8644" t="s">
        <v>66</v>
      </c>
    </row>
    <row r="8645" spans="1:9" x14ac:dyDescent="0.25">
      <c r="A8645">
        <v>20140417</v>
      </c>
      <c r="B8645" t="str">
        <f>"115356"</f>
        <v>115356</v>
      </c>
      <c r="C8645" t="str">
        <f>"70681"</f>
        <v>70681</v>
      </c>
      <c r="D8645" t="s">
        <v>3191</v>
      </c>
      <c r="E8645" s="1">
        <v>1120</v>
      </c>
      <c r="F8645">
        <v>20140411</v>
      </c>
      <c r="G8645" t="s">
        <v>1145</v>
      </c>
      <c r="H8645" t="s">
        <v>4035</v>
      </c>
      <c r="I8645" t="s">
        <v>73</v>
      </c>
    </row>
    <row r="8646" spans="1:9" x14ac:dyDescent="0.25">
      <c r="A8646">
        <v>20140417</v>
      </c>
      <c r="B8646" t="str">
        <f>"115357"</f>
        <v>115357</v>
      </c>
      <c r="C8646" t="str">
        <f>"70765"</f>
        <v>70765</v>
      </c>
      <c r="D8646" t="s">
        <v>4036</v>
      </c>
      <c r="E8646">
        <v>247.5</v>
      </c>
      <c r="F8646">
        <v>20140411</v>
      </c>
      <c r="G8646" t="s">
        <v>653</v>
      </c>
      <c r="H8646" t="s">
        <v>679</v>
      </c>
      <c r="I8646" t="s">
        <v>21</v>
      </c>
    </row>
    <row r="8647" spans="1:9" x14ac:dyDescent="0.25">
      <c r="A8647">
        <v>20140417</v>
      </c>
      <c r="B8647" t="str">
        <f>"115358"</f>
        <v>115358</v>
      </c>
      <c r="C8647" t="str">
        <f>"85763"</f>
        <v>85763</v>
      </c>
      <c r="D8647" t="s">
        <v>3792</v>
      </c>
      <c r="E8647">
        <v>600</v>
      </c>
      <c r="F8647">
        <v>20140411</v>
      </c>
      <c r="G8647" t="s">
        <v>746</v>
      </c>
      <c r="H8647" t="s">
        <v>555</v>
      </c>
      <c r="I8647" t="s">
        <v>21</v>
      </c>
    </row>
    <row r="8648" spans="1:9" x14ac:dyDescent="0.25">
      <c r="A8648">
        <v>20140417</v>
      </c>
      <c r="B8648" t="str">
        <f>"115358"</f>
        <v>115358</v>
      </c>
      <c r="C8648" t="str">
        <f>"85763"</f>
        <v>85763</v>
      </c>
      <c r="D8648" t="s">
        <v>3792</v>
      </c>
      <c r="E8648">
        <v>900</v>
      </c>
      <c r="F8648">
        <v>20140411</v>
      </c>
      <c r="G8648" t="s">
        <v>746</v>
      </c>
      <c r="H8648" t="s">
        <v>555</v>
      </c>
      <c r="I8648" t="s">
        <v>21</v>
      </c>
    </row>
    <row r="8649" spans="1:9" x14ac:dyDescent="0.25">
      <c r="A8649">
        <v>20140417</v>
      </c>
      <c r="B8649" t="str">
        <f>"115358"</f>
        <v>115358</v>
      </c>
      <c r="C8649" t="str">
        <f>"85763"</f>
        <v>85763</v>
      </c>
      <c r="D8649" t="s">
        <v>3792</v>
      </c>
      <c r="E8649">
        <v>480</v>
      </c>
      <c r="F8649">
        <v>20140411</v>
      </c>
      <c r="G8649" t="s">
        <v>746</v>
      </c>
      <c r="H8649" t="s">
        <v>555</v>
      </c>
      <c r="I8649" t="s">
        <v>21</v>
      </c>
    </row>
    <row r="8650" spans="1:9" x14ac:dyDescent="0.25">
      <c r="A8650">
        <v>20140417</v>
      </c>
      <c r="B8650" t="str">
        <f>"115358"</f>
        <v>115358</v>
      </c>
      <c r="C8650" t="str">
        <f>"85763"</f>
        <v>85763</v>
      </c>
      <c r="D8650" t="s">
        <v>3792</v>
      </c>
      <c r="E8650">
        <v>320</v>
      </c>
      <c r="F8650">
        <v>20140411</v>
      </c>
      <c r="G8650" t="s">
        <v>746</v>
      </c>
      <c r="H8650" t="s">
        <v>555</v>
      </c>
      <c r="I8650" t="s">
        <v>21</v>
      </c>
    </row>
    <row r="8651" spans="1:9" x14ac:dyDescent="0.25">
      <c r="A8651">
        <v>20140417</v>
      </c>
      <c r="B8651" t="str">
        <f>"115359"</f>
        <v>115359</v>
      </c>
      <c r="C8651" t="str">
        <f>"75581"</f>
        <v>75581</v>
      </c>
      <c r="D8651" t="s">
        <v>391</v>
      </c>
      <c r="E8651" s="1">
        <v>1020.6</v>
      </c>
      <c r="F8651">
        <v>20140416</v>
      </c>
      <c r="G8651" t="s">
        <v>392</v>
      </c>
      <c r="H8651" t="s">
        <v>393</v>
      </c>
      <c r="I8651" t="s">
        <v>21</v>
      </c>
    </row>
    <row r="8652" spans="1:9" x14ac:dyDescent="0.25">
      <c r="A8652">
        <v>20140417</v>
      </c>
      <c r="B8652" t="str">
        <f>"115360"</f>
        <v>115360</v>
      </c>
      <c r="C8652" t="str">
        <f>"86951"</f>
        <v>86951</v>
      </c>
      <c r="D8652" t="s">
        <v>394</v>
      </c>
      <c r="E8652">
        <v>244.02</v>
      </c>
      <c r="F8652">
        <v>20140411</v>
      </c>
      <c r="G8652" t="s">
        <v>337</v>
      </c>
      <c r="H8652" t="s">
        <v>2166</v>
      </c>
      <c r="I8652" t="s">
        <v>21</v>
      </c>
    </row>
    <row r="8653" spans="1:9" x14ac:dyDescent="0.25">
      <c r="A8653">
        <v>20140417</v>
      </c>
      <c r="B8653" t="str">
        <f>"115361"</f>
        <v>115361</v>
      </c>
      <c r="C8653" t="str">
        <f>"87560"</f>
        <v>87560</v>
      </c>
      <c r="D8653" t="s">
        <v>2304</v>
      </c>
      <c r="E8653" s="1">
        <v>3000</v>
      </c>
      <c r="F8653">
        <v>20140415</v>
      </c>
      <c r="G8653" t="s">
        <v>1504</v>
      </c>
      <c r="H8653" t="s">
        <v>4037</v>
      </c>
      <c r="I8653" t="s">
        <v>21</v>
      </c>
    </row>
    <row r="8654" spans="1:9" x14ac:dyDescent="0.25">
      <c r="A8654">
        <v>20140417</v>
      </c>
      <c r="B8654" t="str">
        <f>"115362"</f>
        <v>115362</v>
      </c>
      <c r="C8654" t="str">
        <f>"81358"</f>
        <v>81358</v>
      </c>
      <c r="D8654" t="s">
        <v>736</v>
      </c>
      <c r="E8654">
        <v>318.56</v>
      </c>
      <c r="F8654">
        <v>20140411</v>
      </c>
      <c r="G8654" t="s">
        <v>737</v>
      </c>
      <c r="H8654" t="s">
        <v>738</v>
      </c>
      <c r="I8654" t="s">
        <v>21</v>
      </c>
    </row>
    <row r="8655" spans="1:9" x14ac:dyDescent="0.25">
      <c r="A8655">
        <v>20140417</v>
      </c>
      <c r="B8655" t="str">
        <f>"115363"</f>
        <v>115363</v>
      </c>
      <c r="C8655" t="str">
        <f>"81358"</f>
        <v>81358</v>
      </c>
      <c r="D8655" t="s">
        <v>736</v>
      </c>
      <c r="E8655">
        <v>79.92</v>
      </c>
      <c r="F8655">
        <v>20140411</v>
      </c>
      <c r="G8655" t="s">
        <v>737</v>
      </c>
      <c r="H8655" t="s">
        <v>738</v>
      </c>
      <c r="I8655" t="s">
        <v>21</v>
      </c>
    </row>
    <row r="8656" spans="1:9" x14ac:dyDescent="0.25">
      <c r="A8656">
        <v>20140417</v>
      </c>
      <c r="B8656" t="str">
        <f>"115364"</f>
        <v>115364</v>
      </c>
      <c r="C8656" t="str">
        <f>"00758"</f>
        <v>00758</v>
      </c>
      <c r="D8656" t="s">
        <v>4038</v>
      </c>
      <c r="E8656">
        <v>500</v>
      </c>
      <c r="F8656">
        <v>20140416</v>
      </c>
      <c r="G8656" t="s">
        <v>965</v>
      </c>
      <c r="H8656" t="s">
        <v>361</v>
      </c>
      <c r="I8656" t="s">
        <v>21</v>
      </c>
    </row>
    <row r="8657" spans="1:9" x14ac:dyDescent="0.25">
      <c r="A8657">
        <v>20140417</v>
      </c>
      <c r="B8657" t="str">
        <f>"115365"</f>
        <v>115365</v>
      </c>
      <c r="C8657" t="str">
        <f>"85492"</f>
        <v>85492</v>
      </c>
      <c r="D8657" t="s">
        <v>3798</v>
      </c>
      <c r="E8657">
        <v>60</v>
      </c>
      <c r="F8657">
        <v>20140415</v>
      </c>
      <c r="G8657" t="s">
        <v>3743</v>
      </c>
      <c r="H8657" t="s">
        <v>765</v>
      </c>
      <c r="I8657" t="s">
        <v>61</v>
      </c>
    </row>
    <row r="8658" spans="1:9" x14ac:dyDescent="0.25">
      <c r="A8658">
        <v>20140417</v>
      </c>
      <c r="B8658" t="str">
        <f>"115366"</f>
        <v>115366</v>
      </c>
      <c r="C8658" t="str">
        <f>"83814"</f>
        <v>83814</v>
      </c>
      <c r="D8658" t="s">
        <v>3457</v>
      </c>
      <c r="E8658" s="1">
        <v>2456.5100000000002</v>
      </c>
      <c r="F8658">
        <v>20140411</v>
      </c>
      <c r="G8658" t="s">
        <v>4039</v>
      </c>
      <c r="H8658" t="s">
        <v>3458</v>
      </c>
      <c r="I8658" t="s">
        <v>608</v>
      </c>
    </row>
    <row r="8659" spans="1:9" x14ac:dyDescent="0.25">
      <c r="A8659">
        <v>20140417</v>
      </c>
      <c r="B8659" t="str">
        <f>"115367"</f>
        <v>115367</v>
      </c>
      <c r="C8659" t="str">
        <f>"00067"</f>
        <v>00067</v>
      </c>
      <c r="D8659" t="s">
        <v>1327</v>
      </c>
      <c r="E8659">
        <v>130.56</v>
      </c>
      <c r="F8659">
        <v>20140416</v>
      </c>
      <c r="G8659" t="s">
        <v>356</v>
      </c>
      <c r="H8659" t="s">
        <v>357</v>
      </c>
      <c r="I8659" t="s">
        <v>61</v>
      </c>
    </row>
    <row r="8660" spans="1:9" x14ac:dyDescent="0.25">
      <c r="A8660">
        <v>20140417</v>
      </c>
      <c r="B8660" t="str">
        <f>"115368"</f>
        <v>115368</v>
      </c>
      <c r="C8660" t="str">
        <f>"87318"</f>
        <v>87318</v>
      </c>
      <c r="D8660" t="s">
        <v>4040</v>
      </c>
      <c r="E8660">
        <v>500</v>
      </c>
      <c r="F8660">
        <v>20140415</v>
      </c>
      <c r="G8660" t="s">
        <v>672</v>
      </c>
      <c r="H8660" t="s">
        <v>4041</v>
      </c>
      <c r="I8660" t="s">
        <v>21</v>
      </c>
    </row>
    <row r="8661" spans="1:9" x14ac:dyDescent="0.25">
      <c r="A8661">
        <v>20140424</v>
      </c>
      <c r="B8661" t="str">
        <f>"115369"</f>
        <v>115369</v>
      </c>
      <c r="C8661" t="str">
        <f>"00120"</f>
        <v>00120</v>
      </c>
      <c r="D8661" t="s">
        <v>336</v>
      </c>
      <c r="E8661">
        <v>109.38</v>
      </c>
      <c r="F8661">
        <v>20140423</v>
      </c>
      <c r="G8661" t="s">
        <v>337</v>
      </c>
      <c r="H8661" t="s">
        <v>766</v>
      </c>
      <c r="I8661" t="s">
        <v>21</v>
      </c>
    </row>
    <row r="8662" spans="1:9" x14ac:dyDescent="0.25">
      <c r="A8662">
        <v>20140424</v>
      </c>
      <c r="B8662" t="str">
        <f>"115370"</f>
        <v>115370</v>
      </c>
      <c r="C8662" t="str">
        <f>"05800"</f>
        <v>05800</v>
      </c>
      <c r="D8662" t="s">
        <v>998</v>
      </c>
      <c r="E8662">
        <v>49</v>
      </c>
      <c r="F8662">
        <v>20140422</v>
      </c>
      <c r="G8662" t="s">
        <v>1554</v>
      </c>
      <c r="H8662" t="s">
        <v>4042</v>
      </c>
      <c r="I8662" t="s">
        <v>38</v>
      </c>
    </row>
    <row r="8663" spans="1:9" x14ac:dyDescent="0.25">
      <c r="A8663">
        <v>20140424</v>
      </c>
      <c r="B8663" t="str">
        <f>"115371"</f>
        <v>115371</v>
      </c>
      <c r="C8663" t="str">
        <f>"00255"</f>
        <v>00255</v>
      </c>
      <c r="D8663" t="s">
        <v>489</v>
      </c>
      <c r="E8663">
        <v>194.39</v>
      </c>
      <c r="F8663">
        <v>20140417</v>
      </c>
      <c r="G8663" t="s">
        <v>1186</v>
      </c>
      <c r="H8663" t="s">
        <v>488</v>
      </c>
      <c r="I8663" t="s">
        <v>21</v>
      </c>
    </row>
    <row r="8664" spans="1:9" x14ac:dyDescent="0.25">
      <c r="A8664">
        <v>20140424</v>
      </c>
      <c r="B8664" t="str">
        <f>"115372"</f>
        <v>115372</v>
      </c>
      <c r="C8664" t="str">
        <f>"09575"</f>
        <v>09575</v>
      </c>
      <c r="D8664" t="s">
        <v>2109</v>
      </c>
      <c r="E8664">
        <v>572</v>
      </c>
      <c r="F8664">
        <v>20140422</v>
      </c>
      <c r="G8664" t="s">
        <v>2219</v>
      </c>
      <c r="H8664" t="s">
        <v>4043</v>
      </c>
      <c r="I8664" t="s">
        <v>61</v>
      </c>
    </row>
    <row r="8665" spans="1:9" x14ac:dyDescent="0.25">
      <c r="A8665">
        <v>20140424</v>
      </c>
      <c r="B8665" t="str">
        <f>"115373"</f>
        <v>115373</v>
      </c>
      <c r="C8665" t="str">
        <f>"82758"</f>
        <v>82758</v>
      </c>
      <c r="D8665" t="s">
        <v>776</v>
      </c>
      <c r="E8665" s="1">
        <v>13631.2</v>
      </c>
      <c r="F8665">
        <v>20140423</v>
      </c>
      <c r="G8665" t="s">
        <v>777</v>
      </c>
      <c r="H8665" t="s">
        <v>4044</v>
      </c>
      <c r="I8665" t="s">
        <v>21</v>
      </c>
    </row>
    <row r="8666" spans="1:9" x14ac:dyDescent="0.25">
      <c r="A8666">
        <v>20140424</v>
      </c>
      <c r="B8666" t="str">
        <f>"115374"</f>
        <v>115374</v>
      </c>
      <c r="C8666" t="str">
        <f>"83193"</f>
        <v>83193</v>
      </c>
      <c r="D8666" t="s">
        <v>1008</v>
      </c>
      <c r="E8666" s="1">
        <v>1900</v>
      </c>
      <c r="F8666">
        <v>20140423</v>
      </c>
      <c r="G8666" t="s">
        <v>1731</v>
      </c>
      <c r="H8666" t="s">
        <v>357</v>
      </c>
      <c r="I8666" t="s">
        <v>38</v>
      </c>
    </row>
    <row r="8667" spans="1:9" x14ac:dyDescent="0.25">
      <c r="A8667">
        <v>20140424</v>
      </c>
      <c r="B8667" t="str">
        <f>"115375"</f>
        <v>115375</v>
      </c>
      <c r="C8667" t="str">
        <f>"12175"</f>
        <v>12175</v>
      </c>
      <c r="D8667" t="s">
        <v>2621</v>
      </c>
      <c r="E8667">
        <v>858.52</v>
      </c>
      <c r="F8667">
        <v>20140423</v>
      </c>
      <c r="G8667" t="s">
        <v>1775</v>
      </c>
      <c r="H8667" t="s">
        <v>4045</v>
      </c>
      <c r="I8667" t="s">
        <v>21</v>
      </c>
    </row>
    <row r="8668" spans="1:9" x14ac:dyDescent="0.25">
      <c r="A8668">
        <v>20140424</v>
      </c>
      <c r="B8668" t="str">
        <f>"115376"</f>
        <v>115376</v>
      </c>
      <c r="C8668" t="str">
        <f>"12392"</f>
        <v>12392</v>
      </c>
      <c r="D8668" t="s">
        <v>1196</v>
      </c>
      <c r="E8668">
        <v>15</v>
      </c>
      <c r="F8668">
        <v>20140422</v>
      </c>
      <c r="G8668" t="s">
        <v>186</v>
      </c>
      <c r="H8668" t="s">
        <v>354</v>
      </c>
      <c r="I8668" t="s">
        <v>61</v>
      </c>
    </row>
    <row r="8669" spans="1:9" x14ac:dyDescent="0.25">
      <c r="A8669">
        <v>20140424</v>
      </c>
      <c r="B8669" t="str">
        <f>"115376"</f>
        <v>115376</v>
      </c>
      <c r="C8669" t="str">
        <f>"12392"</f>
        <v>12392</v>
      </c>
      <c r="D8669" t="s">
        <v>1196</v>
      </c>
      <c r="E8669">
        <v>10</v>
      </c>
      <c r="F8669">
        <v>20140423</v>
      </c>
      <c r="G8669" t="s">
        <v>1197</v>
      </c>
      <c r="H8669" t="s">
        <v>354</v>
      </c>
      <c r="I8669" t="s">
        <v>21</v>
      </c>
    </row>
    <row r="8670" spans="1:9" x14ac:dyDescent="0.25">
      <c r="A8670">
        <v>20140424</v>
      </c>
      <c r="B8670" t="str">
        <f t="shared" ref="B8670:B8701" si="506">"115377"</f>
        <v>115377</v>
      </c>
      <c r="C8670" t="str">
        <f t="shared" ref="C8670:C8701" si="507">"83878"</f>
        <v>83878</v>
      </c>
      <c r="D8670" t="s">
        <v>1016</v>
      </c>
      <c r="E8670">
        <v>243.85</v>
      </c>
      <c r="F8670">
        <v>20140418</v>
      </c>
      <c r="G8670" t="s">
        <v>1019</v>
      </c>
      <c r="H8670" t="s">
        <v>1018</v>
      </c>
      <c r="I8670" t="s">
        <v>131</v>
      </c>
    </row>
    <row r="8671" spans="1:9" x14ac:dyDescent="0.25">
      <c r="A8671">
        <v>20140424</v>
      </c>
      <c r="B8671" t="str">
        <f t="shared" si="506"/>
        <v>115377</v>
      </c>
      <c r="C8671" t="str">
        <f t="shared" si="507"/>
        <v>83878</v>
      </c>
      <c r="D8671" t="s">
        <v>1016</v>
      </c>
      <c r="E8671">
        <v>342.77</v>
      </c>
      <c r="F8671">
        <v>20140418</v>
      </c>
      <c r="G8671" t="s">
        <v>1067</v>
      </c>
      <c r="H8671" t="s">
        <v>1018</v>
      </c>
      <c r="I8671" t="s">
        <v>21</v>
      </c>
    </row>
    <row r="8672" spans="1:9" x14ac:dyDescent="0.25">
      <c r="A8672">
        <v>20140424</v>
      </c>
      <c r="B8672" t="str">
        <f t="shared" si="506"/>
        <v>115377</v>
      </c>
      <c r="C8672" t="str">
        <f t="shared" si="507"/>
        <v>83878</v>
      </c>
      <c r="D8672" t="s">
        <v>1016</v>
      </c>
      <c r="E8672">
        <v>53.25</v>
      </c>
      <c r="F8672">
        <v>20140418</v>
      </c>
      <c r="G8672" t="s">
        <v>830</v>
      </c>
      <c r="H8672" t="s">
        <v>1018</v>
      </c>
      <c r="I8672" t="s">
        <v>21</v>
      </c>
    </row>
    <row r="8673" spans="1:9" x14ac:dyDescent="0.25">
      <c r="A8673">
        <v>20140424</v>
      </c>
      <c r="B8673" t="str">
        <f t="shared" si="506"/>
        <v>115377</v>
      </c>
      <c r="C8673" t="str">
        <f t="shared" si="507"/>
        <v>83878</v>
      </c>
      <c r="D8673" t="s">
        <v>1016</v>
      </c>
      <c r="E8673">
        <v>224.05</v>
      </c>
      <c r="F8673">
        <v>20140422</v>
      </c>
      <c r="G8673" t="s">
        <v>1020</v>
      </c>
      <c r="H8673" t="s">
        <v>4046</v>
      </c>
      <c r="I8673" t="s">
        <v>21</v>
      </c>
    </row>
    <row r="8674" spans="1:9" x14ac:dyDescent="0.25">
      <c r="A8674">
        <v>20140424</v>
      </c>
      <c r="B8674" t="str">
        <f t="shared" si="506"/>
        <v>115377</v>
      </c>
      <c r="C8674" t="str">
        <f t="shared" si="507"/>
        <v>83878</v>
      </c>
      <c r="D8674" t="s">
        <v>1016</v>
      </c>
      <c r="E8674">
        <v>175.53</v>
      </c>
      <c r="F8674">
        <v>20140422</v>
      </c>
      <c r="G8674" t="s">
        <v>1020</v>
      </c>
      <c r="H8674" t="s">
        <v>4047</v>
      </c>
      <c r="I8674" t="s">
        <v>21</v>
      </c>
    </row>
    <row r="8675" spans="1:9" x14ac:dyDescent="0.25">
      <c r="A8675">
        <v>20140424</v>
      </c>
      <c r="B8675" t="str">
        <f t="shared" si="506"/>
        <v>115377</v>
      </c>
      <c r="C8675" t="str">
        <f t="shared" si="507"/>
        <v>83878</v>
      </c>
      <c r="D8675" t="s">
        <v>1016</v>
      </c>
      <c r="E8675">
        <v>268.27999999999997</v>
      </c>
      <c r="F8675">
        <v>20140418</v>
      </c>
      <c r="G8675" t="s">
        <v>3813</v>
      </c>
      <c r="H8675" t="s">
        <v>1018</v>
      </c>
      <c r="I8675" t="s">
        <v>21</v>
      </c>
    </row>
    <row r="8676" spans="1:9" x14ac:dyDescent="0.25">
      <c r="A8676">
        <v>20140424</v>
      </c>
      <c r="B8676" t="str">
        <f t="shared" si="506"/>
        <v>115377</v>
      </c>
      <c r="C8676" t="str">
        <f t="shared" si="507"/>
        <v>83878</v>
      </c>
      <c r="D8676" t="s">
        <v>1016</v>
      </c>
      <c r="E8676">
        <v>282.83</v>
      </c>
      <c r="F8676">
        <v>20140418</v>
      </c>
      <c r="G8676" t="s">
        <v>1126</v>
      </c>
      <c r="H8676" t="s">
        <v>1018</v>
      </c>
      <c r="I8676" t="s">
        <v>21</v>
      </c>
    </row>
    <row r="8677" spans="1:9" x14ac:dyDescent="0.25">
      <c r="A8677">
        <v>20140424</v>
      </c>
      <c r="B8677" t="str">
        <f t="shared" si="506"/>
        <v>115377</v>
      </c>
      <c r="C8677" t="str">
        <f t="shared" si="507"/>
        <v>83878</v>
      </c>
      <c r="D8677" t="s">
        <v>1016</v>
      </c>
      <c r="E8677">
        <v>-5.52</v>
      </c>
      <c r="F8677">
        <v>20140424</v>
      </c>
      <c r="G8677" t="s">
        <v>808</v>
      </c>
      <c r="H8677" t="s">
        <v>1018</v>
      </c>
      <c r="I8677" t="s">
        <v>21</v>
      </c>
    </row>
    <row r="8678" spans="1:9" x14ac:dyDescent="0.25">
      <c r="A8678">
        <v>20140424</v>
      </c>
      <c r="B8678" t="str">
        <f t="shared" si="506"/>
        <v>115377</v>
      </c>
      <c r="C8678" t="str">
        <f t="shared" si="507"/>
        <v>83878</v>
      </c>
      <c r="D8678" t="s">
        <v>1016</v>
      </c>
      <c r="E8678">
        <v>179.99</v>
      </c>
      <c r="F8678">
        <v>20140418</v>
      </c>
      <c r="G8678" t="s">
        <v>1071</v>
      </c>
      <c r="H8678" t="s">
        <v>1018</v>
      </c>
      <c r="I8678" t="s">
        <v>21</v>
      </c>
    </row>
    <row r="8679" spans="1:9" x14ac:dyDescent="0.25">
      <c r="A8679">
        <v>20140424</v>
      </c>
      <c r="B8679" t="str">
        <f t="shared" si="506"/>
        <v>115377</v>
      </c>
      <c r="C8679" t="str">
        <f t="shared" si="507"/>
        <v>83878</v>
      </c>
      <c r="D8679" t="s">
        <v>1016</v>
      </c>
      <c r="E8679">
        <v>103.5</v>
      </c>
      <c r="F8679">
        <v>20140418</v>
      </c>
      <c r="G8679" t="s">
        <v>4048</v>
      </c>
      <c r="H8679" t="s">
        <v>1018</v>
      </c>
      <c r="I8679" t="s">
        <v>21</v>
      </c>
    </row>
    <row r="8680" spans="1:9" x14ac:dyDescent="0.25">
      <c r="A8680">
        <v>20140424</v>
      </c>
      <c r="B8680" t="str">
        <f t="shared" si="506"/>
        <v>115377</v>
      </c>
      <c r="C8680" t="str">
        <f t="shared" si="507"/>
        <v>83878</v>
      </c>
      <c r="D8680" t="s">
        <v>1016</v>
      </c>
      <c r="E8680">
        <v>28.23</v>
      </c>
      <c r="F8680">
        <v>20140418</v>
      </c>
      <c r="G8680" t="s">
        <v>650</v>
      </c>
      <c r="H8680" t="s">
        <v>1018</v>
      </c>
      <c r="I8680" t="s">
        <v>21</v>
      </c>
    </row>
    <row r="8681" spans="1:9" x14ac:dyDescent="0.25">
      <c r="A8681">
        <v>20140424</v>
      </c>
      <c r="B8681" t="str">
        <f t="shared" si="506"/>
        <v>115377</v>
      </c>
      <c r="C8681" t="str">
        <f t="shared" si="507"/>
        <v>83878</v>
      </c>
      <c r="D8681" t="s">
        <v>1016</v>
      </c>
      <c r="E8681" s="1">
        <v>1280.03</v>
      </c>
      <c r="F8681">
        <v>20140418</v>
      </c>
      <c r="G8681" t="s">
        <v>1329</v>
      </c>
      <c r="H8681" t="s">
        <v>1018</v>
      </c>
      <c r="I8681" t="s">
        <v>21</v>
      </c>
    </row>
    <row r="8682" spans="1:9" x14ac:dyDescent="0.25">
      <c r="A8682">
        <v>20140424</v>
      </c>
      <c r="B8682" t="str">
        <f t="shared" si="506"/>
        <v>115377</v>
      </c>
      <c r="C8682" t="str">
        <f t="shared" si="507"/>
        <v>83878</v>
      </c>
      <c r="D8682" t="s">
        <v>1016</v>
      </c>
      <c r="E8682">
        <v>466.97</v>
      </c>
      <c r="F8682">
        <v>20140418</v>
      </c>
      <c r="G8682" t="s">
        <v>557</v>
      </c>
      <c r="H8682" t="s">
        <v>1018</v>
      </c>
      <c r="I8682" t="s">
        <v>21</v>
      </c>
    </row>
    <row r="8683" spans="1:9" x14ac:dyDescent="0.25">
      <c r="A8683">
        <v>20140424</v>
      </c>
      <c r="B8683" t="str">
        <f t="shared" si="506"/>
        <v>115377</v>
      </c>
      <c r="C8683" t="str">
        <f t="shared" si="507"/>
        <v>83878</v>
      </c>
      <c r="D8683" t="s">
        <v>1016</v>
      </c>
      <c r="E8683">
        <v>157.44</v>
      </c>
      <c r="F8683">
        <v>20140418</v>
      </c>
      <c r="G8683" t="s">
        <v>585</v>
      </c>
      <c r="H8683" t="s">
        <v>1018</v>
      </c>
      <c r="I8683" t="s">
        <v>21</v>
      </c>
    </row>
    <row r="8684" spans="1:9" x14ac:dyDescent="0.25">
      <c r="A8684">
        <v>20140424</v>
      </c>
      <c r="B8684" t="str">
        <f t="shared" si="506"/>
        <v>115377</v>
      </c>
      <c r="C8684" t="str">
        <f t="shared" si="507"/>
        <v>83878</v>
      </c>
      <c r="D8684" t="s">
        <v>1016</v>
      </c>
      <c r="E8684">
        <v>271.16000000000003</v>
      </c>
      <c r="F8684">
        <v>20140418</v>
      </c>
      <c r="G8684" t="s">
        <v>837</v>
      </c>
      <c r="H8684" t="s">
        <v>1018</v>
      </c>
      <c r="I8684" t="s">
        <v>21</v>
      </c>
    </row>
    <row r="8685" spans="1:9" x14ac:dyDescent="0.25">
      <c r="A8685">
        <v>20140424</v>
      </c>
      <c r="B8685" t="str">
        <f t="shared" si="506"/>
        <v>115377</v>
      </c>
      <c r="C8685" t="str">
        <f t="shared" si="507"/>
        <v>83878</v>
      </c>
      <c r="D8685" t="s">
        <v>1016</v>
      </c>
      <c r="E8685">
        <v>-379.54</v>
      </c>
      <c r="F8685">
        <v>20140424</v>
      </c>
      <c r="G8685" t="s">
        <v>1026</v>
      </c>
      <c r="H8685" t="s">
        <v>1018</v>
      </c>
      <c r="I8685" t="s">
        <v>21</v>
      </c>
    </row>
    <row r="8686" spans="1:9" x14ac:dyDescent="0.25">
      <c r="A8686">
        <v>20140424</v>
      </c>
      <c r="B8686" t="str">
        <f t="shared" si="506"/>
        <v>115377</v>
      </c>
      <c r="C8686" t="str">
        <f t="shared" si="507"/>
        <v>83878</v>
      </c>
      <c r="D8686" t="s">
        <v>1016</v>
      </c>
      <c r="E8686" s="1">
        <v>-2460</v>
      </c>
      <c r="F8686">
        <v>20140424</v>
      </c>
      <c r="G8686" t="s">
        <v>926</v>
      </c>
      <c r="H8686" t="s">
        <v>1018</v>
      </c>
      <c r="I8686" t="s">
        <v>21</v>
      </c>
    </row>
    <row r="8687" spans="1:9" x14ac:dyDescent="0.25">
      <c r="A8687">
        <v>20140424</v>
      </c>
      <c r="B8687" t="str">
        <f t="shared" si="506"/>
        <v>115377</v>
      </c>
      <c r="C8687" t="str">
        <f t="shared" si="507"/>
        <v>83878</v>
      </c>
      <c r="D8687" t="s">
        <v>1016</v>
      </c>
      <c r="E8687">
        <v>42.77</v>
      </c>
      <c r="F8687">
        <v>20140418</v>
      </c>
      <c r="G8687" t="s">
        <v>704</v>
      </c>
      <c r="H8687" t="s">
        <v>1018</v>
      </c>
      <c r="I8687" t="s">
        <v>21</v>
      </c>
    </row>
    <row r="8688" spans="1:9" x14ac:dyDescent="0.25">
      <c r="A8688">
        <v>20140424</v>
      </c>
      <c r="B8688" t="str">
        <f t="shared" si="506"/>
        <v>115377</v>
      </c>
      <c r="C8688" t="str">
        <f t="shared" si="507"/>
        <v>83878</v>
      </c>
      <c r="D8688" t="s">
        <v>1016</v>
      </c>
      <c r="E8688" s="1">
        <v>1380.96</v>
      </c>
      <c r="F8688">
        <v>20140418</v>
      </c>
      <c r="G8688" t="s">
        <v>1219</v>
      </c>
      <c r="H8688" t="s">
        <v>1018</v>
      </c>
      <c r="I8688" t="s">
        <v>21</v>
      </c>
    </row>
    <row r="8689" spans="1:9" x14ac:dyDescent="0.25">
      <c r="A8689">
        <v>20140424</v>
      </c>
      <c r="B8689" t="str">
        <f t="shared" si="506"/>
        <v>115377</v>
      </c>
      <c r="C8689" t="str">
        <f t="shared" si="507"/>
        <v>83878</v>
      </c>
      <c r="D8689" t="s">
        <v>1016</v>
      </c>
      <c r="E8689">
        <v>19.989999999999998</v>
      </c>
      <c r="F8689">
        <v>20140418</v>
      </c>
      <c r="G8689" t="s">
        <v>734</v>
      </c>
      <c r="H8689" t="s">
        <v>1018</v>
      </c>
      <c r="I8689" t="s">
        <v>21</v>
      </c>
    </row>
    <row r="8690" spans="1:9" x14ac:dyDescent="0.25">
      <c r="A8690">
        <v>20140424</v>
      </c>
      <c r="B8690" t="str">
        <f t="shared" si="506"/>
        <v>115377</v>
      </c>
      <c r="C8690" t="str">
        <f t="shared" si="507"/>
        <v>83878</v>
      </c>
      <c r="D8690" t="s">
        <v>1016</v>
      </c>
      <c r="E8690">
        <v>191.19</v>
      </c>
      <c r="F8690">
        <v>20140418</v>
      </c>
      <c r="G8690" t="s">
        <v>840</v>
      </c>
      <c r="H8690" t="s">
        <v>1018</v>
      </c>
      <c r="I8690" t="s">
        <v>21</v>
      </c>
    </row>
    <row r="8691" spans="1:9" x14ac:dyDescent="0.25">
      <c r="A8691">
        <v>20140424</v>
      </c>
      <c r="B8691" t="str">
        <f t="shared" si="506"/>
        <v>115377</v>
      </c>
      <c r="C8691" t="str">
        <f t="shared" si="507"/>
        <v>83878</v>
      </c>
      <c r="D8691" t="s">
        <v>1016</v>
      </c>
      <c r="E8691">
        <v>185.82</v>
      </c>
      <c r="F8691">
        <v>20140418</v>
      </c>
      <c r="G8691" t="s">
        <v>1721</v>
      </c>
      <c r="H8691" t="s">
        <v>1018</v>
      </c>
      <c r="I8691" t="s">
        <v>21</v>
      </c>
    </row>
    <row r="8692" spans="1:9" x14ac:dyDescent="0.25">
      <c r="A8692">
        <v>20140424</v>
      </c>
      <c r="B8692" t="str">
        <f t="shared" si="506"/>
        <v>115377</v>
      </c>
      <c r="C8692" t="str">
        <f t="shared" si="507"/>
        <v>83878</v>
      </c>
      <c r="D8692" t="s">
        <v>1016</v>
      </c>
      <c r="E8692">
        <v>204.5</v>
      </c>
      <c r="F8692">
        <v>20140418</v>
      </c>
      <c r="G8692" t="s">
        <v>3820</v>
      </c>
      <c r="H8692" t="s">
        <v>1018</v>
      </c>
      <c r="I8692" t="s">
        <v>21</v>
      </c>
    </row>
    <row r="8693" spans="1:9" x14ac:dyDescent="0.25">
      <c r="A8693">
        <v>20140424</v>
      </c>
      <c r="B8693" t="str">
        <f t="shared" si="506"/>
        <v>115377</v>
      </c>
      <c r="C8693" t="str">
        <f t="shared" si="507"/>
        <v>83878</v>
      </c>
      <c r="D8693" t="s">
        <v>1016</v>
      </c>
      <c r="E8693">
        <v>-177.72</v>
      </c>
      <c r="F8693">
        <v>20140424</v>
      </c>
      <c r="G8693" t="s">
        <v>810</v>
      </c>
      <c r="H8693" t="s">
        <v>1018</v>
      </c>
      <c r="I8693" t="s">
        <v>66</v>
      </c>
    </row>
    <row r="8694" spans="1:9" x14ac:dyDescent="0.25">
      <c r="A8694">
        <v>20140424</v>
      </c>
      <c r="B8694" t="str">
        <f t="shared" si="506"/>
        <v>115377</v>
      </c>
      <c r="C8694" t="str">
        <f t="shared" si="507"/>
        <v>83878</v>
      </c>
      <c r="D8694" t="s">
        <v>1016</v>
      </c>
      <c r="E8694">
        <v>139</v>
      </c>
      <c r="F8694">
        <v>20140418</v>
      </c>
      <c r="G8694" t="s">
        <v>1724</v>
      </c>
      <c r="H8694" t="s">
        <v>1018</v>
      </c>
      <c r="I8694" t="s">
        <v>66</v>
      </c>
    </row>
    <row r="8695" spans="1:9" x14ac:dyDescent="0.25">
      <c r="A8695">
        <v>20140424</v>
      </c>
      <c r="B8695" t="str">
        <f t="shared" si="506"/>
        <v>115377</v>
      </c>
      <c r="C8695" t="str">
        <f t="shared" si="507"/>
        <v>83878</v>
      </c>
      <c r="D8695" t="s">
        <v>1016</v>
      </c>
      <c r="E8695">
        <v>99.25</v>
      </c>
      <c r="F8695">
        <v>20140418</v>
      </c>
      <c r="G8695" t="s">
        <v>331</v>
      </c>
      <c r="H8695" t="s">
        <v>1018</v>
      </c>
      <c r="I8695" t="s">
        <v>12</v>
      </c>
    </row>
    <row r="8696" spans="1:9" x14ac:dyDescent="0.25">
      <c r="A8696">
        <v>20140424</v>
      </c>
      <c r="B8696" t="str">
        <f t="shared" si="506"/>
        <v>115377</v>
      </c>
      <c r="C8696" t="str">
        <f t="shared" si="507"/>
        <v>83878</v>
      </c>
      <c r="D8696" t="s">
        <v>1016</v>
      </c>
      <c r="E8696">
        <v>250</v>
      </c>
      <c r="F8696">
        <v>20140418</v>
      </c>
      <c r="G8696" t="s">
        <v>845</v>
      </c>
      <c r="H8696" t="s">
        <v>1018</v>
      </c>
      <c r="I8696" t="s">
        <v>73</v>
      </c>
    </row>
    <row r="8697" spans="1:9" x14ac:dyDescent="0.25">
      <c r="A8697">
        <v>20140424</v>
      </c>
      <c r="B8697" t="str">
        <f t="shared" si="506"/>
        <v>115377</v>
      </c>
      <c r="C8697" t="str">
        <f t="shared" si="507"/>
        <v>83878</v>
      </c>
      <c r="D8697" t="s">
        <v>1016</v>
      </c>
      <c r="E8697">
        <v>85.32</v>
      </c>
      <c r="F8697">
        <v>20140418</v>
      </c>
      <c r="G8697" t="s">
        <v>932</v>
      </c>
      <c r="H8697" t="s">
        <v>1018</v>
      </c>
      <c r="I8697" t="s">
        <v>77</v>
      </c>
    </row>
    <row r="8698" spans="1:9" x14ac:dyDescent="0.25">
      <c r="A8698">
        <v>20140424</v>
      </c>
      <c r="B8698" t="str">
        <f t="shared" si="506"/>
        <v>115377</v>
      </c>
      <c r="C8698" t="str">
        <f t="shared" si="507"/>
        <v>83878</v>
      </c>
      <c r="D8698" t="s">
        <v>1016</v>
      </c>
      <c r="E8698">
        <v>227.2</v>
      </c>
      <c r="F8698">
        <v>20140418</v>
      </c>
      <c r="G8698" t="s">
        <v>289</v>
      </c>
      <c r="H8698" t="s">
        <v>1018</v>
      </c>
      <c r="I8698" t="s">
        <v>38</v>
      </c>
    </row>
    <row r="8699" spans="1:9" x14ac:dyDescent="0.25">
      <c r="A8699">
        <v>20140424</v>
      </c>
      <c r="B8699" t="str">
        <f t="shared" si="506"/>
        <v>115377</v>
      </c>
      <c r="C8699" t="str">
        <f t="shared" si="507"/>
        <v>83878</v>
      </c>
      <c r="D8699" t="s">
        <v>1016</v>
      </c>
      <c r="E8699">
        <v>726.45</v>
      </c>
      <c r="F8699">
        <v>20140418</v>
      </c>
      <c r="G8699" t="s">
        <v>36</v>
      </c>
      <c r="H8699" t="s">
        <v>1018</v>
      </c>
      <c r="I8699" t="s">
        <v>38</v>
      </c>
    </row>
    <row r="8700" spans="1:9" x14ac:dyDescent="0.25">
      <c r="A8700">
        <v>20140424</v>
      </c>
      <c r="B8700" t="str">
        <f t="shared" si="506"/>
        <v>115377</v>
      </c>
      <c r="C8700" t="str">
        <f t="shared" si="507"/>
        <v>83878</v>
      </c>
      <c r="D8700" t="s">
        <v>1016</v>
      </c>
      <c r="E8700">
        <v>188.16</v>
      </c>
      <c r="F8700">
        <v>20140418</v>
      </c>
      <c r="G8700" t="s">
        <v>119</v>
      </c>
      <c r="H8700" t="s">
        <v>1018</v>
      </c>
      <c r="I8700" t="s">
        <v>38</v>
      </c>
    </row>
    <row r="8701" spans="1:9" x14ac:dyDescent="0.25">
      <c r="A8701">
        <v>20140424</v>
      </c>
      <c r="B8701" t="str">
        <f t="shared" si="506"/>
        <v>115377</v>
      </c>
      <c r="C8701" t="str">
        <f t="shared" si="507"/>
        <v>83878</v>
      </c>
      <c r="D8701" t="s">
        <v>1016</v>
      </c>
      <c r="E8701">
        <v>267.66000000000003</v>
      </c>
      <c r="F8701">
        <v>20140418</v>
      </c>
      <c r="G8701" t="s">
        <v>3120</v>
      </c>
      <c r="H8701" t="s">
        <v>1018</v>
      </c>
      <c r="I8701" t="s">
        <v>3121</v>
      </c>
    </row>
    <row r="8702" spans="1:9" x14ac:dyDescent="0.25">
      <c r="A8702">
        <v>20140424</v>
      </c>
      <c r="B8702" t="str">
        <f>"115378"</f>
        <v>115378</v>
      </c>
      <c r="C8702" t="str">
        <f>"83960"</f>
        <v>83960</v>
      </c>
      <c r="D8702" t="s">
        <v>4049</v>
      </c>
      <c r="E8702">
        <v>95.28</v>
      </c>
      <c r="F8702">
        <v>20140421</v>
      </c>
      <c r="G8702" t="s">
        <v>3430</v>
      </c>
      <c r="H8702" t="s">
        <v>765</v>
      </c>
      <c r="I8702" t="s">
        <v>61</v>
      </c>
    </row>
    <row r="8703" spans="1:9" x14ac:dyDescent="0.25">
      <c r="A8703">
        <v>20140424</v>
      </c>
      <c r="B8703" t="str">
        <f>"115379"</f>
        <v>115379</v>
      </c>
      <c r="C8703" t="str">
        <f>"83120"</f>
        <v>83120</v>
      </c>
      <c r="D8703" t="s">
        <v>4050</v>
      </c>
      <c r="E8703">
        <v>795</v>
      </c>
      <c r="F8703">
        <v>20140418</v>
      </c>
      <c r="G8703" t="s">
        <v>174</v>
      </c>
      <c r="H8703" t="s">
        <v>4003</v>
      </c>
      <c r="I8703" t="s">
        <v>25</v>
      </c>
    </row>
    <row r="8704" spans="1:9" x14ac:dyDescent="0.25">
      <c r="A8704">
        <v>20140424</v>
      </c>
      <c r="B8704" t="str">
        <f>"115380"</f>
        <v>115380</v>
      </c>
      <c r="C8704" t="str">
        <f>"85759"</f>
        <v>85759</v>
      </c>
      <c r="D8704" t="s">
        <v>4051</v>
      </c>
      <c r="E8704" s="1">
        <v>3736</v>
      </c>
      <c r="F8704">
        <v>20140422</v>
      </c>
      <c r="G8704" t="s">
        <v>1399</v>
      </c>
      <c r="H8704" t="s">
        <v>4052</v>
      </c>
      <c r="I8704" t="s">
        <v>21</v>
      </c>
    </row>
    <row r="8705" spans="1:9" x14ac:dyDescent="0.25">
      <c r="A8705">
        <v>20140424</v>
      </c>
      <c r="B8705" t="str">
        <f>"115381"</f>
        <v>115381</v>
      </c>
      <c r="C8705" t="str">
        <f>"85203"</f>
        <v>85203</v>
      </c>
      <c r="D8705" t="s">
        <v>1210</v>
      </c>
      <c r="E8705">
        <v>451</v>
      </c>
      <c r="F8705">
        <v>20140417</v>
      </c>
      <c r="G8705" t="s">
        <v>1759</v>
      </c>
      <c r="H8705" t="s">
        <v>357</v>
      </c>
      <c r="I8705" t="s">
        <v>61</v>
      </c>
    </row>
    <row r="8706" spans="1:9" x14ac:dyDescent="0.25">
      <c r="A8706">
        <v>20140424</v>
      </c>
      <c r="B8706" t="str">
        <f>"115382"</f>
        <v>115382</v>
      </c>
      <c r="C8706" t="str">
        <f>"17450"</f>
        <v>17450</v>
      </c>
      <c r="D8706" t="s">
        <v>4053</v>
      </c>
      <c r="E8706">
        <v>88.5</v>
      </c>
      <c r="F8706">
        <v>20140421</v>
      </c>
      <c r="G8706" t="s">
        <v>3430</v>
      </c>
      <c r="H8706" t="s">
        <v>765</v>
      </c>
      <c r="I8706" t="s">
        <v>61</v>
      </c>
    </row>
    <row r="8707" spans="1:9" x14ac:dyDescent="0.25">
      <c r="A8707">
        <v>20140424</v>
      </c>
      <c r="B8707" t="str">
        <f t="shared" ref="B8707:B8723" si="508">"115383"</f>
        <v>115383</v>
      </c>
      <c r="C8707" t="str">
        <f t="shared" ref="C8707:C8723" si="509">"18200"</f>
        <v>18200</v>
      </c>
      <c r="D8707" t="s">
        <v>516</v>
      </c>
      <c r="E8707">
        <v>102.12</v>
      </c>
      <c r="F8707">
        <v>20140421</v>
      </c>
      <c r="G8707" t="s">
        <v>456</v>
      </c>
      <c r="H8707" t="s">
        <v>488</v>
      </c>
      <c r="I8707" t="s">
        <v>21</v>
      </c>
    </row>
    <row r="8708" spans="1:9" x14ac:dyDescent="0.25">
      <c r="A8708">
        <v>20140424</v>
      </c>
      <c r="B8708" t="str">
        <f t="shared" si="508"/>
        <v>115383</v>
      </c>
      <c r="C8708" t="str">
        <f t="shared" si="509"/>
        <v>18200</v>
      </c>
      <c r="D8708" t="s">
        <v>516</v>
      </c>
      <c r="E8708">
        <v>369.87</v>
      </c>
      <c r="F8708">
        <v>20140421</v>
      </c>
      <c r="G8708" t="s">
        <v>456</v>
      </c>
      <c r="H8708" t="s">
        <v>488</v>
      </c>
      <c r="I8708" t="s">
        <v>21</v>
      </c>
    </row>
    <row r="8709" spans="1:9" x14ac:dyDescent="0.25">
      <c r="A8709">
        <v>20140424</v>
      </c>
      <c r="B8709" t="str">
        <f t="shared" si="508"/>
        <v>115383</v>
      </c>
      <c r="C8709" t="str">
        <f t="shared" si="509"/>
        <v>18200</v>
      </c>
      <c r="D8709" t="s">
        <v>516</v>
      </c>
      <c r="E8709">
        <v>396.85</v>
      </c>
      <c r="F8709">
        <v>20140421</v>
      </c>
      <c r="G8709" t="s">
        <v>456</v>
      </c>
      <c r="H8709" t="s">
        <v>488</v>
      </c>
      <c r="I8709" t="s">
        <v>21</v>
      </c>
    </row>
    <row r="8710" spans="1:9" x14ac:dyDescent="0.25">
      <c r="A8710">
        <v>20140424</v>
      </c>
      <c r="B8710" t="str">
        <f t="shared" si="508"/>
        <v>115383</v>
      </c>
      <c r="C8710" t="str">
        <f t="shared" si="509"/>
        <v>18200</v>
      </c>
      <c r="D8710" t="s">
        <v>516</v>
      </c>
      <c r="E8710">
        <v>604.9</v>
      </c>
      <c r="F8710">
        <v>20140421</v>
      </c>
      <c r="G8710" t="s">
        <v>457</v>
      </c>
      <c r="H8710" t="s">
        <v>488</v>
      </c>
      <c r="I8710" t="s">
        <v>21</v>
      </c>
    </row>
    <row r="8711" spans="1:9" x14ac:dyDescent="0.25">
      <c r="A8711">
        <v>20140424</v>
      </c>
      <c r="B8711" t="str">
        <f t="shared" si="508"/>
        <v>115383</v>
      </c>
      <c r="C8711" t="str">
        <f t="shared" si="509"/>
        <v>18200</v>
      </c>
      <c r="D8711" t="s">
        <v>516</v>
      </c>
      <c r="E8711">
        <v>396.12</v>
      </c>
      <c r="F8711">
        <v>20140421</v>
      </c>
      <c r="G8711" t="s">
        <v>458</v>
      </c>
      <c r="H8711" t="s">
        <v>488</v>
      </c>
      <c r="I8711" t="s">
        <v>21</v>
      </c>
    </row>
    <row r="8712" spans="1:9" x14ac:dyDescent="0.25">
      <c r="A8712">
        <v>20140424</v>
      </c>
      <c r="B8712" t="str">
        <f t="shared" si="508"/>
        <v>115383</v>
      </c>
      <c r="C8712" t="str">
        <f t="shared" si="509"/>
        <v>18200</v>
      </c>
      <c r="D8712" t="s">
        <v>516</v>
      </c>
      <c r="E8712">
        <v>421.85</v>
      </c>
      <c r="F8712">
        <v>20140421</v>
      </c>
      <c r="G8712" t="s">
        <v>458</v>
      </c>
      <c r="H8712" t="s">
        <v>488</v>
      </c>
      <c r="I8712" t="s">
        <v>21</v>
      </c>
    </row>
    <row r="8713" spans="1:9" x14ac:dyDescent="0.25">
      <c r="A8713">
        <v>20140424</v>
      </c>
      <c r="B8713" t="str">
        <f t="shared" si="508"/>
        <v>115383</v>
      </c>
      <c r="C8713" t="str">
        <f t="shared" si="509"/>
        <v>18200</v>
      </c>
      <c r="D8713" t="s">
        <v>516</v>
      </c>
      <c r="E8713">
        <v>28.49</v>
      </c>
      <c r="F8713">
        <v>20140421</v>
      </c>
      <c r="G8713" t="s">
        <v>460</v>
      </c>
      <c r="H8713" t="s">
        <v>488</v>
      </c>
      <c r="I8713" t="s">
        <v>21</v>
      </c>
    </row>
    <row r="8714" spans="1:9" x14ac:dyDescent="0.25">
      <c r="A8714">
        <v>20140424</v>
      </c>
      <c r="B8714" t="str">
        <f t="shared" si="508"/>
        <v>115383</v>
      </c>
      <c r="C8714" t="str">
        <f t="shared" si="509"/>
        <v>18200</v>
      </c>
      <c r="D8714" t="s">
        <v>516</v>
      </c>
      <c r="E8714">
        <v>254.77</v>
      </c>
      <c r="F8714">
        <v>20140421</v>
      </c>
      <c r="G8714" t="s">
        <v>460</v>
      </c>
      <c r="H8714" t="s">
        <v>488</v>
      </c>
      <c r="I8714" t="s">
        <v>21</v>
      </c>
    </row>
    <row r="8715" spans="1:9" x14ac:dyDescent="0.25">
      <c r="A8715">
        <v>20140424</v>
      </c>
      <c r="B8715" t="str">
        <f t="shared" si="508"/>
        <v>115383</v>
      </c>
      <c r="C8715" t="str">
        <f t="shared" si="509"/>
        <v>18200</v>
      </c>
      <c r="D8715" t="s">
        <v>516</v>
      </c>
      <c r="E8715">
        <v>307.37</v>
      </c>
      <c r="F8715">
        <v>20140421</v>
      </c>
      <c r="G8715" t="s">
        <v>461</v>
      </c>
      <c r="H8715" t="s">
        <v>488</v>
      </c>
      <c r="I8715" t="s">
        <v>21</v>
      </c>
    </row>
    <row r="8716" spans="1:9" x14ac:dyDescent="0.25">
      <c r="A8716">
        <v>20140424</v>
      </c>
      <c r="B8716" t="str">
        <f t="shared" si="508"/>
        <v>115383</v>
      </c>
      <c r="C8716" t="str">
        <f t="shared" si="509"/>
        <v>18200</v>
      </c>
      <c r="D8716" t="s">
        <v>516</v>
      </c>
      <c r="E8716">
        <v>89</v>
      </c>
      <c r="F8716">
        <v>20140421</v>
      </c>
      <c r="G8716" t="s">
        <v>461</v>
      </c>
      <c r="H8716" t="s">
        <v>488</v>
      </c>
      <c r="I8716" t="s">
        <v>21</v>
      </c>
    </row>
    <row r="8717" spans="1:9" x14ac:dyDescent="0.25">
      <c r="A8717">
        <v>20140424</v>
      </c>
      <c r="B8717" t="str">
        <f t="shared" si="508"/>
        <v>115383</v>
      </c>
      <c r="C8717" t="str">
        <f t="shared" si="509"/>
        <v>18200</v>
      </c>
      <c r="D8717" t="s">
        <v>516</v>
      </c>
      <c r="E8717">
        <v>104.49</v>
      </c>
      <c r="F8717">
        <v>20140421</v>
      </c>
      <c r="G8717" t="s">
        <v>461</v>
      </c>
      <c r="H8717" t="s">
        <v>488</v>
      </c>
      <c r="I8717" t="s">
        <v>21</v>
      </c>
    </row>
    <row r="8718" spans="1:9" x14ac:dyDescent="0.25">
      <c r="A8718">
        <v>20140424</v>
      </c>
      <c r="B8718" t="str">
        <f t="shared" si="508"/>
        <v>115383</v>
      </c>
      <c r="C8718" t="str">
        <f t="shared" si="509"/>
        <v>18200</v>
      </c>
      <c r="D8718" t="s">
        <v>516</v>
      </c>
      <c r="E8718">
        <v>71.489999999999995</v>
      </c>
      <c r="F8718">
        <v>20140421</v>
      </c>
      <c r="G8718" t="s">
        <v>463</v>
      </c>
      <c r="H8718" t="s">
        <v>488</v>
      </c>
      <c r="I8718" t="s">
        <v>21</v>
      </c>
    </row>
    <row r="8719" spans="1:9" x14ac:dyDescent="0.25">
      <c r="A8719">
        <v>20140424</v>
      </c>
      <c r="B8719" t="str">
        <f t="shared" si="508"/>
        <v>115383</v>
      </c>
      <c r="C8719" t="str">
        <f t="shared" si="509"/>
        <v>18200</v>
      </c>
      <c r="D8719" t="s">
        <v>516</v>
      </c>
      <c r="E8719">
        <v>28.49</v>
      </c>
      <c r="F8719">
        <v>20140421</v>
      </c>
      <c r="G8719" t="s">
        <v>463</v>
      </c>
      <c r="H8719" t="s">
        <v>488</v>
      </c>
      <c r="I8719" t="s">
        <v>21</v>
      </c>
    </row>
    <row r="8720" spans="1:9" x14ac:dyDescent="0.25">
      <c r="A8720">
        <v>20140424</v>
      </c>
      <c r="B8720" t="str">
        <f t="shared" si="508"/>
        <v>115383</v>
      </c>
      <c r="C8720" t="str">
        <f t="shared" si="509"/>
        <v>18200</v>
      </c>
      <c r="D8720" t="s">
        <v>516</v>
      </c>
      <c r="E8720">
        <v>160.12</v>
      </c>
      <c r="F8720">
        <v>20140421</v>
      </c>
      <c r="G8720" t="s">
        <v>463</v>
      </c>
      <c r="H8720" t="s">
        <v>488</v>
      </c>
      <c r="I8720" t="s">
        <v>21</v>
      </c>
    </row>
    <row r="8721" spans="1:9" x14ac:dyDescent="0.25">
      <c r="A8721">
        <v>20140424</v>
      </c>
      <c r="B8721" t="str">
        <f t="shared" si="508"/>
        <v>115383</v>
      </c>
      <c r="C8721" t="str">
        <f t="shared" si="509"/>
        <v>18200</v>
      </c>
      <c r="D8721" t="s">
        <v>516</v>
      </c>
      <c r="E8721">
        <v>38</v>
      </c>
      <c r="F8721">
        <v>20140421</v>
      </c>
      <c r="G8721" t="s">
        <v>464</v>
      </c>
      <c r="H8721" t="s">
        <v>488</v>
      </c>
      <c r="I8721" t="s">
        <v>21</v>
      </c>
    </row>
    <row r="8722" spans="1:9" x14ac:dyDescent="0.25">
      <c r="A8722">
        <v>20140424</v>
      </c>
      <c r="B8722" t="str">
        <f t="shared" si="508"/>
        <v>115383</v>
      </c>
      <c r="C8722" t="str">
        <f t="shared" si="509"/>
        <v>18200</v>
      </c>
      <c r="D8722" t="s">
        <v>516</v>
      </c>
      <c r="E8722">
        <v>154.12</v>
      </c>
      <c r="F8722">
        <v>20140421</v>
      </c>
      <c r="G8722" t="s">
        <v>464</v>
      </c>
      <c r="H8722" t="s">
        <v>488</v>
      </c>
      <c r="I8722" t="s">
        <v>21</v>
      </c>
    </row>
    <row r="8723" spans="1:9" x14ac:dyDescent="0.25">
      <c r="A8723">
        <v>20140424</v>
      </c>
      <c r="B8723" t="str">
        <f t="shared" si="508"/>
        <v>115383</v>
      </c>
      <c r="C8723" t="str">
        <f t="shared" si="509"/>
        <v>18200</v>
      </c>
      <c r="D8723" t="s">
        <v>516</v>
      </c>
      <c r="E8723">
        <v>41</v>
      </c>
      <c r="F8723">
        <v>20140421</v>
      </c>
      <c r="G8723" t="s">
        <v>1212</v>
      </c>
      <c r="H8723" t="s">
        <v>488</v>
      </c>
      <c r="I8723" t="s">
        <v>21</v>
      </c>
    </row>
    <row r="8724" spans="1:9" x14ac:dyDescent="0.25">
      <c r="A8724">
        <v>20140424</v>
      </c>
      <c r="B8724" t="str">
        <f>"115384"</f>
        <v>115384</v>
      </c>
      <c r="C8724" t="str">
        <f>"81663"</f>
        <v>81663</v>
      </c>
      <c r="D8724" t="s">
        <v>2494</v>
      </c>
      <c r="E8724">
        <v>57</v>
      </c>
      <c r="F8724">
        <v>20140423</v>
      </c>
      <c r="G8724" t="s">
        <v>448</v>
      </c>
      <c r="H8724" t="s">
        <v>4054</v>
      </c>
      <c r="I8724" t="s">
        <v>21</v>
      </c>
    </row>
    <row r="8725" spans="1:9" x14ac:dyDescent="0.25">
      <c r="A8725">
        <v>20140424</v>
      </c>
      <c r="B8725" t="str">
        <f>"115385"</f>
        <v>115385</v>
      </c>
      <c r="C8725" t="str">
        <f>"19750"</f>
        <v>19750</v>
      </c>
      <c r="D8725" t="s">
        <v>2445</v>
      </c>
      <c r="E8725">
        <v>100</v>
      </c>
      <c r="F8725">
        <v>20140422</v>
      </c>
      <c r="G8725" t="s">
        <v>1759</v>
      </c>
      <c r="H8725" t="s">
        <v>357</v>
      </c>
      <c r="I8725" t="s">
        <v>61</v>
      </c>
    </row>
    <row r="8726" spans="1:9" x14ac:dyDescent="0.25">
      <c r="A8726">
        <v>20140424</v>
      </c>
      <c r="B8726" t="str">
        <f>"115386"</f>
        <v>115386</v>
      </c>
      <c r="C8726" t="str">
        <f>"19800"</f>
        <v>19800</v>
      </c>
      <c r="D8726" t="s">
        <v>1034</v>
      </c>
      <c r="E8726">
        <v>49.14</v>
      </c>
      <c r="F8726">
        <v>20140421</v>
      </c>
      <c r="G8726" t="s">
        <v>1635</v>
      </c>
      <c r="H8726" t="s">
        <v>4055</v>
      </c>
      <c r="I8726" t="s">
        <v>21</v>
      </c>
    </row>
    <row r="8727" spans="1:9" x14ac:dyDescent="0.25">
      <c r="A8727">
        <v>20140424</v>
      </c>
      <c r="B8727" t="str">
        <f>"115386"</f>
        <v>115386</v>
      </c>
      <c r="C8727" t="str">
        <f>"19800"</f>
        <v>19800</v>
      </c>
      <c r="D8727" t="s">
        <v>1034</v>
      </c>
      <c r="E8727">
        <v>13.17</v>
      </c>
      <c r="F8727">
        <v>20140421</v>
      </c>
      <c r="G8727" t="s">
        <v>171</v>
      </c>
      <c r="H8727" t="s">
        <v>4055</v>
      </c>
      <c r="I8727" t="s">
        <v>38</v>
      </c>
    </row>
    <row r="8728" spans="1:9" x14ac:dyDescent="0.25">
      <c r="A8728">
        <v>20140424</v>
      </c>
      <c r="B8728" t="str">
        <f>"115386"</f>
        <v>115386</v>
      </c>
      <c r="C8728" t="str">
        <f>"19800"</f>
        <v>19800</v>
      </c>
      <c r="D8728" t="s">
        <v>1034</v>
      </c>
      <c r="E8728">
        <v>109.8</v>
      </c>
      <c r="F8728">
        <v>20140421</v>
      </c>
      <c r="G8728" t="s">
        <v>289</v>
      </c>
      <c r="H8728" t="s">
        <v>1733</v>
      </c>
      <c r="I8728" t="s">
        <v>38</v>
      </c>
    </row>
    <row r="8729" spans="1:9" x14ac:dyDescent="0.25">
      <c r="A8729">
        <v>20140424</v>
      </c>
      <c r="B8729" t="str">
        <f>"115386"</f>
        <v>115386</v>
      </c>
      <c r="C8729" t="str">
        <f>"19800"</f>
        <v>19800</v>
      </c>
      <c r="D8729" t="s">
        <v>1034</v>
      </c>
      <c r="E8729">
        <v>58.32</v>
      </c>
      <c r="F8729">
        <v>20140421</v>
      </c>
      <c r="G8729" t="s">
        <v>289</v>
      </c>
      <c r="H8729" t="s">
        <v>3010</v>
      </c>
      <c r="I8729" t="s">
        <v>38</v>
      </c>
    </row>
    <row r="8730" spans="1:9" x14ac:dyDescent="0.25">
      <c r="A8730">
        <v>20140424</v>
      </c>
      <c r="B8730" t="str">
        <f>"115387"</f>
        <v>115387</v>
      </c>
      <c r="C8730" t="str">
        <f>"21800"</f>
        <v>21800</v>
      </c>
      <c r="D8730" t="s">
        <v>4056</v>
      </c>
      <c r="E8730">
        <v>550</v>
      </c>
      <c r="F8730">
        <v>20140423</v>
      </c>
      <c r="G8730" t="s">
        <v>1731</v>
      </c>
      <c r="H8730" t="s">
        <v>4057</v>
      </c>
      <c r="I8730" t="s">
        <v>38</v>
      </c>
    </row>
    <row r="8731" spans="1:9" x14ac:dyDescent="0.25">
      <c r="A8731">
        <v>20140424</v>
      </c>
      <c r="B8731" t="str">
        <f>"115388"</f>
        <v>115388</v>
      </c>
      <c r="C8731" t="str">
        <f>"21950"</f>
        <v>21950</v>
      </c>
      <c r="D8731" t="s">
        <v>35</v>
      </c>
      <c r="E8731">
        <v>18</v>
      </c>
      <c r="F8731">
        <v>20140421</v>
      </c>
      <c r="G8731" t="s">
        <v>119</v>
      </c>
      <c r="H8731" t="s">
        <v>4058</v>
      </c>
      <c r="I8731" t="s">
        <v>38</v>
      </c>
    </row>
    <row r="8732" spans="1:9" x14ac:dyDescent="0.25">
      <c r="A8732">
        <v>20140424</v>
      </c>
      <c r="B8732" t="str">
        <f>"115389"</f>
        <v>115389</v>
      </c>
      <c r="C8732" t="str">
        <f>"84330"</f>
        <v>84330</v>
      </c>
      <c r="D8732" t="s">
        <v>4059</v>
      </c>
      <c r="E8732">
        <v>30</v>
      </c>
      <c r="F8732">
        <v>20140423</v>
      </c>
      <c r="G8732" t="s">
        <v>3400</v>
      </c>
      <c r="H8732" t="s">
        <v>4060</v>
      </c>
      <c r="I8732" t="s">
        <v>21</v>
      </c>
    </row>
    <row r="8733" spans="1:9" x14ac:dyDescent="0.25">
      <c r="A8733">
        <v>20140424</v>
      </c>
      <c r="B8733" t="str">
        <f>"115390"</f>
        <v>115390</v>
      </c>
      <c r="C8733" t="str">
        <f>"21600"</f>
        <v>21600</v>
      </c>
      <c r="D8733" t="s">
        <v>1735</v>
      </c>
      <c r="E8733">
        <v>48.99</v>
      </c>
      <c r="F8733">
        <v>20140418</v>
      </c>
      <c r="G8733" t="s">
        <v>498</v>
      </c>
      <c r="H8733" t="s">
        <v>499</v>
      </c>
      <c r="I8733" t="s">
        <v>21</v>
      </c>
    </row>
    <row r="8734" spans="1:9" x14ac:dyDescent="0.25">
      <c r="A8734">
        <v>20140424</v>
      </c>
      <c r="B8734" t="str">
        <f>"115390"</f>
        <v>115390</v>
      </c>
      <c r="C8734" t="str">
        <f>"21600"</f>
        <v>21600</v>
      </c>
      <c r="D8734" t="s">
        <v>1735</v>
      </c>
      <c r="E8734">
        <v>3.16</v>
      </c>
      <c r="F8734">
        <v>20140418</v>
      </c>
      <c r="G8734" t="s">
        <v>482</v>
      </c>
      <c r="H8734" t="s">
        <v>414</v>
      </c>
      <c r="I8734" t="s">
        <v>21</v>
      </c>
    </row>
    <row r="8735" spans="1:9" x14ac:dyDescent="0.25">
      <c r="A8735">
        <v>20140424</v>
      </c>
      <c r="B8735" t="str">
        <f>"115391"</f>
        <v>115391</v>
      </c>
      <c r="C8735" t="str">
        <f>"83608"</f>
        <v>83608</v>
      </c>
      <c r="D8735" t="s">
        <v>4061</v>
      </c>
      <c r="E8735" s="1">
        <v>1020.66</v>
      </c>
      <c r="F8735">
        <v>20140423</v>
      </c>
      <c r="G8735" t="s">
        <v>214</v>
      </c>
      <c r="H8735" t="s">
        <v>679</v>
      </c>
      <c r="I8735" t="s">
        <v>38</v>
      </c>
    </row>
    <row r="8736" spans="1:9" x14ac:dyDescent="0.25">
      <c r="A8736">
        <v>20140424</v>
      </c>
      <c r="B8736" t="str">
        <f>"115392"</f>
        <v>115392</v>
      </c>
      <c r="C8736" t="str">
        <f>"81026"</f>
        <v>81026</v>
      </c>
      <c r="D8736" t="s">
        <v>2923</v>
      </c>
      <c r="E8736">
        <v>49.05</v>
      </c>
      <c r="F8736">
        <v>20140422</v>
      </c>
      <c r="G8736" t="s">
        <v>808</v>
      </c>
      <c r="H8736" t="s">
        <v>921</v>
      </c>
      <c r="I8736" t="s">
        <v>21</v>
      </c>
    </row>
    <row r="8737" spans="1:9" x14ac:dyDescent="0.25">
      <c r="A8737">
        <v>20140424</v>
      </c>
      <c r="B8737" t="str">
        <f>"115392"</f>
        <v>115392</v>
      </c>
      <c r="C8737" t="str">
        <f>"81026"</f>
        <v>81026</v>
      </c>
      <c r="D8737" t="s">
        <v>2923</v>
      </c>
      <c r="E8737" s="1">
        <v>1177.2</v>
      </c>
      <c r="F8737">
        <v>20140422</v>
      </c>
      <c r="G8737" t="s">
        <v>810</v>
      </c>
      <c r="H8737" t="s">
        <v>921</v>
      </c>
      <c r="I8737" t="s">
        <v>66</v>
      </c>
    </row>
    <row r="8738" spans="1:9" x14ac:dyDescent="0.25">
      <c r="A8738">
        <v>20140424</v>
      </c>
      <c r="B8738" t="str">
        <f>"115393"</f>
        <v>115393</v>
      </c>
      <c r="C8738" t="str">
        <f>"24700"</f>
        <v>24700</v>
      </c>
      <c r="D8738" t="s">
        <v>2157</v>
      </c>
      <c r="E8738">
        <v>374.4</v>
      </c>
      <c r="F8738">
        <v>20140423</v>
      </c>
      <c r="G8738" t="s">
        <v>2677</v>
      </c>
      <c r="H8738" t="s">
        <v>4062</v>
      </c>
      <c r="I8738" t="s">
        <v>21</v>
      </c>
    </row>
    <row r="8739" spans="1:9" x14ac:dyDescent="0.25">
      <c r="A8739">
        <v>20140424</v>
      </c>
      <c r="B8739" t="str">
        <f>"115394"</f>
        <v>115394</v>
      </c>
      <c r="C8739" t="str">
        <f>"87825"</f>
        <v>87825</v>
      </c>
      <c r="D8739" t="s">
        <v>4063</v>
      </c>
      <c r="E8739">
        <v>35</v>
      </c>
      <c r="F8739">
        <v>20140421</v>
      </c>
      <c r="G8739" t="s">
        <v>41</v>
      </c>
      <c r="H8739" t="s">
        <v>4064</v>
      </c>
      <c r="I8739" t="s">
        <v>38</v>
      </c>
    </row>
    <row r="8740" spans="1:9" x14ac:dyDescent="0.25">
      <c r="A8740">
        <v>20140424</v>
      </c>
      <c r="B8740" t="str">
        <f>"115395"</f>
        <v>115395</v>
      </c>
      <c r="C8740" t="str">
        <f>"86299"</f>
        <v>86299</v>
      </c>
      <c r="D8740" t="s">
        <v>2163</v>
      </c>
      <c r="E8740">
        <v>123.75</v>
      </c>
      <c r="F8740">
        <v>20140421</v>
      </c>
      <c r="G8740" t="s">
        <v>577</v>
      </c>
      <c r="H8740" t="s">
        <v>2635</v>
      </c>
      <c r="I8740" t="s">
        <v>21</v>
      </c>
    </row>
    <row r="8741" spans="1:9" x14ac:dyDescent="0.25">
      <c r="A8741">
        <v>20140424</v>
      </c>
      <c r="B8741" t="str">
        <f>"115396"</f>
        <v>115396</v>
      </c>
      <c r="C8741" t="str">
        <f>"26990"</f>
        <v>26990</v>
      </c>
      <c r="D8741" t="s">
        <v>548</v>
      </c>
      <c r="E8741">
        <v>60</v>
      </c>
      <c r="F8741">
        <v>20140423</v>
      </c>
      <c r="G8741" t="s">
        <v>426</v>
      </c>
      <c r="H8741" t="s">
        <v>1054</v>
      </c>
      <c r="I8741" t="s">
        <v>21</v>
      </c>
    </row>
    <row r="8742" spans="1:9" x14ac:dyDescent="0.25">
      <c r="A8742">
        <v>20140424</v>
      </c>
      <c r="B8742" t="str">
        <f>"115396"</f>
        <v>115396</v>
      </c>
      <c r="C8742" t="str">
        <f>"26990"</f>
        <v>26990</v>
      </c>
      <c r="D8742" t="s">
        <v>548</v>
      </c>
      <c r="E8742">
        <v>480</v>
      </c>
      <c r="F8742">
        <v>20140422</v>
      </c>
      <c r="G8742" t="s">
        <v>4065</v>
      </c>
      <c r="H8742" t="s">
        <v>4066</v>
      </c>
      <c r="I8742" t="s">
        <v>21</v>
      </c>
    </row>
    <row r="8743" spans="1:9" x14ac:dyDescent="0.25">
      <c r="A8743">
        <v>20140424</v>
      </c>
      <c r="B8743" t="str">
        <f>"115396"</f>
        <v>115396</v>
      </c>
      <c r="C8743" t="str">
        <f>"26990"</f>
        <v>26990</v>
      </c>
      <c r="D8743" t="s">
        <v>548</v>
      </c>
      <c r="E8743">
        <v>80</v>
      </c>
      <c r="F8743">
        <v>20140421</v>
      </c>
      <c r="G8743" t="s">
        <v>2432</v>
      </c>
      <c r="H8743" t="s">
        <v>1410</v>
      </c>
      <c r="I8743" t="s">
        <v>66</v>
      </c>
    </row>
    <row r="8744" spans="1:9" x14ac:dyDescent="0.25">
      <c r="A8744">
        <v>20140424</v>
      </c>
      <c r="B8744" t="str">
        <f>"115396"</f>
        <v>115396</v>
      </c>
      <c r="C8744" t="str">
        <f>"26990"</f>
        <v>26990</v>
      </c>
      <c r="D8744" t="s">
        <v>548</v>
      </c>
      <c r="E8744">
        <v>25</v>
      </c>
      <c r="F8744">
        <v>20140422</v>
      </c>
      <c r="G8744" t="s">
        <v>3179</v>
      </c>
      <c r="H8744" t="s">
        <v>1054</v>
      </c>
      <c r="I8744" t="s">
        <v>79</v>
      </c>
    </row>
    <row r="8745" spans="1:9" x14ac:dyDescent="0.25">
      <c r="A8745">
        <v>20140424</v>
      </c>
      <c r="B8745" t="str">
        <f>"115397"</f>
        <v>115397</v>
      </c>
      <c r="C8745" t="str">
        <f>"00098"</f>
        <v>00098</v>
      </c>
      <c r="D8745" t="s">
        <v>4067</v>
      </c>
      <c r="E8745">
        <v>74.900000000000006</v>
      </c>
      <c r="F8745">
        <v>20140422</v>
      </c>
      <c r="G8745" t="s">
        <v>498</v>
      </c>
      <c r="H8745" t="s">
        <v>499</v>
      </c>
      <c r="I8745" t="s">
        <v>21</v>
      </c>
    </row>
    <row r="8746" spans="1:9" x14ac:dyDescent="0.25">
      <c r="A8746">
        <v>20140424</v>
      </c>
      <c r="B8746" t="str">
        <f>"115398"</f>
        <v>115398</v>
      </c>
      <c r="C8746" t="str">
        <f>"87471"</f>
        <v>87471</v>
      </c>
      <c r="D8746" t="s">
        <v>1418</v>
      </c>
      <c r="E8746">
        <v>135</v>
      </c>
      <c r="F8746">
        <v>20140421</v>
      </c>
      <c r="G8746" t="s">
        <v>950</v>
      </c>
      <c r="H8746" t="s">
        <v>4068</v>
      </c>
      <c r="I8746" t="s">
        <v>21</v>
      </c>
    </row>
    <row r="8747" spans="1:9" x14ac:dyDescent="0.25">
      <c r="A8747">
        <v>20140424</v>
      </c>
      <c r="B8747" t="str">
        <f>"115399"</f>
        <v>115399</v>
      </c>
      <c r="C8747" t="str">
        <f>"30000"</f>
        <v>30000</v>
      </c>
      <c r="D8747" t="s">
        <v>556</v>
      </c>
      <c r="E8747">
        <v>316.92</v>
      </c>
      <c r="F8747">
        <v>20140422</v>
      </c>
      <c r="G8747" t="s">
        <v>1743</v>
      </c>
      <c r="H8747" t="s">
        <v>4069</v>
      </c>
      <c r="I8747" t="s">
        <v>21</v>
      </c>
    </row>
    <row r="8748" spans="1:9" x14ac:dyDescent="0.25">
      <c r="A8748">
        <v>20140424</v>
      </c>
      <c r="B8748" t="str">
        <f>"115399"</f>
        <v>115399</v>
      </c>
      <c r="C8748" t="str">
        <f>"30000"</f>
        <v>30000</v>
      </c>
      <c r="D8748" t="s">
        <v>556</v>
      </c>
      <c r="E8748">
        <v>162.99</v>
      </c>
      <c r="F8748">
        <v>20140422</v>
      </c>
      <c r="G8748" t="s">
        <v>1071</v>
      </c>
      <c r="H8748" t="s">
        <v>4070</v>
      </c>
      <c r="I8748" t="s">
        <v>21</v>
      </c>
    </row>
    <row r="8749" spans="1:9" x14ac:dyDescent="0.25">
      <c r="A8749">
        <v>20140424</v>
      </c>
      <c r="B8749" t="str">
        <f>"115399"</f>
        <v>115399</v>
      </c>
      <c r="C8749" t="str">
        <f>"30000"</f>
        <v>30000</v>
      </c>
      <c r="D8749" t="s">
        <v>556</v>
      </c>
      <c r="E8749">
        <v>92.99</v>
      </c>
      <c r="F8749">
        <v>20140422</v>
      </c>
      <c r="G8749" t="s">
        <v>1188</v>
      </c>
      <c r="H8749" t="s">
        <v>4071</v>
      </c>
      <c r="I8749" t="s">
        <v>21</v>
      </c>
    </row>
    <row r="8750" spans="1:9" x14ac:dyDescent="0.25">
      <c r="A8750">
        <v>20140424</v>
      </c>
      <c r="B8750" t="str">
        <f>"115399"</f>
        <v>115399</v>
      </c>
      <c r="C8750" t="str">
        <f>"30000"</f>
        <v>30000</v>
      </c>
      <c r="D8750" t="s">
        <v>556</v>
      </c>
      <c r="E8750">
        <v>21.99</v>
      </c>
      <c r="F8750">
        <v>20140422</v>
      </c>
      <c r="G8750" t="s">
        <v>2733</v>
      </c>
      <c r="H8750" t="s">
        <v>4072</v>
      </c>
      <c r="I8750" t="s">
        <v>1726</v>
      </c>
    </row>
    <row r="8751" spans="1:9" x14ac:dyDescent="0.25">
      <c r="A8751">
        <v>20140424</v>
      </c>
      <c r="B8751" t="str">
        <f>"115400"</f>
        <v>115400</v>
      </c>
      <c r="C8751" t="str">
        <f>"87811"</f>
        <v>87811</v>
      </c>
      <c r="D8751" t="s">
        <v>4073</v>
      </c>
      <c r="E8751" s="1">
        <v>2711.2</v>
      </c>
      <c r="F8751">
        <v>20140422</v>
      </c>
      <c r="G8751" t="s">
        <v>415</v>
      </c>
      <c r="H8751" t="s">
        <v>4074</v>
      </c>
      <c r="I8751" t="s">
        <v>21</v>
      </c>
    </row>
    <row r="8752" spans="1:9" x14ac:dyDescent="0.25">
      <c r="A8752">
        <v>20140424</v>
      </c>
      <c r="B8752" t="str">
        <f>"115401"</f>
        <v>115401</v>
      </c>
      <c r="C8752" t="str">
        <f>"87613"</f>
        <v>87613</v>
      </c>
      <c r="D8752" t="s">
        <v>2187</v>
      </c>
      <c r="E8752">
        <v>41.81</v>
      </c>
      <c r="F8752">
        <v>20140423</v>
      </c>
      <c r="G8752" t="s">
        <v>214</v>
      </c>
      <c r="H8752" t="s">
        <v>354</v>
      </c>
      <c r="I8752" t="s">
        <v>38</v>
      </c>
    </row>
    <row r="8753" spans="1:9" x14ac:dyDescent="0.25">
      <c r="A8753">
        <v>20140424</v>
      </c>
      <c r="B8753" t="str">
        <f>"115402"</f>
        <v>115402</v>
      </c>
      <c r="C8753" t="str">
        <f>"31970"</f>
        <v>31970</v>
      </c>
      <c r="D8753" t="s">
        <v>3770</v>
      </c>
      <c r="E8753">
        <v>60</v>
      </c>
      <c r="F8753">
        <v>20140421</v>
      </c>
      <c r="G8753" t="s">
        <v>3743</v>
      </c>
      <c r="H8753" t="s">
        <v>765</v>
      </c>
      <c r="I8753" t="s">
        <v>61</v>
      </c>
    </row>
    <row r="8754" spans="1:9" x14ac:dyDescent="0.25">
      <c r="A8754">
        <v>20140424</v>
      </c>
      <c r="B8754" t="str">
        <f>"115403"</f>
        <v>115403</v>
      </c>
      <c r="C8754" t="str">
        <f>"87263"</f>
        <v>87263</v>
      </c>
      <c r="D8754" t="s">
        <v>4075</v>
      </c>
      <c r="E8754">
        <v>64</v>
      </c>
      <c r="F8754">
        <v>20140422</v>
      </c>
      <c r="G8754" t="s">
        <v>1188</v>
      </c>
      <c r="H8754" t="s">
        <v>4076</v>
      </c>
      <c r="I8754" t="s">
        <v>21</v>
      </c>
    </row>
    <row r="8755" spans="1:9" x14ac:dyDescent="0.25">
      <c r="A8755">
        <v>20140424</v>
      </c>
      <c r="B8755" t="str">
        <f>"115404"</f>
        <v>115404</v>
      </c>
      <c r="C8755" t="str">
        <f>"84980"</f>
        <v>84980</v>
      </c>
      <c r="D8755" t="s">
        <v>591</v>
      </c>
      <c r="E8755">
        <v>27.41</v>
      </c>
      <c r="F8755">
        <v>20140423</v>
      </c>
      <c r="G8755" t="s">
        <v>1024</v>
      </c>
      <c r="H8755" t="s">
        <v>4077</v>
      </c>
      <c r="I8755" t="s">
        <v>21</v>
      </c>
    </row>
    <row r="8756" spans="1:9" x14ac:dyDescent="0.25">
      <c r="A8756">
        <v>20140424</v>
      </c>
      <c r="B8756" t="str">
        <f>"115405"</f>
        <v>115405</v>
      </c>
      <c r="C8756" t="str">
        <f>"34100"</f>
        <v>34100</v>
      </c>
      <c r="D8756" t="s">
        <v>3299</v>
      </c>
      <c r="E8756">
        <v>873.6</v>
      </c>
      <c r="F8756">
        <v>20140417</v>
      </c>
      <c r="G8756" t="s">
        <v>150</v>
      </c>
      <c r="H8756" t="s">
        <v>3300</v>
      </c>
      <c r="I8756" t="s">
        <v>25</v>
      </c>
    </row>
    <row r="8757" spans="1:9" x14ac:dyDescent="0.25">
      <c r="A8757">
        <v>20140424</v>
      </c>
      <c r="B8757" t="str">
        <f>"115406"</f>
        <v>115406</v>
      </c>
      <c r="C8757" t="str">
        <f>"34230"</f>
        <v>34230</v>
      </c>
      <c r="D8757" t="s">
        <v>1094</v>
      </c>
      <c r="E8757">
        <v>543.97</v>
      </c>
      <c r="F8757">
        <v>20140422</v>
      </c>
      <c r="G8757" t="s">
        <v>214</v>
      </c>
      <c r="H8757" t="s">
        <v>4078</v>
      </c>
      <c r="I8757" t="s">
        <v>38</v>
      </c>
    </row>
    <row r="8758" spans="1:9" x14ac:dyDescent="0.25">
      <c r="A8758">
        <v>20140424</v>
      </c>
      <c r="B8758" t="str">
        <f>"115407"</f>
        <v>115407</v>
      </c>
      <c r="C8758" t="str">
        <f>"83880"</f>
        <v>83880</v>
      </c>
      <c r="D8758" t="s">
        <v>865</v>
      </c>
      <c r="E8758">
        <v>551.70000000000005</v>
      </c>
      <c r="F8758">
        <v>20140424</v>
      </c>
      <c r="G8758" t="s">
        <v>41</v>
      </c>
      <c r="H8758" t="s">
        <v>354</v>
      </c>
      <c r="I8758" t="s">
        <v>38</v>
      </c>
    </row>
    <row r="8759" spans="1:9" x14ac:dyDescent="0.25">
      <c r="A8759">
        <v>20140424</v>
      </c>
      <c r="B8759" t="str">
        <f>"115408"</f>
        <v>115408</v>
      </c>
      <c r="C8759" t="str">
        <f>"81247"</f>
        <v>81247</v>
      </c>
      <c r="D8759" t="s">
        <v>4079</v>
      </c>
      <c r="E8759">
        <v>77.2</v>
      </c>
      <c r="F8759">
        <v>20140423</v>
      </c>
      <c r="G8759" t="s">
        <v>214</v>
      </c>
      <c r="H8759" t="s">
        <v>354</v>
      </c>
      <c r="I8759" t="s">
        <v>38</v>
      </c>
    </row>
    <row r="8760" spans="1:9" x14ac:dyDescent="0.25">
      <c r="A8760">
        <v>20140424</v>
      </c>
      <c r="B8760" t="str">
        <f>"115409"</f>
        <v>115409</v>
      </c>
      <c r="C8760" t="str">
        <f>"87824"</f>
        <v>87824</v>
      </c>
      <c r="D8760" t="s">
        <v>4080</v>
      </c>
      <c r="E8760">
        <v>320</v>
      </c>
      <c r="F8760">
        <v>20140421</v>
      </c>
      <c r="G8760" t="s">
        <v>2072</v>
      </c>
      <c r="H8760" t="s">
        <v>679</v>
      </c>
      <c r="I8760" t="s">
        <v>21</v>
      </c>
    </row>
    <row r="8761" spans="1:9" x14ac:dyDescent="0.25">
      <c r="A8761">
        <v>20140424</v>
      </c>
      <c r="B8761" t="str">
        <f>"115410"</f>
        <v>115410</v>
      </c>
      <c r="C8761" t="str">
        <f>"35250"</f>
        <v>35250</v>
      </c>
      <c r="D8761" t="s">
        <v>4081</v>
      </c>
      <c r="E8761">
        <v>55</v>
      </c>
      <c r="F8761">
        <v>20140421</v>
      </c>
      <c r="G8761" t="s">
        <v>3430</v>
      </c>
      <c r="H8761" t="s">
        <v>765</v>
      </c>
      <c r="I8761" t="s">
        <v>61</v>
      </c>
    </row>
    <row r="8762" spans="1:9" x14ac:dyDescent="0.25">
      <c r="A8762">
        <v>20140424</v>
      </c>
      <c r="B8762" t="str">
        <f>"115410"</f>
        <v>115410</v>
      </c>
      <c r="C8762" t="str">
        <f>"35250"</f>
        <v>35250</v>
      </c>
      <c r="D8762" t="s">
        <v>4081</v>
      </c>
      <c r="E8762">
        <v>-55</v>
      </c>
      <c r="F8762">
        <v>20140515</v>
      </c>
      <c r="G8762" t="s">
        <v>3430</v>
      </c>
      <c r="H8762" t="s">
        <v>4082</v>
      </c>
      <c r="I8762" t="s">
        <v>61</v>
      </c>
    </row>
    <row r="8763" spans="1:9" x14ac:dyDescent="0.25">
      <c r="A8763">
        <v>20140424</v>
      </c>
      <c r="B8763" t="str">
        <f>"115411"</f>
        <v>115411</v>
      </c>
      <c r="C8763" t="str">
        <f>"40910"</f>
        <v>40910</v>
      </c>
      <c r="D8763" t="s">
        <v>1886</v>
      </c>
      <c r="E8763" s="1">
        <v>32202</v>
      </c>
      <c r="F8763">
        <v>20140422</v>
      </c>
      <c r="G8763" t="s">
        <v>3555</v>
      </c>
      <c r="H8763" t="s">
        <v>4083</v>
      </c>
      <c r="I8763" t="s">
        <v>12</v>
      </c>
    </row>
    <row r="8764" spans="1:9" x14ac:dyDescent="0.25">
      <c r="A8764">
        <v>20140424</v>
      </c>
      <c r="B8764" t="str">
        <f>"115412"</f>
        <v>115412</v>
      </c>
      <c r="C8764" t="str">
        <f>"87821"</f>
        <v>87821</v>
      </c>
      <c r="D8764" t="s">
        <v>4084</v>
      </c>
      <c r="E8764">
        <v>56.53</v>
      </c>
      <c r="F8764">
        <v>20140417</v>
      </c>
      <c r="G8764" t="s">
        <v>2354</v>
      </c>
      <c r="H8764" t="s">
        <v>365</v>
      </c>
      <c r="I8764" t="s">
        <v>21</v>
      </c>
    </row>
    <row r="8765" spans="1:9" x14ac:dyDescent="0.25">
      <c r="A8765">
        <v>20140424</v>
      </c>
      <c r="B8765" t="str">
        <f>"115413"</f>
        <v>115413</v>
      </c>
      <c r="C8765" t="str">
        <f>"87354"</f>
        <v>87354</v>
      </c>
      <c r="D8765" t="s">
        <v>2224</v>
      </c>
      <c r="E8765" s="1">
        <v>14930</v>
      </c>
      <c r="F8765">
        <v>20140422</v>
      </c>
      <c r="G8765" t="s">
        <v>1806</v>
      </c>
      <c r="H8765" t="s">
        <v>4085</v>
      </c>
      <c r="I8765" t="s">
        <v>21</v>
      </c>
    </row>
    <row r="8766" spans="1:9" x14ac:dyDescent="0.25">
      <c r="A8766">
        <v>20140424</v>
      </c>
      <c r="B8766" t="str">
        <f>"115414"</f>
        <v>115414</v>
      </c>
      <c r="C8766" t="str">
        <f>"43210"</f>
        <v>43210</v>
      </c>
      <c r="D8766" t="s">
        <v>3677</v>
      </c>
      <c r="E8766">
        <v>130.71</v>
      </c>
      <c r="F8766">
        <v>20140421</v>
      </c>
      <c r="G8766" t="s">
        <v>3430</v>
      </c>
      <c r="H8766" t="s">
        <v>765</v>
      </c>
      <c r="I8766" t="s">
        <v>61</v>
      </c>
    </row>
    <row r="8767" spans="1:9" x14ac:dyDescent="0.25">
      <c r="A8767">
        <v>20140424</v>
      </c>
      <c r="B8767" t="str">
        <f>"115415"</f>
        <v>115415</v>
      </c>
      <c r="C8767" t="str">
        <f>"43745"</f>
        <v>43745</v>
      </c>
      <c r="D8767" t="s">
        <v>4086</v>
      </c>
      <c r="E8767" s="1">
        <v>1140</v>
      </c>
      <c r="F8767">
        <v>20140417</v>
      </c>
      <c r="G8767" t="s">
        <v>150</v>
      </c>
      <c r="H8767" t="s">
        <v>2602</v>
      </c>
      <c r="I8767" t="s">
        <v>25</v>
      </c>
    </row>
    <row r="8768" spans="1:9" x14ac:dyDescent="0.25">
      <c r="A8768">
        <v>20140424</v>
      </c>
      <c r="B8768" t="str">
        <f>"115416"</f>
        <v>115416</v>
      </c>
      <c r="C8768" t="str">
        <f>"44725"</f>
        <v>44725</v>
      </c>
      <c r="D8768" t="s">
        <v>1621</v>
      </c>
      <c r="E8768">
        <v>562.4</v>
      </c>
      <c r="F8768">
        <v>20140422</v>
      </c>
      <c r="G8768" t="s">
        <v>2358</v>
      </c>
      <c r="H8768" t="s">
        <v>4087</v>
      </c>
      <c r="I8768" t="s">
        <v>21</v>
      </c>
    </row>
    <row r="8769" spans="1:9" x14ac:dyDescent="0.25">
      <c r="A8769">
        <v>20140424</v>
      </c>
      <c r="B8769" t="str">
        <f>"115416"</f>
        <v>115416</v>
      </c>
      <c r="C8769" t="str">
        <f>"44725"</f>
        <v>44725</v>
      </c>
      <c r="D8769" t="s">
        <v>1621</v>
      </c>
      <c r="E8769">
        <v>331.49</v>
      </c>
      <c r="F8769">
        <v>20140422</v>
      </c>
      <c r="G8769" t="s">
        <v>1188</v>
      </c>
      <c r="H8769" t="s">
        <v>4088</v>
      </c>
      <c r="I8769" t="s">
        <v>21</v>
      </c>
    </row>
    <row r="8770" spans="1:9" x14ac:dyDescent="0.25">
      <c r="A8770">
        <v>20140424</v>
      </c>
      <c r="B8770" t="str">
        <f>"115417"</f>
        <v>115417</v>
      </c>
      <c r="C8770" t="str">
        <f>"82185"</f>
        <v>82185</v>
      </c>
      <c r="D8770" t="s">
        <v>3565</v>
      </c>
      <c r="E8770">
        <v>419.16</v>
      </c>
      <c r="F8770">
        <v>20140417</v>
      </c>
      <c r="G8770" t="s">
        <v>1759</v>
      </c>
      <c r="H8770" t="s">
        <v>357</v>
      </c>
      <c r="I8770" t="s">
        <v>61</v>
      </c>
    </row>
    <row r="8771" spans="1:9" x14ac:dyDescent="0.25">
      <c r="A8771">
        <v>20140424</v>
      </c>
      <c r="B8771" t="str">
        <f>"115418"</f>
        <v>115418</v>
      </c>
      <c r="C8771" t="str">
        <f>"82716"</f>
        <v>82716</v>
      </c>
      <c r="D8771" t="s">
        <v>1778</v>
      </c>
      <c r="E8771">
        <v>95.37</v>
      </c>
      <c r="F8771">
        <v>20140423</v>
      </c>
      <c r="G8771" t="s">
        <v>2354</v>
      </c>
      <c r="H8771" t="s">
        <v>365</v>
      </c>
      <c r="I8771" t="s">
        <v>21</v>
      </c>
    </row>
    <row r="8772" spans="1:9" x14ac:dyDescent="0.25">
      <c r="A8772">
        <v>20140424</v>
      </c>
      <c r="B8772" t="str">
        <f>"115419"</f>
        <v>115419</v>
      </c>
      <c r="C8772" t="str">
        <f>"48820"</f>
        <v>48820</v>
      </c>
      <c r="D8772" t="s">
        <v>1106</v>
      </c>
      <c r="E8772">
        <v>568.80999999999995</v>
      </c>
      <c r="F8772">
        <v>20140424</v>
      </c>
      <c r="G8772" t="s">
        <v>209</v>
      </c>
      <c r="H8772" t="s">
        <v>354</v>
      </c>
      <c r="I8772" t="s">
        <v>25</v>
      </c>
    </row>
    <row r="8773" spans="1:9" x14ac:dyDescent="0.25">
      <c r="A8773">
        <v>20140424</v>
      </c>
      <c r="B8773" t="str">
        <f>"115420"</f>
        <v>115420</v>
      </c>
      <c r="C8773" t="str">
        <f>"87404"</f>
        <v>87404</v>
      </c>
      <c r="D8773" t="s">
        <v>1108</v>
      </c>
      <c r="E8773">
        <v>4.72</v>
      </c>
      <c r="F8773">
        <v>20140421</v>
      </c>
      <c r="G8773" t="s">
        <v>426</v>
      </c>
      <c r="H8773" t="s">
        <v>968</v>
      </c>
      <c r="I8773" t="s">
        <v>21</v>
      </c>
    </row>
    <row r="8774" spans="1:9" x14ac:dyDescent="0.25">
      <c r="A8774">
        <v>20140424</v>
      </c>
      <c r="B8774" t="str">
        <f>"115421"</f>
        <v>115421</v>
      </c>
      <c r="C8774" t="str">
        <f>"49555"</f>
        <v>49555</v>
      </c>
      <c r="D8774" t="s">
        <v>2388</v>
      </c>
      <c r="E8774">
        <v>623.67999999999995</v>
      </c>
      <c r="F8774">
        <v>20140423</v>
      </c>
      <c r="G8774" t="s">
        <v>1296</v>
      </c>
      <c r="H8774" t="s">
        <v>4089</v>
      </c>
      <c r="I8774" t="s">
        <v>21</v>
      </c>
    </row>
    <row r="8775" spans="1:9" x14ac:dyDescent="0.25">
      <c r="A8775">
        <v>20140424</v>
      </c>
      <c r="B8775" t="str">
        <f>"115422"</f>
        <v>115422</v>
      </c>
      <c r="C8775" t="str">
        <f>"82978"</f>
        <v>82978</v>
      </c>
      <c r="D8775" t="s">
        <v>2245</v>
      </c>
      <c r="E8775" s="1">
        <v>1036.3</v>
      </c>
      <c r="F8775">
        <v>20140422</v>
      </c>
      <c r="G8775" t="s">
        <v>840</v>
      </c>
      <c r="H8775" t="s">
        <v>4090</v>
      </c>
      <c r="I8775" t="s">
        <v>21</v>
      </c>
    </row>
    <row r="8776" spans="1:9" x14ac:dyDescent="0.25">
      <c r="A8776">
        <v>20140424</v>
      </c>
      <c r="B8776" t="str">
        <f>"115423"</f>
        <v>115423</v>
      </c>
      <c r="C8776" t="str">
        <f>"86946"</f>
        <v>86946</v>
      </c>
      <c r="D8776" t="s">
        <v>933</v>
      </c>
      <c r="E8776">
        <v>205.31</v>
      </c>
      <c r="F8776">
        <v>20140423</v>
      </c>
      <c r="G8776" t="s">
        <v>36</v>
      </c>
      <c r="H8776" t="s">
        <v>354</v>
      </c>
      <c r="I8776" t="s">
        <v>38</v>
      </c>
    </row>
    <row r="8777" spans="1:9" x14ac:dyDescent="0.25">
      <c r="A8777">
        <v>20140424</v>
      </c>
      <c r="B8777" t="str">
        <f>"115424"</f>
        <v>115424</v>
      </c>
      <c r="C8777" t="str">
        <f>"86964"</f>
        <v>86964</v>
      </c>
      <c r="D8777" t="s">
        <v>1280</v>
      </c>
      <c r="E8777" s="1">
        <v>1423.88</v>
      </c>
      <c r="F8777">
        <v>20140422</v>
      </c>
      <c r="G8777" t="s">
        <v>734</v>
      </c>
      <c r="H8777" t="s">
        <v>4091</v>
      </c>
      <c r="I8777" t="s">
        <v>21</v>
      </c>
    </row>
    <row r="8778" spans="1:9" x14ac:dyDescent="0.25">
      <c r="A8778">
        <v>20140424</v>
      </c>
      <c r="B8778" t="str">
        <f>"115425"</f>
        <v>115425</v>
      </c>
      <c r="C8778" t="str">
        <f>"87822"</f>
        <v>87822</v>
      </c>
      <c r="D8778" t="s">
        <v>4092</v>
      </c>
      <c r="E8778">
        <v>102.52</v>
      </c>
      <c r="F8778">
        <v>20140418</v>
      </c>
      <c r="G8778" t="s">
        <v>3743</v>
      </c>
      <c r="H8778" t="s">
        <v>765</v>
      </c>
      <c r="I8778" t="s">
        <v>61</v>
      </c>
    </row>
    <row r="8779" spans="1:9" x14ac:dyDescent="0.25">
      <c r="A8779">
        <v>20140424</v>
      </c>
      <c r="B8779" t="str">
        <f>"115426"</f>
        <v>115426</v>
      </c>
      <c r="C8779" t="str">
        <f>"84578"</f>
        <v>84578</v>
      </c>
      <c r="D8779" t="s">
        <v>3259</v>
      </c>
      <c r="E8779">
        <v>10.73</v>
      </c>
      <c r="F8779">
        <v>20140421</v>
      </c>
      <c r="G8779" t="s">
        <v>2932</v>
      </c>
      <c r="H8779" t="s">
        <v>365</v>
      </c>
      <c r="I8779" t="s">
        <v>21</v>
      </c>
    </row>
    <row r="8780" spans="1:9" x14ac:dyDescent="0.25">
      <c r="A8780">
        <v>20140424</v>
      </c>
      <c r="B8780" t="str">
        <f>"115427"</f>
        <v>115427</v>
      </c>
      <c r="C8780" t="str">
        <f>"62900"</f>
        <v>62900</v>
      </c>
      <c r="D8780" t="s">
        <v>1293</v>
      </c>
      <c r="E8780">
        <v>145.57</v>
      </c>
      <c r="F8780">
        <v>20140422</v>
      </c>
      <c r="G8780" t="s">
        <v>4093</v>
      </c>
      <c r="H8780" t="s">
        <v>4094</v>
      </c>
      <c r="I8780" t="s">
        <v>21</v>
      </c>
    </row>
    <row r="8781" spans="1:9" x14ac:dyDescent="0.25">
      <c r="A8781">
        <v>20140424</v>
      </c>
      <c r="B8781" t="str">
        <f>"115428"</f>
        <v>115428</v>
      </c>
      <c r="C8781" t="str">
        <f>"81726"</f>
        <v>81726</v>
      </c>
      <c r="D8781" t="s">
        <v>3954</v>
      </c>
      <c r="E8781">
        <v>105.2</v>
      </c>
      <c r="F8781">
        <v>20140421</v>
      </c>
      <c r="G8781" t="s">
        <v>3743</v>
      </c>
      <c r="H8781" t="s">
        <v>765</v>
      </c>
      <c r="I8781" t="s">
        <v>61</v>
      </c>
    </row>
    <row r="8782" spans="1:9" x14ac:dyDescent="0.25">
      <c r="A8782">
        <v>20140424</v>
      </c>
      <c r="B8782" t="str">
        <f>"115429"</f>
        <v>115429</v>
      </c>
      <c r="C8782" t="str">
        <f>"87361"</f>
        <v>87361</v>
      </c>
      <c r="D8782" t="s">
        <v>2283</v>
      </c>
      <c r="E8782" s="1">
        <v>2535</v>
      </c>
      <c r="F8782">
        <v>20140422</v>
      </c>
      <c r="G8782" t="s">
        <v>1271</v>
      </c>
      <c r="H8782" t="s">
        <v>4095</v>
      </c>
      <c r="I8782" t="s">
        <v>21</v>
      </c>
    </row>
    <row r="8783" spans="1:9" x14ac:dyDescent="0.25">
      <c r="A8783">
        <v>20140424</v>
      </c>
      <c r="B8783" t="str">
        <f>"115430"</f>
        <v>115430</v>
      </c>
      <c r="C8783" t="str">
        <f>"86597"</f>
        <v>86597</v>
      </c>
      <c r="D8783" t="s">
        <v>3435</v>
      </c>
      <c r="E8783">
        <v>99.15</v>
      </c>
      <c r="F8783">
        <v>20140422</v>
      </c>
      <c r="G8783" t="s">
        <v>3597</v>
      </c>
      <c r="H8783" t="s">
        <v>365</v>
      </c>
      <c r="I8783" t="s">
        <v>66</v>
      </c>
    </row>
    <row r="8784" spans="1:9" x14ac:dyDescent="0.25">
      <c r="A8784">
        <v>20140424</v>
      </c>
      <c r="B8784" t="str">
        <f>"115431"</f>
        <v>115431</v>
      </c>
      <c r="C8784" t="str">
        <f>"68960"</f>
        <v>68960</v>
      </c>
      <c r="D8784" t="s">
        <v>689</v>
      </c>
      <c r="E8784">
        <v>72</v>
      </c>
      <c r="F8784">
        <v>20140417</v>
      </c>
      <c r="G8784" t="s">
        <v>356</v>
      </c>
      <c r="H8784" t="s">
        <v>357</v>
      </c>
      <c r="I8784" t="s">
        <v>61</v>
      </c>
    </row>
    <row r="8785" spans="1:9" x14ac:dyDescent="0.25">
      <c r="A8785">
        <v>20140424</v>
      </c>
      <c r="B8785" t="str">
        <f>"115431"</f>
        <v>115431</v>
      </c>
      <c r="C8785" t="str">
        <f>"68960"</f>
        <v>68960</v>
      </c>
      <c r="D8785" t="s">
        <v>689</v>
      </c>
      <c r="E8785">
        <v>246</v>
      </c>
      <c r="F8785">
        <v>20140417</v>
      </c>
      <c r="G8785" t="s">
        <v>1759</v>
      </c>
      <c r="H8785" t="s">
        <v>357</v>
      </c>
      <c r="I8785" t="s">
        <v>61</v>
      </c>
    </row>
    <row r="8786" spans="1:9" x14ac:dyDescent="0.25">
      <c r="A8786">
        <v>20140424</v>
      </c>
      <c r="B8786" t="str">
        <f>"115431"</f>
        <v>115431</v>
      </c>
      <c r="C8786" t="str">
        <f>"68960"</f>
        <v>68960</v>
      </c>
      <c r="D8786" t="s">
        <v>689</v>
      </c>
      <c r="E8786">
        <v>246</v>
      </c>
      <c r="F8786">
        <v>20140417</v>
      </c>
      <c r="G8786" t="s">
        <v>1759</v>
      </c>
      <c r="H8786" t="s">
        <v>357</v>
      </c>
      <c r="I8786" t="s">
        <v>61</v>
      </c>
    </row>
    <row r="8787" spans="1:9" x14ac:dyDescent="0.25">
      <c r="A8787">
        <v>20140424</v>
      </c>
      <c r="B8787" t="str">
        <f>"115431"</f>
        <v>115431</v>
      </c>
      <c r="C8787" t="str">
        <f>"68960"</f>
        <v>68960</v>
      </c>
      <c r="D8787" t="s">
        <v>689</v>
      </c>
      <c r="E8787">
        <v>123</v>
      </c>
      <c r="F8787">
        <v>20140417</v>
      </c>
      <c r="G8787" t="s">
        <v>637</v>
      </c>
      <c r="H8787" t="s">
        <v>4096</v>
      </c>
      <c r="I8787" t="s">
        <v>38</v>
      </c>
    </row>
    <row r="8788" spans="1:9" x14ac:dyDescent="0.25">
      <c r="A8788">
        <v>20140424</v>
      </c>
      <c r="B8788" t="str">
        <f>"115432"</f>
        <v>115432</v>
      </c>
      <c r="C8788" t="str">
        <f>"00079"</f>
        <v>00079</v>
      </c>
      <c r="D8788" t="s">
        <v>2407</v>
      </c>
      <c r="E8788">
        <v>60</v>
      </c>
      <c r="F8788">
        <v>20140422</v>
      </c>
      <c r="G8788" t="s">
        <v>1153</v>
      </c>
      <c r="H8788" t="s">
        <v>4097</v>
      </c>
      <c r="I8788" t="s">
        <v>61</v>
      </c>
    </row>
    <row r="8789" spans="1:9" x14ac:dyDescent="0.25">
      <c r="A8789">
        <v>20140424</v>
      </c>
      <c r="B8789" t="str">
        <f>"115432"</f>
        <v>115432</v>
      </c>
      <c r="C8789" t="str">
        <f>"00079"</f>
        <v>00079</v>
      </c>
      <c r="D8789" t="s">
        <v>2407</v>
      </c>
      <c r="E8789">
        <v>60</v>
      </c>
      <c r="F8789">
        <v>20140423</v>
      </c>
      <c r="G8789" t="s">
        <v>1153</v>
      </c>
      <c r="H8789" t="s">
        <v>4097</v>
      </c>
      <c r="I8789" t="s">
        <v>61</v>
      </c>
    </row>
    <row r="8790" spans="1:9" x14ac:dyDescent="0.25">
      <c r="A8790">
        <v>20140424</v>
      </c>
      <c r="B8790" t="str">
        <f>"115433"</f>
        <v>115433</v>
      </c>
      <c r="C8790" t="str">
        <f>"00392"</f>
        <v>00392</v>
      </c>
      <c r="D8790" t="s">
        <v>4098</v>
      </c>
      <c r="E8790">
        <v>332.48</v>
      </c>
      <c r="F8790">
        <v>20140418</v>
      </c>
      <c r="G8790" t="s">
        <v>367</v>
      </c>
      <c r="H8790" t="s">
        <v>4099</v>
      </c>
      <c r="I8790" t="s">
        <v>21</v>
      </c>
    </row>
    <row r="8791" spans="1:9" x14ac:dyDescent="0.25">
      <c r="A8791">
        <v>20140424</v>
      </c>
      <c r="B8791" t="str">
        <f>"115434"</f>
        <v>115434</v>
      </c>
      <c r="C8791" t="str">
        <f>"70760"</f>
        <v>70760</v>
      </c>
      <c r="D8791" t="s">
        <v>963</v>
      </c>
      <c r="E8791">
        <v>468</v>
      </c>
      <c r="F8791">
        <v>20140421</v>
      </c>
      <c r="G8791" t="s">
        <v>922</v>
      </c>
      <c r="H8791" t="s">
        <v>954</v>
      </c>
      <c r="I8791" t="s">
        <v>66</v>
      </c>
    </row>
    <row r="8792" spans="1:9" x14ac:dyDescent="0.25">
      <c r="A8792">
        <v>20140424</v>
      </c>
      <c r="B8792" t="str">
        <f>"115434"</f>
        <v>115434</v>
      </c>
      <c r="C8792" t="str">
        <f>"70760"</f>
        <v>70760</v>
      </c>
      <c r="D8792" t="s">
        <v>963</v>
      </c>
      <c r="E8792">
        <v>468</v>
      </c>
      <c r="F8792">
        <v>20140421</v>
      </c>
      <c r="G8792" t="s">
        <v>923</v>
      </c>
      <c r="H8792" t="s">
        <v>954</v>
      </c>
      <c r="I8792" t="s">
        <v>66</v>
      </c>
    </row>
    <row r="8793" spans="1:9" x14ac:dyDescent="0.25">
      <c r="A8793">
        <v>20140424</v>
      </c>
      <c r="B8793" t="str">
        <f>"115434"</f>
        <v>115434</v>
      </c>
      <c r="C8793" t="str">
        <f>"70760"</f>
        <v>70760</v>
      </c>
      <c r="D8793" t="s">
        <v>963</v>
      </c>
      <c r="E8793">
        <v>468</v>
      </c>
      <c r="F8793">
        <v>20140421</v>
      </c>
      <c r="G8793" t="s">
        <v>924</v>
      </c>
      <c r="H8793" t="s">
        <v>954</v>
      </c>
      <c r="I8793" t="s">
        <v>66</v>
      </c>
    </row>
    <row r="8794" spans="1:9" x14ac:dyDescent="0.25">
      <c r="A8794">
        <v>20140424</v>
      </c>
      <c r="B8794" t="str">
        <f>"115434"</f>
        <v>115434</v>
      </c>
      <c r="C8794" t="str">
        <f>"70760"</f>
        <v>70760</v>
      </c>
      <c r="D8794" t="s">
        <v>963</v>
      </c>
      <c r="E8794">
        <v>468</v>
      </c>
      <c r="F8794">
        <v>20140421</v>
      </c>
      <c r="G8794" t="s">
        <v>925</v>
      </c>
      <c r="H8794" t="s">
        <v>954</v>
      </c>
      <c r="I8794" t="s">
        <v>66</v>
      </c>
    </row>
    <row r="8795" spans="1:9" x14ac:dyDescent="0.25">
      <c r="A8795">
        <v>20140424</v>
      </c>
      <c r="B8795" t="str">
        <f>"115434"</f>
        <v>115434</v>
      </c>
      <c r="C8795" t="str">
        <f>"70760"</f>
        <v>70760</v>
      </c>
      <c r="D8795" t="s">
        <v>963</v>
      </c>
      <c r="E8795">
        <v>468</v>
      </c>
      <c r="F8795">
        <v>20140421</v>
      </c>
      <c r="G8795" t="s">
        <v>2895</v>
      </c>
      <c r="H8795" t="s">
        <v>954</v>
      </c>
      <c r="I8795" t="s">
        <v>66</v>
      </c>
    </row>
    <row r="8796" spans="1:9" x14ac:dyDescent="0.25">
      <c r="A8796">
        <v>20140424</v>
      </c>
      <c r="B8796" t="str">
        <f>"115435"</f>
        <v>115435</v>
      </c>
      <c r="C8796" t="str">
        <f>"73500"</f>
        <v>73500</v>
      </c>
      <c r="D8796" t="s">
        <v>1822</v>
      </c>
      <c r="E8796" s="1">
        <v>16408.830000000002</v>
      </c>
      <c r="F8796">
        <v>20140421</v>
      </c>
      <c r="G8796" t="s">
        <v>1823</v>
      </c>
      <c r="H8796" t="s">
        <v>1824</v>
      </c>
      <c r="I8796" t="s">
        <v>21</v>
      </c>
    </row>
    <row r="8797" spans="1:9" x14ac:dyDescent="0.25">
      <c r="A8797">
        <v>20140424</v>
      </c>
      <c r="B8797" t="str">
        <f>"115435"</f>
        <v>115435</v>
      </c>
      <c r="C8797" t="str">
        <f>"73500"</f>
        <v>73500</v>
      </c>
      <c r="D8797" t="s">
        <v>1822</v>
      </c>
      <c r="E8797" s="1">
        <v>2183.31</v>
      </c>
      <c r="F8797">
        <v>20140421</v>
      </c>
      <c r="G8797" t="s">
        <v>1825</v>
      </c>
      <c r="H8797" t="s">
        <v>1824</v>
      </c>
      <c r="I8797" t="s">
        <v>12</v>
      </c>
    </row>
    <row r="8798" spans="1:9" x14ac:dyDescent="0.25">
      <c r="A8798">
        <v>20140424</v>
      </c>
      <c r="B8798" t="str">
        <f>"115436"</f>
        <v>115436</v>
      </c>
      <c r="C8798" t="str">
        <f>"73982"</f>
        <v>73982</v>
      </c>
      <c r="D8798" t="s">
        <v>701</v>
      </c>
      <c r="E8798">
        <v>30</v>
      </c>
      <c r="F8798">
        <v>20140417</v>
      </c>
      <c r="G8798" t="s">
        <v>637</v>
      </c>
      <c r="H8798" t="s">
        <v>354</v>
      </c>
      <c r="I8798" t="s">
        <v>38</v>
      </c>
    </row>
    <row r="8799" spans="1:9" x14ac:dyDescent="0.25">
      <c r="A8799">
        <v>20140424</v>
      </c>
      <c r="B8799" t="str">
        <f>"115437"</f>
        <v>115437</v>
      </c>
      <c r="C8799" t="str">
        <f>"86085"</f>
        <v>86085</v>
      </c>
      <c r="D8799" t="s">
        <v>703</v>
      </c>
      <c r="E8799">
        <v>76</v>
      </c>
      <c r="F8799">
        <v>20140421</v>
      </c>
      <c r="G8799" t="s">
        <v>704</v>
      </c>
      <c r="H8799" t="s">
        <v>357</v>
      </c>
      <c r="I8799" t="s">
        <v>21</v>
      </c>
    </row>
    <row r="8800" spans="1:9" x14ac:dyDescent="0.25">
      <c r="A8800">
        <v>20140424</v>
      </c>
      <c r="B8800" t="str">
        <f>"115438"</f>
        <v>115438</v>
      </c>
      <c r="C8800" t="str">
        <f>"87616"</f>
        <v>87616</v>
      </c>
      <c r="D8800" t="s">
        <v>711</v>
      </c>
      <c r="E8800">
        <v>264</v>
      </c>
      <c r="F8800">
        <v>20140423</v>
      </c>
      <c r="G8800" t="s">
        <v>1052</v>
      </c>
      <c r="H8800" t="s">
        <v>2418</v>
      </c>
      <c r="I8800" t="s">
        <v>25</v>
      </c>
    </row>
    <row r="8801" spans="1:9" x14ac:dyDescent="0.25">
      <c r="A8801">
        <v>20140424</v>
      </c>
      <c r="B8801" t="str">
        <f>"115439"</f>
        <v>115439</v>
      </c>
      <c r="C8801" t="str">
        <f>"69310"</f>
        <v>69310</v>
      </c>
      <c r="D8801" t="s">
        <v>716</v>
      </c>
      <c r="E8801">
        <v>69.290000000000006</v>
      </c>
      <c r="F8801">
        <v>20140422</v>
      </c>
      <c r="G8801" t="s">
        <v>718</v>
      </c>
      <c r="H8801" t="s">
        <v>488</v>
      </c>
      <c r="I8801" t="s">
        <v>21</v>
      </c>
    </row>
    <row r="8802" spans="1:9" x14ac:dyDescent="0.25">
      <c r="A8802">
        <v>20140424</v>
      </c>
      <c r="B8802" t="str">
        <f>"115439"</f>
        <v>115439</v>
      </c>
      <c r="C8802" t="str">
        <f>"69310"</f>
        <v>69310</v>
      </c>
      <c r="D8802" t="s">
        <v>716</v>
      </c>
      <c r="E8802" s="1">
        <v>7544.15</v>
      </c>
      <c r="F8802">
        <v>20140418</v>
      </c>
      <c r="G8802" t="s">
        <v>724</v>
      </c>
      <c r="H8802" t="s">
        <v>488</v>
      </c>
      <c r="I8802" t="s">
        <v>21</v>
      </c>
    </row>
    <row r="8803" spans="1:9" x14ac:dyDescent="0.25">
      <c r="A8803">
        <v>20140424</v>
      </c>
      <c r="B8803" t="str">
        <f>"115440"</f>
        <v>115440</v>
      </c>
      <c r="C8803" t="str">
        <f>"00669"</f>
        <v>00669</v>
      </c>
      <c r="D8803" t="s">
        <v>4100</v>
      </c>
      <c r="E8803">
        <v>32.5</v>
      </c>
      <c r="F8803">
        <v>20140421</v>
      </c>
      <c r="G8803" t="s">
        <v>789</v>
      </c>
      <c r="H8803" t="s">
        <v>4101</v>
      </c>
      <c r="I8803" t="s">
        <v>61</v>
      </c>
    </row>
    <row r="8804" spans="1:9" x14ac:dyDescent="0.25">
      <c r="A8804">
        <v>20140424</v>
      </c>
      <c r="B8804" t="str">
        <f>"115441"</f>
        <v>115441</v>
      </c>
      <c r="C8804" t="str">
        <f>"86291"</f>
        <v>86291</v>
      </c>
      <c r="D8804" t="s">
        <v>3976</v>
      </c>
      <c r="E8804">
        <v>116.8</v>
      </c>
      <c r="F8804">
        <v>20140418</v>
      </c>
      <c r="G8804" t="s">
        <v>3743</v>
      </c>
      <c r="H8804" t="s">
        <v>765</v>
      </c>
      <c r="I8804" t="s">
        <v>61</v>
      </c>
    </row>
    <row r="8805" spans="1:9" x14ac:dyDescent="0.25">
      <c r="A8805">
        <v>20140424</v>
      </c>
      <c r="B8805" t="str">
        <f>"115442"</f>
        <v>115442</v>
      </c>
      <c r="C8805" t="str">
        <f>"87829"</f>
        <v>87829</v>
      </c>
      <c r="D8805" t="s">
        <v>4102</v>
      </c>
      <c r="E8805">
        <v>225</v>
      </c>
      <c r="F8805">
        <v>20140422</v>
      </c>
      <c r="G8805" t="s">
        <v>99</v>
      </c>
      <c r="H8805" t="s">
        <v>4103</v>
      </c>
      <c r="I8805" t="s">
        <v>21</v>
      </c>
    </row>
    <row r="8806" spans="1:9" x14ac:dyDescent="0.25">
      <c r="A8806">
        <v>20140424</v>
      </c>
      <c r="B8806" t="str">
        <f>"115443"</f>
        <v>115443</v>
      </c>
      <c r="C8806" t="str">
        <f>"85605"</f>
        <v>85605</v>
      </c>
      <c r="D8806" t="s">
        <v>1949</v>
      </c>
      <c r="E8806">
        <v>16.059999999999999</v>
      </c>
      <c r="F8806">
        <v>20140421</v>
      </c>
      <c r="G8806" t="s">
        <v>837</v>
      </c>
      <c r="H8806" t="s">
        <v>4104</v>
      </c>
      <c r="I8806" t="s">
        <v>21</v>
      </c>
    </row>
    <row r="8807" spans="1:9" x14ac:dyDescent="0.25">
      <c r="A8807">
        <v>20140424</v>
      </c>
      <c r="B8807" t="str">
        <f>"115443"</f>
        <v>115443</v>
      </c>
      <c r="C8807" t="str">
        <f>"85605"</f>
        <v>85605</v>
      </c>
      <c r="D8807" t="s">
        <v>1949</v>
      </c>
      <c r="E8807">
        <v>89.1</v>
      </c>
      <c r="F8807">
        <v>20140421</v>
      </c>
      <c r="G8807" t="s">
        <v>119</v>
      </c>
      <c r="H8807" t="s">
        <v>4104</v>
      </c>
      <c r="I8807" t="s">
        <v>38</v>
      </c>
    </row>
    <row r="8808" spans="1:9" x14ac:dyDescent="0.25">
      <c r="A8808">
        <v>20140424</v>
      </c>
      <c r="B8808" t="str">
        <f>"115443"</f>
        <v>115443</v>
      </c>
      <c r="C8808" t="str">
        <f>"85605"</f>
        <v>85605</v>
      </c>
      <c r="D8808" t="s">
        <v>1949</v>
      </c>
      <c r="E8808">
        <v>15.5</v>
      </c>
      <c r="F8808">
        <v>20140421</v>
      </c>
      <c r="G8808" t="s">
        <v>39</v>
      </c>
      <c r="H8808" t="s">
        <v>4104</v>
      </c>
      <c r="I8808" t="s">
        <v>38</v>
      </c>
    </row>
    <row r="8809" spans="1:9" x14ac:dyDescent="0.25">
      <c r="A8809">
        <v>20140424</v>
      </c>
      <c r="B8809" t="str">
        <f>"115444"</f>
        <v>115444</v>
      </c>
      <c r="C8809" t="str">
        <f>"81931"</f>
        <v>81931</v>
      </c>
      <c r="D8809" t="s">
        <v>4105</v>
      </c>
      <c r="E8809">
        <v>97.1</v>
      </c>
      <c r="F8809">
        <v>20140423</v>
      </c>
      <c r="G8809" t="s">
        <v>214</v>
      </c>
      <c r="H8809" t="s">
        <v>354</v>
      </c>
      <c r="I8809" t="s">
        <v>38</v>
      </c>
    </row>
    <row r="8810" spans="1:9" x14ac:dyDescent="0.25">
      <c r="A8810">
        <v>20140424</v>
      </c>
      <c r="B8810" t="str">
        <f>"115445"</f>
        <v>115445</v>
      </c>
      <c r="C8810" t="str">
        <f>"83814"</f>
        <v>83814</v>
      </c>
      <c r="D8810" t="s">
        <v>3457</v>
      </c>
      <c r="E8810" s="1">
        <v>8425.39</v>
      </c>
      <c r="F8810">
        <v>20140417</v>
      </c>
      <c r="G8810" t="s">
        <v>4039</v>
      </c>
      <c r="H8810" t="s">
        <v>4106</v>
      </c>
      <c r="I8810" t="s">
        <v>608</v>
      </c>
    </row>
    <row r="8811" spans="1:9" x14ac:dyDescent="0.25">
      <c r="A8811">
        <v>20140424</v>
      </c>
      <c r="B8811" t="str">
        <f>"115445"</f>
        <v>115445</v>
      </c>
      <c r="C8811" t="str">
        <f>"83814"</f>
        <v>83814</v>
      </c>
      <c r="D8811" t="s">
        <v>3457</v>
      </c>
      <c r="E8811" s="1">
        <v>2456.5100000000002</v>
      </c>
      <c r="F8811">
        <v>20140417</v>
      </c>
      <c r="G8811" t="s">
        <v>4039</v>
      </c>
      <c r="H8811" t="s">
        <v>4106</v>
      </c>
      <c r="I8811" t="s">
        <v>608</v>
      </c>
    </row>
    <row r="8812" spans="1:9" x14ac:dyDescent="0.25">
      <c r="A8812">
        <v>20140424</v>
      </c>
      <c r="B8812" t="str">
        <f>"115445"</f>
        <v>115445</v>
      </c>
      <c r="C8812" t="str">
        <f>"83814"</f>
        <v>83814</v>
      </c>
      <c r="D8812" t="s">
        <v>3457</v>
      </c>
      <c r="E8812" s="1">
        <v>3823.03</v>
      </c>
      <c r="F8812">
        <v>20140417</v>
      </c>
      <c r="G8812" t="s">
        <v>4039</v>
      </c>
      <c r="H8812" t="s">
        <v>4106</v>
      </c>
      <c r="I8812" t="s">
        <v>608</v>
      </c>
    </row>
    <row r="8813" spans="1:9" x14ac:dyDescent="0.25">
      <c r="A8813">
        <v>20140424</v>
      </c>
      <c r="B8813" t="str">
        <f>"115446"</f>
        <v>115446</v>
      </c>
      <c r="C8813" t="str">
        <f>"00068"</f>
        <v>00068</v>
      </c>
      <c r="D8813" t="s">
        <v>1327</v>
      </c>
      <c r="E8813">
        <v>400.7</v>
      </c>
      <c r="F8813">
        <v>20140417</v>
      </c>
      <c r="G8813" t="s">
        <v>1759</v>
      </c>
      <c r="H8813" t="s">
        <v>357</v>
      </c>
      <c r="I8813" t="s">
        <v>61</v>
      </c>
    </row>
    <row r="8814" spans="1:9" x14ac:dyDescent="0.25">
      <c r="A8814">
        <v>20140424</v>
      </c>
      <c r="B8814" t="str">
        <f>"115447"</f>
        <v>115447</v>
      </c>
      <c r="C8814" t="str">
        <f>"81707"</f>
        <v>81707</v>
      </c>
      <c r="D8814" t="s">
        <v>3800</v>
      </c>
      <c r="E8814">
        <v>300</v>
      </c>
      <c r="F8814">
        <v>20140422</v>
      </c>
      <c r="G8814" t="s">
        <v>1759</v>
      </c>
      <c r="H8814" t="s">
        <v>4107</v>
      </c>
      <c r="I8814" t="s">
        <v>61</v>
      </c>
    </row>
    <row r="8815" spans="1:9" x14ac:dyDescent="0.25">
      <c r="A8815">
        <v>20140424</v>
      </c>
      <c r="B8815" t="str">
        <f>"115448"</f>
        <v>115448</v>
      </c>
      <c r="C8815" t="str">
        <f>"87826"</f>
        <v>87826</v>
      </c>
      <c r="D8815" t="s">
        <v>4108</v>
      </c>
      <c r="E8815">
        <v>9.16</v>
      </c>
      <c r="F8815">
        <v>20140421</v>
      </c>
      <c r="G8815" t="s">
        <v>99</v>
      </c>
      <c r="H8815" t="s">
        <v>354</v>
      </c>
      <c r="I8815" t="s">
        <v>21</v>
      </c>
    </row>
    <row r="8816" spans="1:9" x14ac:dyDescent="0.25">
      <c r="A8816">
        <v>20140424</v>
      </c>
      <c r="B8816" t="str">
        <f>"115449"</f>
        <v>115449</v>
      </c>
      <c r="C8816" t="str">
        <f>"87823"</f>
        <v>87823</v>
      </c>
      <c r="D8816" t="s">
        <v>4109</v>
      </c>
      <c r="E8816">
        <v>167.8</v>
      </c>
      <c r="F8816">
        <v>20140421</v>
      </c>
      <c r="G8816" t="s">
        <v>3430</v>
      </c>
      <c r="H8816" t="s">
        <v>765</v>
      </c>
      <c r="I8816" t="s">
        <v>61</v>
      </c>
    </row>
    <row r="8817" spans="1:9" x14ac:dyDescent="0.25">
      <c r="A8817">
        <v>20140430</v>
      </c>
      <c r="B8817" t="str">
        <f>"115450"</f>
        <v>115450</v>
      </c>
      <c r="C8817" t="str">
        <f>"87769"</f>
        <v>87769</v>
      </c>
      <c r="D8817" t="s">
        <v>3462</v>
      </c>
      <c r="E8817">
        <v>130.68</v>
      </c>
      <c r="F8817">
        <v>20140425</v>
      </c>
      <c r="G8817" t="s">
        <v>1227</v>
      </c>
      <c r="H8817" t="s">
        <v>563</v>
      </c>
      <c r="I8817" t="s">
        <v>21</v>
      </c>
    </row>
    <row r="8818" spans="1:9" x14ac:dyDescent="0.25">
      <c r="A8818">
        <v>20140430</v>
      </c>
      <c r="B8818" t="str">
        <f>"115451"</f>
        <v>115451</v>
      </c>
      <c r="C8818" t="str">
        <f>"87466"</f>
        <v>87466</v>
      </c>
      <c r="D8818" t="s">
        <v>468</v>
      </c>
      <c r="E8818">
        <v>190</v>
      </c>
      <c r="F8818">
        <v>20140430</v>
      </c>
      <c r="G8818" t="s">
        <v>469</v>
      </c>
      <c r="H8818" t="s">
        <v>501</v>
      </c>
      <c r="I8818" t="s">
        <v>21</v>
      </c>
    </row>
    <row r="8819" spans="1:9" x14ac:dyDescent="0.25">
      <c r="A8819">
        <v>20140430</v>
      </c>
      <c r="B8819" t="str">
        <f>"115452"</f>
        <v>115452</v>
      </c>
      <c r="C8819" t="str">
        <f>"05320"</f>
        <v>05320</v>
      </c>
      <c r="D8819" t="s">
        <v>471</v>
      </c>
      <c r="E8819" s="1">
        <v>1807.88</v>
      </c>
      <c r="F8819">
        <v>20140428</v>
      </c>
      <c r="G8819" t="s">
        <v>119</v>
      </c>
      <c r="H8819" t="s">
        <v>414</v>
      </c>
      <c r="I8819" t="s">
        <v>38</v>
      </c>
    </row>
    <row r="8820" spans="1:9" x14ac:dyDescent="0.25">
      <c r="A8820">
        <v>20140430</v>
      </c>
      <c r="B8820" t="str">
        <f>"115453"</f>
        <v>115453</v>
      </c>
      <c r="C8820" t="str">
        <f>"00500"</f>
        <v>00500</v>
      </c>
      <c r="D8820" t="s">
        <v>486</v>
      </c>
      <c r="E8820">
        <v>958.55</v>
      </c>
      <c r="F8820">
        <v>20140428</v>
      </c>
      <c r="G8820" t="s">
        <v>1705</v>
      </c>
      <c r="H8820" t="s">
        <v>488</v>
      </c>
      <c r="I8820" t="s">
        <v>21</v>
      </c>
    </row>
    <row r="8821" spans="1:9" x14ac:dyDescent="0.25">
      <c r="A8821">
        <v>20140430</v>
      </c>
      <c r="B8821" t="str">
        <f>"115454"</f>
        <v>115454</v>
      </c>
      <c r="C8821" t="str">
        <f>"00255"</f>
        <v>00255</v>
      </c>
      <c r="D8821" t="s">
        <v>489</v>
      </c>
      <c r="E8821" s="1">
        <v>1776.76</v>
      </c>
      <c r="F8821">
        <v>20140428</v>
      </c>
      <c r="G8821" t="s">
        <v>1185</v>
      </c>
      <c r="H8821" t="s">
        <v>488</v>
      </c>
      <c r="I8821" t="s">
        <v>21</v>
      </c>
    </row>
    <row r="8822" spans="1:9" x14ac:dyDescent="0.25">
      <c r="A8822">
        <v>20140430</v>
      </c>
      <c r="B8822" t="str">
        <f>"115455"</f>
        <v>115455</v>
      </c>
      <c r="C8822" t="str">
        <f>"00213"</f>
        <v>00213</v>
      </c>
      <c r="D8822" t="s">
        <v>1006</v>
      </c>
      <c r="E8822">
        <v>802.9</v>
      </c>
      <c r="F8822">
        <v>20140428</v>
      </c>
      <c r="G8822" t="s">
        <v>506</v>
      </c>
      <c r="H8822" t="s">
        <v>4110</v>
      </c>
      <c r="I8822" t="s">
        <v>21</v>
      </c>
    </row>
    <row r="8823" spans="1:9" x14ac:dyDescent="0.25">
      <c r="A8823">
        <v>20140430</v>
      </c>
      <c r="B8823" t="str">
        <f>"115456"</f>
        <v>115456</v>
      </c>
      <c r="C8823" t="str">
        <f>"87465"</f>
        <v>87465</v>
      </c>
      <c r="D8823" t="s">
        <v>500</v>
      </c>
      <c r="E8823">
        <v>200</v>
      </c>
      <c r="F8823">
        <v>20140430</v>
      </c>
      <c r="G8823" t="s">
        <v>469</v>
      </c>
      <c r="H8823" t="s">
        <v>501</v>
      </c>
      <c r="I8823" t="s">
        <v>21</v>
      </c>
    </row>
    <row r="8824" spans="1:9" x14ac:dyDescent="0.25">
      <c r="A8824">
        <v>20140430</v>
      </c>
      <c r="B8824" t="str">
        <f>"115457"</f>
        <v>115457</v>
      </c>
      <c r="C8824" t="str">
        <f>"84426"</f>
        <v>84426</v>
      </c>
      <c r="D8824" t="s">
        <v>3595</v>
      </c>
      <c r="E8824" s="1">
        <v>1076</v>
      </c>
      <c r="F8824">
        <v>20140430</v>
      </c>
      <c r="G8824" t="s">
        <v>145</v>
      </c>
      <c r="H8824" t="s">
        <v>4111</v>
      </c>
      <c r="I8824" t="s">
        <v>38</v>
      </c>
    </row>
    <row r="8825" spans="1:9" x14ac:dyDescent="0.25">
      <c r="A8825">
        <v>20140430</v>
      </c>
      <c r="B8825" t="str">
        <f>"115458"</f>
        <v>115458</v>
      </c>
      <c r="C8825" t="str">
        <f>"87833"</f>
        <v>87833</v>
      </c>
      <c r="D8825" t="s">
        <v>4112</v>
      </c>
      <c r="E8825">
        <v>139.68</v>
      </c>
      <c r="F8825">
        <v>20140425</v>
      </c>
      <c r="G8825" t="s">
        <v>3743</v>
      </c>
      <c r="H8825" t="s">
        <v>765</v>
      </c>
      <c r="I8825" t="s">
        <v>61</v>
      </c>
    </row>
    <row r="8826" spans="1:9" x14ac:dyDescent="0.25">
      <c r="A8826">
        <v>20140430</v>
      </c>
      <c r="B8826" t="str">
        <f>"115459"</f>
        <v>115459</v>
      </c>
      <c r="C8826" t="str">
        <f>"87695"</f>
        <v>87695</v>
      </c>
      <c r="D8826" t="s">
        <v>4113</v>
      </c>
      <c r="E8826" s="1">
        <v>2370</v>
      </c>
      <c r="F8826">
        <v>20140429</v>
      </c>
      <c r="G8826" t="s">
        <v>413</v>
      </c>
      <c r="H8826" t="s">
        <v>1609</v>
      </c>
      <c r="I8826" t="s">
        <v>21</v>
      </c>
    </row>
    <row r="8827" spans="1:9" x14ac:dyDescent="0.25">
      <c r="A8827">
        <v>20140430</v>
      </c>
      <c r="B8827" t="str">
        <f>"115460"</f>
        <v>115460</v>
      </c>
      <c r="C8827" t="str">
        <f>"87228"</f>
        <v>87228</v>
      </c>
      <c r="D8827" t="s">
        <v>792</v>
      </c>
      <c r="E8827">
        <v>62.51</v>
      </c>
      <c r="F8827">
        <v>20140429</v>
      </c>
      <c r="G8827" t="s">
        <v>1679</v>
      </c>
      <c r="H8827" t="s">
        <v>790</v>
      </c>
      <c r="I8827" t="s">
        <v>25</v>
      </c>
    </row>
    <row r="8828" spans="1:9" x14ac:dyDescent="0.25">
      <c r="A8828">
        <v>20140430</v>
      </c>
      <c r="B8828" t="str">
        <f t="shared" ref="B8828:B8833" si="510">"115461"</f>
        <v>115461</v>
      </c>
      <c r="C8828" t="str">
        <f t="shared" ref="C8828:C8833" si="511">"86533"</f>
        <v>86533</v>
      </c>
      <c r="D8828" t="s">
        <v>505</v>
      </c>
      <c r="E8828">
        <v>185.25</v>
      </c>
      <c r="F8828">
        <v>20140429</v>
      </c>
      <c r="G8828" t="s">
        <v>1640</v>
      </c>
      <c r="H8828" t="s">
        <v>414</v>
      </c>
      <c r="I8828" t="s">
        <v>21</v>
      </c>
    </row>
    <row r="8829" spans="1:9" x14ac:dyDescent="0.25">
      <c r="A8829">
        <v>20140430</v>
      </c>
      <c r="B8829" t="str">
        <f t="shared" si="510"/>
        <v>115461</v>
      </c>
      <c r="C8829" t="str">
        <f t="shared" si="511"/>
        <v>86533</v>
      </c>
      <c r="D8829" t="s">
        <v>505</v>
      </c>
      <c r="E8829">
        <v>149.79</v>
      </c>
      <c r="F8829">
        <v>20140429</v>
      </c>
      <c r="G8829" t="s">
        <v>1640</v>
      </c>
      <c r="H8829" t="s">
        <v>414</v>
      </c>
      <c r="I8829" t="s">
        <v>21</v>
      </c>
    </row>
    <row r="8830" spans="1:9" x14ac:dyDescent="0.25">
      <c r="A8830">
        <v>20140430</v>
      </c>
      <c r="B8830" t="str">
        <f t="shared" si="510"/>
        <v>115461</v>
      </c>
      <c r="C8830" t="str">
        <f t="shared" si="511"/>
        <v>86533</v>
      </c>
      <c r="D8830" t="s">
        <v>505</v>
      </c>
      <c r="E8830">
        <v>23.12</v>
      </c>
      <c r="F8830">
        <v>20140430</v>
      </c>
      <c r="G8830" t="s">
        <v>1640</v>
      </c>
      <c r="H8830" t="s">
        <v>414</v>
      </c>
      <c r="I8830" t="s">
        <v>21</v>
      </c>
    </row>
    <row r="8831" spans="1:9" x14ac:dyDescent="0.25">
      <c r="A8831">
        <v>20140430</v>
      </c>
      <c r="B8831" t="str">
        <f t="shared" si="510"/>
        <v>115461</v>
      </c>
      <c r="C8831" t="str">
        <f t="shared" si="511"/>
        <v>86533</v>
      </c>
      <c r="D8831" t="s">
        <v>505</v>
      </c>
      <c r="E8831">
        <v>47.98</v>
      </c>
      <c r="F8831">
        <v>20140430</v>
      </c>
      <c r="G8831" t="s">
        <v>1640</v>
      </c>
      <c r="H8831" t="s">
        <v>414</v>
      </c>
      <c r="I8831" t="s">
        <v>21</v>
      </c>
    </row>
    <row r="8832" spans="1:9" x14ac:dyDescent="0.25">
      <c r="A8832">
        <v>20140430</v>
      </c>
      <c r="B8832" t="str">
        <f t="shared" si="510"/>
        <v>115461</v>
      </c>
      <c r="C8832" t="str">
        <f t="shared" si="511"/>
        <v>86533</v>
      </c>
      <c r="D8832" t="s">
        <v>505</v>
      </c>
      <c r="E8832">
        <v>106.16</v>
      </c>
      <c r="F8832">
        <v>20140430</v>
      </c>
      <c r="G8832" t="s">
        <v>1640</v>
      </c>
      <c r="H8832" t="s">
        <v>414</v>
      </c>
      <c r="I8832" t="s">
        <v>21</v>
      </c>
    </row>
    <row r="8833" spans="1:9" x14ac:dyDescent="0.25">
      <c r="A8833">
        <v>20140430</v>
      </c>
      <c r="B8833" t="str">
        <f t="shared" si="510"/>
        <v>115461</v>
      </c>
      <c r="C8833" t="str">
        <f t="shared" si="511"/>
        <v>86533</v>
      </c>
      <c r="D8833" t="s">
        <v>505</v>
      </c>
      <c r="E8833">
        <v>-185.25</v>
      </c>
      <c r="F8833">
        <v>20140430</v>
      </c>
      <c r="G8833" t="s">
        <v>1640</v>
      </c>
      <c r="H8833" t="s">
        <v>414</v>
      </c>
      <c r="I8833" t="s">
        <v>21</v>
      </c>
    </row>
    <row r="8834" spans="1:9" x14ac:dyDescent="0.25">
      <c r="A8834">
        <v>20140430</v>
      </c>
      <c r="B8834" t="str">
        <f>"115462"</f>
        <v>115462</v>
      </c>
      <c r="C8834" t="str">
        <f>"84816"</f>
        <v>84816</v>
      </c>
      <c r="D8834" t="s">
        <v>4114</v>
      </c>
      <c r="E8834" s="1">
        <v>1390</v>
      </c>
      <c r="F8834">
        <v>20140428</v>
      </c>
      <c r="G8834" t="s">
        <v>41</v>
      </c>
      <c r="H8834" t="s">
        <v>4115</v>
      </c>
      <c r="I8834" t="s">
        <v>38</v>
      </c>
    </row>
    <row r="8835" spans="1:9" x14ac:dyDescent="0.25">
      <c r="A8835">
        <v>20140430</v>
      </c>
      <c r="B8835" t="str">
        <f>"115463"</f>
        <v>115463</v>
      </c>
      <c r="C8835" t="str">
        <f>"15615"</f>
        <v>15615</v>
      </c>
      <c r="D8835" t="s">
        <v>4116</v>
      </c>
      <c r="E8835" s="1">
        <v>4805</v>
      </c>
      <c r="F8835">
        <v>20140429</v>
      </c>
      <c r="G8835" t="s">
        <v>4117</v>
      </c>
      <c r="H8835" t="s">
        <v>4118</v>
      </c>
      <c r="I8835" t="s">
        <v>66</v>
      </c>
    </row>
    <row r="8836" spans="1:9" x14ac:dyDescent="0.25">
      <c r="A8836">
        <v>20140430</v>
      </c>
      <c r="B8836" t="str">
        <f>"115464"</f>
        <v>115464</v>
      </c>
      <c r="C8836" t="str">
        <f>"78600"</f>
        <v>78600</v>
      </c>
      <c r="D8836" t="s">
        <v>1203</v>
      </c>
      <c r="E8836">
        <v>138.6</v>
      </c>
      <c r="F8836">
        <v>20140429</v>
      </c>
      <c r="G8836" t="s">
        <v>498</v>
      </c>
      <c r="H8836" t="s">
        <v>499</v>
      </c>
      <c r="I8836" t="s">
        <v>21</v>
      </c>
    </row>
    <row r="8837" spans="1:9" x14ac:dyDescent="0.25">
      <c r="A8837">
        <v>20140430</v>
      </c>
      <c r="B8837" t="str">
        <f>"115465"</f>
        <v>115465</v>
      </c>
      <c r="C8837" t="str">
        <f>"87840"</f>
        <v>87840</v>
      </c>
      <c r="D8837" t="s">
        <v>4119</v>
      </c>
      <c r="E8837">
        <v>500</v>
      </c>
      <c r="F8837">
        <v>20140430</v>
      </c>
      <c r="G8837" t="s">
        <v>221</v>
      </c>
      <c r="H8837" t="s">
        <v>4120</v>
      </c>
      <c r="I8837" t="s">
        <v>25</v>
      </c>
    </row>
    <row r="8838" spans="1:9" x14ac:dyDescent="0.25">
      <c r="A8838">
        <v>20140430</v>
      </c>
      <c r="B8838" t="str">
        <f>"115466"</f>
        <v>115466</v>
      </c>
      <c r="C8838" t="str">
        <f>"86323"</f>
        <v>86323</v>
      </c>
      <c r="D8838" t="s">
        <v>4121</v>
      </c>
      <c r="E8838">
        <v>925</v>
      </c>
      <c r="F8838">
        <v>20140429</v>
      </c>
      <c r="G8838" t="s">
        <v>191</v>
      </c>
      <c r="H8838" t="s">
        <v>4122</v>
      </c>
      <c r="I8838" t="s">
        <v>25</v>
      </c>
    </row>
    <row r="8839" spans="1:9" x14ac:dyDescent="0.25">
      <c r="A8839">
        <v>20140430</v>
      </c>
      <c r="B8839" t="str">
        <f>"115467"</f>
        <v>115467</v>
      </c>
      <c r="C8839" t="str">
        <f>"18025"</f>
        <v>18025</v>
      </c>
      <c r="D8839" t="s">
        <v>514</v>
      </c>
      <c r="E8839">
        <v>61.9</v>
      </c>
      <c r="F8839">
        <v>20140425</v>
      </c>
      <c r="G8839" t="s">
        <v>637</v>
      </c>
      <c r="H8839" t="s">
        <v>4123</v>
      </c>
      <c r="I8839" t="s">
        <v>38</v>
      </c>
    </row>
    <row r="8840" spans="1:9" x14ac:dyDescent="0.25">
      <c r="A8840">
        <v>20140430</v>
      </c>
      <c r="B8840" t="str">
        <f>"115468"</f>
        <v>115468</v>
      </c>
      <c r="C8840" t="str">
        <f>"19800"</f>
        <v>19800</v>
      </c>
      <c r="D8840" t="s">
        <v>1034</v>
      </c>
      <c r="E8840">
        <v>24.8</v>
      </c>
      <c r="F8840">
        <v>20140425</v>
      </c>
      <c r="G8840" t="s">
        <v>637</v>
      </c>
      <c r="H8840" t="s">
        <v>3010</v>
      </c>
      <c r="I8840" t="s">
        <v>38</v>
      </c>
    </row>
    <row r="8841" spans="1:9" x14ac:dyDescent="0.25">
      <c r="A8841">
        <v>20140430</v>
      </c>
      <c r="B8841" t="str">
        <f>"115468"</f>
        <v>115468</v>
      </c>
      <c r="C8841" t="str">
        <f>"19800"</f>
        <v>19800</v>
      </c>
      <c r="D8841" t="s">
        <v>1034</v>
      </c>
      <c r="E8841">
        <v>41.6</v>
      </c>
      <c r="F8841">
        <v>20140425</v>
      </c>
      <c r="G8841" t="s">
        <v>39</v>
      </c>
      <c r="H8841" t="s">
        <v>3010</v>
      </c>
      <c r="I8841" t="s">
        <v>38</v>
      </c>
    </row>
    <row r="8842" spans="1:9" x14ac:dyDescent="0.25">
      <c r="A8842">
        <v>20140430</v>
      </c>
      <c r="B8842" t="str">
        <f>"115468"</f>
        <v>115468</v>
      </c>
      <c r="C8842" t="str">
        <f>"19800"</f>
        <v>19800</v>
      </c>
      <c r="D8842" t="s">
        <v>1034</v>
      </c>
      <c r="E8842">
        <v>21.6</v>
      </c>
      <c r="F8842">
        <v>20140425</v>
      </c>
      <c r="G8842" t="s">
        <v>39</v>
      </c>
      <c r="H8842" t="s">
        <v>4124</v>
      </c>
      <c r="I8842" t="s">
        <v>38</v>
      </c>
    </row>
    <row r="8843" spans="1:9" x14ac:dyDescent="0.25">
      <c r="A8843">
        <v>20140430</v>
      </c>
      <c r="B8843" t="str">
        <f>"115468"</f>
        <v>115468</v>
      </c>
      <c r="C8843" t="str">
        <f>"19800"</f>
        <v>19800</v>
      </c>
      <c r="D8843" t="s">
        <v>1034</v>
      </c>
      <c r="E8843">
        <v>95</v>
      </c>
      <c r="F8843">
        <v>20140425</v>
      </c>
      <c r="G8843" t="s">
        <v>39</v>
      </c>
      <c r="H8843" t="s">
        <v>4125</v>
      </c>
      <c r="I8843" t="s">
        <v>38</v>
      </c>
    </row>
    <row r="8844" spans="1:9" x14ac:dyDescent="0.25">
      <c r="A8844">
        <v>20140430</v>
      </c>
      <c r="B8844" t="str">
        <f>"115468"</f>
        <v>115468</v>
      </c>
      <c r="C8844" t="str">
        <f>"19800"</f>
        <v>19800</v>
      </c>
      <c r="D8844" t="s">
        <v>1034</v>
      </c>
      <c r="E8844">
        <v>17.28</v>
      </c>
      <c r="F8844">
        <v>20140425</v>
      </c>
      <c r="G8844" t="s">
        <v>39</v>
      </c>
      <c r="H8844" t="s">
        <v>3010</v>
      </c>
      <c r="I8844" t="s">
        <v>38</v>
      </c>
    </row>
    <row r="8845" spans="1:9" x14ac:dyDescent="0.25">
      <c r="A8845">
        <v>20140430</v>
      </c>
      <c r="B8845" t="str">
        <f>"115469"</f>
        <v>115469</v>
      </c>
      <c r="C8845" t="str">
        <f>"19808"</f>
        <v>19808</v>
      </c>
      <c r="D8845" t="s">
        <v>4126</v>
      </c>
      <c r="E8845">
        <v>61.29</v>
      </c>
      <c r="F8845">
        <v>20140429</v>
      </c>
      <c r="G8845" t="s">
        <v>364</v>
      </c>
      <c r="H8845" t="s">
        <v>365</v>
      </c>
      <c r="I8845" t="s">
        <v>21</v>
      </c>
    </row>
    <row r="8846" spans="1:9" x14ac:dyDescent="0.25">
      <c r="A8846">
        <v>20140430</v>
      </c>
      <c r="B8846" t="str">
        <f>"115470"</f>
        <v>115470</v>
      </c>
      <c r="C8846" t="str">
        <f>"87701"</f>
        <v>87701</v>
      </c>
      <c r="D8846" t="s">
        <v>3012</v>
      </c>
      <c r="E8846">
        <v>59.65</v>
      </c>
      <c r="F8846">
        <v>20140425</v>
      </c>
      <c r="G8846" t="s">
        <v>202</v>
      </c>
      <c r="H8846" t="s">
        <v>4127</v>
      </c>
      <c r="I8846" t="s">
        <v>12</v>
      </c>
    </row>
    <row r="8847" spans="1:9" x14ac:dyDescent="0.25">
      <c r="A8847">
        <v>20140430</v>
      </c>
      <c r="B8847" t="str">
        <f>"115470"</f>
        <v>115470</v>
      </c>
      <c r="C8847" t="str">
        <f>"87701"</f>
        <v>87701</v>
      </c>
      <c r="D8847" t="s">
        <v>3012</v>
      </c>
      <c r="E8847">
        <v>-59.65</v>
      </c>
      <c r="F8847">
        <v>20140807</v>
      </c>
      <c r="G8847" t="s">
        <v>202</v>
      </c>
      <c r="H8847" t="s">
        <v>4128</v>
      </c>
      <c r="I8847" t="s">
        <v>12</v>
      </c>
    </row>
    <row r="8848" spans="1:9" x14ac:dyDescent="0.25">
      <c r="A8848">
        <v>20140430</v>
      </c>
      <c r="B8848" t="str">
        <f>"115471"</f>
        <v>115471</v>
      </c>
      <c r="C8848" t="str">
        <f>"81251"</f>
        <v>81251</v>
      </c>
      <c r="D8848" t="s">
        <v>1571</v>
      </c>
      <c r="E8848">
        <v>54.2</v>
      </c>
      <c r="F8848">
        <v>20140429</v>
      </c>
      <c r="G8848" t="s">
        <v>404</v>
      </c>
      <c r="H8848" t="s">
        <v>4129</v>
      </c>
      <c r="I8848" t="s">
        <v>12</v>
      </c>
    </row>
    <row r="8849" spans="1:9" x14ac:dyDescent="0.25">
      <c r="A8849">
        <v>20140430</v>
      </c>
      <c r="B8849" t="str">
        <f>"115471"</f>
        <v>115471</v>
      </c>
      <c r="C8849" t="str">
        <f>"81251"</f>
        <v>81251</v>
      </c>
      <c r="D8849" t="s">
        <v>1571</v>
      </c>
      <c r="E8849">
        <v>24.92</v>
      </c>
      <c r="F8849">
        <v>20140429</v>
      </c>
      <c r="G8849" t="s">
        <v>331</v>
      </c>
      <c r="H8849" t="s">
        <v>4130</v>
      </c>
      <c r="I8849" t="s">
        <v>12</v>
      </c>
    </row>
    <row r="8850" spans="1:9" x14ac:dyDescent="0.25">
      <c r="A8850">
        <v>20140430</v>
      </c>
      <c r="B8850" t="str">
        <f>"115471"</f>
        <v>115471</v>
      </c>
      <c r="C8850" t="str">
        <f>"81251"</f>
        <v>81251</v>
      </c>
      <c r="D8850" t="s">
        <v>1571</v>
      </c>
      <c r="E8850">
        <v>60</v>
      </c>
      <c r="F8850">
        <v>20140429</v>
      </c>
      <c r="G8850" t="s">
        <v>202</v>
      </c>
      <c r="H8850" t="s">
        <v>3815</v>
      </c>
      <c r="I8850" t="s">
        <v>12</v>
      </c>
    </row>
    <row r="8851" spans="1:9" x14ac:dyDescent="0.25">
      <c r="A8851">
        <v>20140430</v>
      </c>
      <c r="B8851" t="str">
        <f>"115472"</f>
        <v>115472</v>
      </c>
      <c r="C8851" t="str">
        <f>"22220"</f>
        <v>22220</v>
      </c>
      <c r="D8851" t="s">
        <v>521</v>
      </c>
      <c r="E8851">
        <v>11.7</v>
      </c>
      <c r="F8851">
        <v>20140430</v>
      </c>
      <c r="G8851" t="s">
        <v>181</v>
      </c>
      <c r="H8851" t="s">
        <v>4131</v>
      </c>
      <c r="I8851" t="s">
        <v>38</v>
      </c>
    </row>
    <row r="8852" spans="1:9" x14ac:dyDescent="0.25">
      <c r="A8852">
        <v>20140430</v>
      </c>
      <c r="B8852" t="str">
        <f>"115473"</f>
        <v>115473</v>
      </c>
      <c r="C8852" t="str">
        <f>"81914"</f>
        <v>81914</v>
      </c>
      <c r="D8852" t="s">
        <v>4132</v>
      </c>
      <c r="E8852">
        <v>40.24</v>
      </c>
      <c r="F8852">
        <v>20140425</v>
      </c>
      <c r="G8852" t="s">
        <v>2354</v>
      </c>
      <c r="H8852" t="s">
        <v>365</v>
      </c>
      <c r="I8852" t="s">
        <v>21</v>
      </c>
    </row>
    <row r="8853" spans="1:9" x14ac:dyDescent="0.25">
      <c r="A8853">
        <v>20140430</v>
      </c>
      <c r="B8853" t="str">
        <f>"115474"</f>
        <v>115474</v>
      </c>
      <c r="C8853" t="str">
        <f>"23827"</f>
        <v>23827</v>
      </c>
      <c r="D8853" t="s">
        <v>528</v>
      </c>
      <c r="E8853">
        <v>299.2</v>
      </c>
      <c r="F8853">
        <v>20140424</v>
      </c>
      <c r="G8853" t="s">
        <v>135</v>
      </c>
      <c r="H8853" t="s">
        <v>811</v>
      </c>
      <c r="I8853" t="s">
        <v>25</v>
      </c>
    </row>
    <row r="8854" spans="1:9" x14ac:dyDescent="0.25">
      <c r="A8854">
        <v>20140430</v>
      </c>
      <c r="B8854" t="str">
        <f>"115475"</f>
        <v>115475</v>
      </c>
      <c r="C8854" t="str">
        <f>"23979"</f>
        <v>23979</v>
      </c>
      <c r="D8854" t="s">
        <v>1856</v>
      </c>
      <c r="E8854">
        <v>900</v>
      </c>
      <c r="F8854">
        <v>20140428</v>
      </c>
      <c r="G8854" t="s">
        <v>39</v>
      </c>
      <c r="H8854" t="s">
        <v>679</v>
      </c>
      <c r="I8854" t="s">
        <v>38</v>
      </c>
    </row>
    <row r="8855" spans="1:9" x14ac:dyDescent="0.25">
      <c r="A8855">
        <v>20140430</v>
      </c>
      <c r="B8855" t="str">
        <f>"115476"</f>
        <v>115476</v>
      </c>
      <c r="C8855" t="str">
        <f>"87344"</f>
        <v>87344</v>
      </c>
      <c r="D8855" t="s">
        <v>4133</v>
      </c>
      <c r="E8855">
        <v>100.8</v>
      </c>
      <c r="F8855">
        <v>20140429</v>
      </c>
      <c r="G8855" t="s">
        <v>41</v>
      </c>
      <c r="H8855" t="s">
        <v>4134</v>
      </c>
      <c r="I8855" t="s">
        <v>38</v>
      </c>
    </row>
    <row r="8856" spans="1:9" x14ac:dyDescent="0.25">
      <c r="A8856">
        <v>20140430</v>
      </c>
      <c r="B8856" t="str">
        <f t="shared" ref="B8856:B8866" si="512">"115477"</f>
        <v>115477</v>
      </c>
      <c r="C8856" t="str">
        <f t="shared" ref="C8856:C8866" si="513">"24530"</f>
        <v>24530</v>
      </c>
      <c r="D8856" t="s">
        <v>412</v>
      </c>
      <c r="E8856" s="1">
        <v>2242.0300000000002</v>
      </c>
      <c r="F8856">
        <v>20140430</v>
      </c>
      <c r="G8856" t="s">
        <v>415</v>
      </c>
      <c r="H8856" t="s">
        <v>414</v>
      </c>
      <c r="I8856" t="s">
        <v>21</v>
      </c>
    </row>
    <row r="8857" spans="1:9" x14ac:dyDescent="0.25">
      <c r="A8857">
        <v>20140430</v>
      </c>
      <c r="B8857" t="str">
        <f t="shared" si="512"/>
        <v>115477</v>
      </c>
      <c r="C8857" t="str">
        <f t="shared" si="513"/>
        <v>24530</v>
      </c>
      <c r="D8857" t="s">
        <v>412</v>
      </c>
      <c r="E8857">
        <v>631.05999999999995</v>
      </c>
      <c r="F8857">
        <v>20140430</v>
      </c>
      <c r="G8857" t="s">
        <v>627</v>
      </c>
      <c r="H8857" t="s">
        <v>414</v>
      </c>
      <c r="I8857" t="s">
        <v>21</v>
      </c>
    </row>
    <row r="8858" spans="1:9" x14ac:dyDescent="0.25">
      <c r="A8858">
        <v>20140430</v>
      </c>
      <c r="B8858" t="str">
        <f t="shared" si="512"/>
        <v>115477</v>
      </c>
      <c r="C8858" t="str">
        <f t="shared" si="513"/>
        <v>24530</v>
      </c>
      <c r="D8858" t="s">
        <v>412</v>
      </c>
      <c r="E8858">
        <v>11.68</v>
      </c>
      <c r="F8858">
        <v>20140430</v>
      </c>
      <c r="G8858" t="s">
        <v>1222</v>
      </c>
      <c r="H8858" t="s">
        <v>414</v>
      </c>
      <c r="I8858" t="s">
        <v>21</v>
      </c>
    </row>
    <row r="8859" spans="1:9" x14ac:dyDescent="0.25">
      <c r="A8859">
        <v>20140430</v>
      </c>
      <c r="B8859" t="str">
        <f t="shared" si="512"/>
        <v>115477</v>
      </c>
      <c r="C8859" t="str">
        <f t="shared" si="513"/>
        <v>24530</v>
      </c>
      <c r="D8859" t="s">
        <v>412</v>
      </c>
      <c r="E8859">
        <v>216.02</v>
      </c>
      <c r="F8859">
        <v>20140430</v>
      </c>
      <c r="G8859" t="s">
        <v>628</v>
      </c>
      <c r="H8859" t="s">
        <v>414</v>
      </c>
      <c r="I8859" t="s">
        <v>21</v>
      </c>
    </row>
    <row r="8860" spans="1:9" x14ac:dyDescent="0.25">
      <c r="A8860">
        <v>20140430</v>
      </c>
      <c r="B8860" t="str">
        <f t="shared" si="512"/>
        <v>115477</v>
      </c>
      <c r="C8860" t="str">
        <f t="shared" si="513"/>
        <v>24530</v>
      </c>
      <c r="D8860" t="s">
        <v>412</v>
      </c>
      <c r="E8860">
        <v>206.9</v>
      </c>
      <c r="F8860">
        <v>20140430</v>
      </c>
      <c r="G8860" t="s">
        <v>630</v>
      </c>
      <c r="H8860" t="s">
        <v>414</v>
      </c>
      <c r="I8860" t="s">
        <v>21</v>
      </c>
    </row>
    <row r="8861" spans="1:9" x14ac:dyDescent="0.25">
      <c r="A8861">
        <v>20140430</v>
      </c>
      <c r="B8861" t="str">
        <f t="shared" si="512"/>
        <v>115477</v>
      </c>
      <c r="C8861" t="str">
        <f t="shared" si="513"/>
        <v>24530</v>
      </c>
      <c r="D8861" t="s">
        <v>412</v>
      </c>
      <c r="E8861">
        <v>22.58</v>
      </c>
      <c r="F8861">
        <v>20140430</v>
      </c>
      <c r="G8861" t="s">
        <v>392</v>
      </c>
      <c r="H8861" t="s">
        <v>414</v>
      </c>
      <c r="I8861" t="s">
        <v>21</v>
      </c>
    </row>
    <row r="8862" spans="1:9" x14ac:dyDescent="0.25">
      <c r="A8862">
        <v>20140430</v>
      </c>
      <c r="B8862" t="str">
        <f t="shared" si="512"/>
        <v>115477</v>
      </c>
      <c r="C8862" t="str">
        <f t="shared" si="513"/>
        <v>24530</v>
      </c>
      <c r="D8862" t="s">
        <v>412</v>
      </c>
      <c r="E8862">
        <v>-62.48</v>
      </c>
      <c r="F8862">
        <v>20140430</v>
      </c>
      <c r="G8862" t="s">
        <v>392</v>
      </c>
      <c r="H8862" t="s">
        <v>416</v>
      </c>
      <c r="I8862" t="s">
        <v>21</v>
      </c>
    </row>
    <row r="8863" spans="1:9" x14ac:dyDescent="0.25">
      <c r="A8863">
        <v>20140430</v>
      </c>
      <c r="B8863" t="str">
        <f t="shared" si="512"/>
        <v>115477</v>
      </c>
      <c r="C8863" t="str">
        <f t="shared" si="513"/>
        <v>24530</v>
      </c>
      <c r="D8863" t="s">
        <v>412</v>
      </c>
      <c r="E8863">
        <v>154.44</v>
      </c>
      <c r="F8863">
        <v>20140430</v>
      </c>
      <c r="G8863" t="s">
        <v>531</v>
      </c>
      <c r="H8863" t="s">
        <v>414</v>
      </c>
      <c r="I8863" t="s">
        <v>21</v>
      </c>
    </row>
    <row r="8864" spans="1:9" x14ac:dyDescent="0.25">
      <c r="A8864">
        <v>20140430</v>
      </c>
      <c r="B8864" t="str">
        <f t="shared" si="512"/>
        <v>115477</v>
      </c>
      <c r="C8864" t="str">
        <f t="shared" si="513"/>
        <v>24530</v>
      </c>
      <c r="D8864" t="s">
        <v>412</v>
      </c>
      <c r="E8864">
        <v>71.95</v>
      </c>
      <c r="F8864">
        <v>20140430</v>
      </c>
      <c r="G8864" t="s">
        <v>417</v>
      </c>
      <c r="H8864" t="s">
        <v>414</v>
      </c>
      <c r="I8864" t="s">
        <v>21</v>
      </c>
    </row>
    <row r="8865" spans="1:9" x14ac:dyDescent="0.25">
      <c r="A8865">
        <v>20140430</v>
      </c>
      <c r="B8865" t="str">
        <f t="shared" si="512"/>
        <v>115477</v>
      </c>
      <c r="C8865" t="str">
        <f t="shared" si="513"/>
        <v>24530</v>
      </c>
      <c r="D8865" t="s">
        <v>412</v>
      </c>
      <c r="E8865">
        <v>771.4</v>
      </c>
      <c r="F8865">
        <v>20140430</v>
      </c>
      <c r="G8865" t="s">
        <v>3820</v>
      </c>
      <c r="H8865" t="s">
        <v>414</v>
      </c>
      <c r="I8865" t="s">
        <v>21</v>
      </c>
    </row>
    <row r="8866" spans="1:9" x14ac:dyDescent="0.25">
      <c r="A8866">
        <v>20140430</v>
      </c>
      <c r="B8866" t="str">
        <f t="shared" si="512"/>
        <v>115477</v>
      </c>
      <c r="C8866" t="str">
        <f t="shared" si="513"/>
        <v>24530</v>
      </c>
      <c r="D8866" t="s">
        <v>412</v>
      </c>
      <c r="E8866">
        <v>31.73</v>
      </c>
      <c r="F8866">
        <v>20140430</v>
      </c>
      <c r="G8866" t="s">
        <v>202</v>
      </c>
      <c r="H8866" t="s">
        <v>414</v>
      </c>
      <c r="I8866" t="s">
        <v>12</v>
      </c>
    </row>
    <row r="8867" spans="1:9" x14ac:dyDescent="0.25">
      <c r="A8867">
        <v>20140430</v>
      </c>
      <c r="B8867" t="str">
        <f>"115478"</f>
        <v>115478</v>
      </c>
      <c r="C8867" t="str">
        <f>"28015"</f>
        <v>28015</v>
      </c>
      <c r="D8867" t="s">
        <v>1234</v>
      </c>
      <c r="E8867">
        <v>130.80000000000001</v>
      </c>
      <c r="F8867">
        <v>20140429</v>
      </c>
      <c r="G8867" t="s">
        <v>1724</v>
      </c>
      <c r="H8867" t="s">
        <v>921</v>
      </c>
      <c r="I8867" t="s">
        <v>66</v>
      </c>
    </row>
    <row r="8868" spans="1:9" x14ac:dyDescent="0.25">
      <c r="A8868">
        <v>20140430</v>
      </c>
      <c r="B8868" t="str">
        <f>"115479"</f>
        <v>115479</v>
      </c>
      <c r="C8868" t="str">
        <f>"29227"</f>
        <v>29227</v>
      </c>
      <c r="D8868" t="s">
        <v>1236</v>
      </c>
      <c r="E8868">
        <v>32.729999999999997</v>
      </c>
      <c r="F8868">
        <v>20140428</v>
      </c>
      <c r="G8868" t="s">
        <v>99</v>
      </c>
      <c r="H8868" t="s">
        <v>4135</v>
      </c>
      <c r="I8868" t="s">
        <v>21</v>
      </c>
    </row>
    <row r="8869" spans="1:9" x14ac:dyDescent="0.25">
      <c r="A8869">
        <v>20140430</v>
      </c>
      <c r="B8869" t="str">
        <f>"115479"</f>
        <v>115479</v>
      </c>
      <c r="C8869" t="str">
        <f>"29227"</f>
        <v>29227</v>
      </c>
      <c r="D8869" t="s">
        <v>1236</v>
      </c>
      <c r="E8869">
        <v>30.94</v>
      </c>
      <c r="F8869">
        <v>20140428</v>
      </c>
      <c r="G8869" t="s">
        <v>840</v>
      </c>
      <c r="H8869" t="s">
        <v>4135</v>
      </c>
      <c r="I8869" t="s">
        <v>21</v>
      </c>
    </row>
    <row r="8870" spans="1:9" x14ac:dyDescent="0.25">
      <c r="A8870">
        <v>20140430</v>
      </c>
      <c r="B8870" t="str">
        <f t="shared" ref="B8870:B8878" si="514">"115480"</f>
        <v>115480</v>
      </c>
      <c r="C8870" t="str">
        <f t="shared" ref="C8870:C8878" si="515">"30000"</f>
        <v>30000</v>
      </c>
      <c r="D8870" t="s">
        <v>556</v>
      </c>
      <c r="E8870">
        <v>910.68</v>
      </c>
      <c r="F8870">
        <v>20140428</v>
      </c>
      <c r="G8870" t="s">
        <v>579</v>
      </c>
      <c r="H8870" t="s">
        <v>4136</v>
      </c>
      <c r="I8870" t="s">
        <v>21</v>
      </c>
    </row>
    <row r="8871" spans="1:9" x14ac:dyDescent="0.25">
      <c r="A8871">
        <v>20140430</v>
      </c>
      <c r="B8871" t="str">
        <f t="shared" si="514"/>
        <v>115480</v>
      </c>
      <c r="C8871" t="str">
        <f t="shared" si="515"/>
        <v>30000</v>
      </c>
      <c r="D8871" t="s">
        <v>556</v>
      </c>
      <c r="E8871">
        <v>99.54</v>
      </c>
      <c r="F8871">
        <v>20140428</v>
      </c>
      <c r="G8871" t="s">
        <v>4137</v>
      </c>
      <c r="H8871" t="s">
        <v>4138</v>
      </c>
      <c r="I8871" t="s">
        <v>21</v>
      </c>
    </row>
    <row r="8872" spans="1:9" x14ac:dyDescent="0.25">
      <c r="A8872">
        <v>20140430</v>
      </c>
      <c r="B8872" t="str">
        <f t="shared" si="514"/>
        <v>115480</v>
      </c>
      <c r="C8872" t="str">
        <f t="shared" si="515"/>
        <v>30000</v>
      </c>
      <c r="D8872" t="s">
        <v>556</v>
      </c>
      <c r="E8872">
        <v>489.3</v>
      </c>
      <c r="F8872">
        <v>20140428</v>
      </c>
      <c r="G8872" t="s">
        <v>4139</v>
      </c>
      <c r="H8872" t="s">
        <v>4140</v>
      </c>
      <c r="I8872" t="s">
        <v>21</v>
      </c>
    </row>
    <row r="8873" spans="1:9" x14ac:dyDescent="0.25">
      <c r="A8873">
        <v>20140430</v>
      </c>
      <c r="B8873" t="str">
        <f t="shared" si="514"/>
        <v>115480</v>
      </c>
      <c r="C8873" t="str">
        <f t="shared" si="515"/>
        <v>30000</v>
      </c>
      <c r="D8873" t="s">
        <v>556</v>
      </c>
      <c r="E8873">
        <v>63.78</v>
      </c>
      <c r="F8873">
        <v>20140428</v>
      </c>
      <c r="G8873" t="s">
        <v>1605</v>
      </c>
      <c r="H8873" t="s">
        <v>4141</v>
      </c>
      <c r="I8873" t="s">
        <v>21</v>
      </c>
    </row>
    <row r="8874" spans="1:9" x14ac:dyDescent="0.25">
      <c r="A8874">
        <v>20140430</v>
      </c>
      <c r="B8874" t="str">
        <f t="shared" si="514"/>
        <v>115480</v>
      </c>
      <c r="C8874" t="str">
        <f t="shared" si="515"/>
        <v>30000</v>
      </c>
      <c r="D8874" t="s">
        <v>556</v>
      </c>
      <c r="E8874">
        <v>600</v>
      </c>
      <c r="F8874">
        <v>20140428</v>
      </c>
      <c r="G8874" t="s">
        <v>864</v>
      </c>
      <c r="H8874" t="s">
        <v>4142</v>
      </c>
      <c r="I8874" t="s">
        <v>21</v>
      </c>
    </row>
    <row r="8875" spans="1:9" x14ac:dyDescent="0.25">
      <c r="A8875">
        <v>20140430</v>
      </c>
      <c r="B8875" t="str">
        <f t="shared" si="514"/>
        <v>115480</v>
      </c>
      <c r="C8875" t="str">
        <f t="shared" si="515"/>
        <v>30000</v>
      </c>
      <c r="D8875" t="s">
        <v>556</v>
      </c>
      <c r="E8875">
        <v>35.94</v>
      </c>
      <c r="F8875">
        <v>20140428</v>
      </c>
      <c r="G8875" t="s">
        <v>3813</v>
      </c>
      <c r="H8875" t="s">
        <v>4143</v>
      </c>
      <c r="I8875" t="s">
        <v>21</v>
      </c>
    </row>
    <row r="8876" spans="1:9" x14ac:dyDescent="0.25">
      <c r="A8876">
        <v>20140430</v>
      </c>
      <c r="B8876" t="str">
        <f t="shared" si="514"/>
        <v>115480</v>
      </c>
      <c r="C8876" t="str">
        <f t="shared" si="515"/>
        <v>30000</v>
      </c>
      <c r="D8876" t="s">
        <v>556</v>
      </c>
      <c r="E8876">
        <v>365.38</v>
      </c>
      <c r="F8876">
        <v>20140428</v>
      </c>
      <c r="G8876" t="s">
        <v>3813</v>
      </c>
      <c r="H8876" t="s">
        <v>4142</v>
      </c>
      <c r="I8876" t="s">
        <v>21</v>
      </c>
    </row>
    <row r="8877" spans="1:9" x14ac:dyDescent="0.25">
      <c r="A8877">
        <v>20140430</v>
      </c>
      <c r="B8877" t="str">
        <f t="shared" si="514"/>
        <v>115480</v>
      </c>
      <c r="C8877" t="str">
        <f t="shared" si="515"/>
        <v>30000</v>
      </c>
      <c r="D8877" t="s">
        <v>556</v>
      </c>
      <c r="E8877">
        <v>500</v>
      </c>
      <c r="F8877">
        <v>20140428</v>
      </c>
      <c r="G8877" t="s">
        <v>1635</v>
      </c>
      <c r="H8877" t="s">
        <v>4144</v>
      </c>
      <c r="I8877" t="s">
        <v>21</v>
      </c>
    </row>
    <row r="8878" spans="1:9" x14ac:dyDescent="0.25">
      <c r="A8878">
        <v>20140430</v>
      </c>
      <c r="B8878" t="str">
        <f t="shared" si="514"/>
        <v>115480</v>
      </c>
      <c r="C8878" t="str">
        <f t="shared" si="515"/>
        <v>30000</v>
      </c>
      <c r="D8878" t="s">
        <v>556</v>
      </c>
      <c r="E8878">
        <v>81.430000000000007</v>
      </c>
      <c r="F8878">
        <v>20140428</v>
      </c>
      <c r="G8878" t="s">
        <v>1024</v>
      </c>
      <c r="H8878" t="s">
        <v>4145</v>
      </c>
      <c r="I8878" t="s">
        <v>21</v>
      </c>
    </row>
    <row r="8879" spans="1:9" x14ac:dyDescent="0.25">
      <c r="A8879">
        <v>20140430</v>
      </c>
      <c r="B8879" t="str">
        <f t="shared" ref="B8879:B8892" si="516">"115481"</f>
        <v>115481</v>
      </c>
      <c r="C8879" t="str">
        <f t="shared" ref="C8879:C8893" si="517">"31570"</f>
        <v>31570</v>
      </c>
      <c r="D8879" t="s">
        <v>1244</v>
      </c>
      <c r="E8879">
        <v>125.41</v>
      </c>
      <c r="F8879">
        <v>20140429</v>
      </c>
      <c r="G8879" t="s">
        <v>496</v>
      </c>
      <c r="H8879" t="s">
        <v>414</v>
      </c>
      <c r="I8879" t="s">
        <v>21</v>
      </c>
    </row>
    <row r="8880" spans="1:9" x14ac:dyDescent="0.25">
      <c r="A8880">
        <v>20140430</v>
      </c>
      <c r="B8880" t="str">
        <f t="shared" si="516"/>
        <v>115481</v>
      </c>
      <c r="C8880" t="str">
        <f t="shared" si="517"/>
        <v>31570</v>
      </c>
      <c r="D8880" t="s">
        <v>1244</v>
      </c>
      <c r="E8880">
        <v>3.18</v>
      </c>
      <c r="F8880">
        <v>20140429</v>
      </c>
      <c r="G8880" t="s">
        <v>557</v>
      </c>
      <c r="H8880" t="s">
        <v>414</v>
      </c>
      <c r="I8880" t="s">
        <v>21</v>
      </c>
    </row>
    <row r="8881" spans="1:9" x14ac:dyDescent="0.25">
      <c r="A8881">
        <v>20140430</v>
      </c>
      <c r="B8881" t="str">
        <f t="shared" si="516"/>
        <v>115481</v>
      </c>
      <c r="C8881" t="str">
        <f t="shared" si="517"/>
        <v>31570</v>
      </c>
      <c r="D8881" t="s">
        <v>1244</v>
      </c>
      <c r="E8881">
        <v>63.02</v>
      </c>
      <c r="F8881">
        <v>20140429</v>
      </c>
      <c r="G8881" t="s">
        <v>413</v>
      </c>
      <c r="H8881" t="s">
        <v>414</v>
      </c>
      <c r="I8881" t="s">
        <v>21</v>
      </c>
    </row>
    <row r="8882" spans="1:9" x14ac:dyDescent="0.25">
      <c r="A8882">
        <v>20140430</v>
      </c>
      <c r="B8882" t="str">
        <f t="shared" si="516"/>
        <v>115481</v>
      </c>
      <c r="C8882" t="str">
        <f t="shared" si="517"/>
        <v>31570</v>
      </c>
      <c r="D8882" t="s">
        <v>1244</v>
      </c>
      <c r="E8882">
        <v>117.36</v>
      </c>
      <c r="F8882">
        <v>20140429</v>
      </c>
      <c r="G8882" t="s">
        <v>482</v>
      </c>
      <c r="H8882" t="s">
        <v>414</v>
      </c>
      <c r="I8882" t="s">
        <v>21</v>
      </c>
    </row>
    <row r="8883" spans="1:9" x14ac:dyDescent="0.25">
      <c r="A8883">
        <v>20140430</v>
      </c>
      <c r="B8883" t="str">
        <f t="shared" si="516"/>
        <v>115481</v>
      </c>
      <c r="C8883" t="str">
        <f t="shared" si="517"/>
        <v>31570</v>
      </c>
      <c r="D8883" t="s">
        <v>1244</v>
      </c>
      <c r="E8883">
        <v>698.66</v>
      </c>
      <c r="F8883">
        <v>20140429</v>
      </c>
      <c r="G8883" t="s">
        <v>415</v>
      </c>
      <c r="H8883" t="s">
        <v>414</v>
      </c>
      <c r="I8883" t="s">
        <v>21</v>
      </c>
    </row>
    <row r="8884" spans="1:9" x14ac:dyDescent="0.25">
      <c r="A8884">
        <v>20140430</v>
      </c>
      <c r="B8884" t="str">
        <f t="shared" si="516"/>
        <v>115481</v>
      </c>
      <c r="C8884" t="str">
        <f t="shared" si="517"/>
        <v>31570</v>
      </c>
      <c r="D8884" t="s">
        <v>1244</v>
      </c>
      <c r="E8884">
        <v>137.33000000000001</v>
      </c>
      <c r="F8884">
        <v>20140429</v>
      </c>
      <c r="G8884" t="s">
        <v>627</v>
      </c>
      <c r="H8884" t="s">
        <v>414</v>
      </c>
      <c r="I8884" t="s">
        <v>21</v>
      </c>
    </row>
    <row r="8885" spans="1:9" x14ac:dyDescent="0.25">
      <c r="A8885">
        <v>20140430</v>
      </c>
      <c r="B8885" t="str">
        <f t="shared" si="516"/>
        <v>115481</v>
      </c>
      <c r="C8885" t="str">
        <f t="shared" si="517"/>
        <v>31570</v>
      </c>
      <c r="D8885" t="s">
        <v>1244</v>
      </c>
      <c r="E8885">
        <v>49.73</v>
      </c>
      <c r="F8885">
        <v>20140429</v>
      </c>
      <c r="G8885" t="s">
        <v>628</v>
      </c>
      <c r="H8885" t="s">
        <v>414</v>
      </c>
      <c r="I8885" t="s">
        <v>21</v>
      </c>
    </row>
    <row r="8886" spans="1:9" x14ac:dyDescent="0.25">
      <c r="A8886">
        <v>20140430</v>
      </c>
      <c r="B8886" t="str">
        <f t="shared" si="516"/>
        <v>115481</v>
      </c>
      <c r="C8886" t="str">
        <f t="shared" si="517"/>
        <v>31570</v>
      </c>
      <c r="D8886" t="s">
        <v>1244</v>
      </c>
      <c r="E8886">
        <v>277.06</v>
      </c>
      <c r="F8886">
        <v>20140429</v>
      </c>
      <c r="G8886" t="s">
        <v>630</v>
      </c>
      <c r="H8886" t="s">
        <v>414</v>
      </c>
      <c r="I8886" t="s">
        <v>21</v>
      </c>
    </row>
    <row r="8887" spans="1:9" x14ac:dyDescent="0.25">
      <c r="A8887">
        <v>20140430</v>
      </c>
      <c r="B8887" t="str">
        <f t="shared" si="516"/>
        <v>115481</v>
      </c>
      <c r="C8887" t="str">
        <f t="shared" si="517"/>
        <v>31570</v>
      </c>
      <c r="D8887" t="s">
        <v>1244</v>
      </c>
      <c r="E8887">
        <v>60.83</v>
      </c>
      <c r="F8887">
        <v>20140429</v>
      </c>
      <c r="G8887" t="s">
        <v>530</v>
      </c>
      <c r="H8887" t="s">
        <v>414</v>
      </c>
      <c r="I8887" t="s">
        <v>21</v>
      </c>
    </row>
    <row r="8888" spans="1:9" x14ac:dyDescent="0.25">
      <c r="A8888">
        <v>20140430</v>
      </c>
      <c r="B8888" t="str">
        <f t="shared" si="516"/>
        <v>115481</v>
      </c>
      <c r="C8888" t="str">
        <f t="shared" si="517"/>
        <v>31570</v>
      </c>
      <c r="D8888" t="s">
        <v>1244</v>
      </c>
      <c r="E8888">
        <v>6.3</v>
      </c>
      <c r="F8888">
        <v>20140429</v>
      </c>
      <c r="G8888" t="s">
        <v>631</v>
      </c>
      <c r="H8888" t="s">
        <v>414</v>
      </c>
      <c r="I8888" t="s">
        <v>21</v>
      </c>
    </row>
    <row r="8889" spans="1:9" x14ac:dyDescent="0.25">
      <c r="A8889">
        <v>20140430</v>
      </c>
      <c r="B8889" t="str">
        <f t="shared" si="516"/>
        <v>115481</v>
      </c>
      <c r="C8889" t="str">
        <f t="shared" si="517"/>
        <v>31570</v>
      </c>
      <c r="D8889" t="s">
        <v>1244</v>
      </c>
      <c r="E8889">
        <v>547.04999999999995</v>
      </c>
      <c r="F8889">
        <v>20140429</v>
      </c>
      <c r="G8889" t="s">
        <v>392</v>
      </c>
      <c r="H8889" t="s">
        <v>414</v>
      </c>
      <c r="I8889" t="s">
        <v>21</v>
      </c>
    </row>
    <row r="8890" spans="1:9" x14ac:dyDescent="0.25">
      <c r="A8890">
        <v>20140430</v>
      </c>
      <c r="B8890" t="str">
        <f t="shared" si="516"/>
        <v>115481</v>
      </c>
      <c r="C8890" t="str">
        <f t="shared" si="517"/>
        <v>31570</v>
      </c>
      <c r="D8890" t="s">
        <v>1244</v>
      </c>
      <c r="E8890">
        <v>24.35</v>
      </c>
      <c r="F8890">
        <v>20140429</v>
      </c>
      <c r="G8890" t="s">
        <v>531</v>
      </c>
      <c r="H8890" t="s">
        <v>414</v>
      </c>
      <c r="I8890" t="s">
        <v>21</v>
      </c>
    </row>
    <row r="8891" spans="1:9" x14ac:dyDescent="0.25">
      <c r="A8891">
        <v>20140430</v>
      </c>
      <c r="B8891" t="str">
        <f t="shared" si="516"/>
        <v>115481</v>
      </c>
      <c r="C8891" t="str">
        <f t="shared" si="517"/>
        <v>31570</v>
      </c>
      <c r="D8891" t="s">
        <v>1244</v>
      </c>
      <c r="E8891">
        <v>184.65</v>
      </c>
      <c r="F8891">
        <v>20140429</v>
      </c>
      <c r="G8891" t="s">
        <v>417</v>
      </c>
      <c r="H8891" t="s">
        <v>414</v>
      </c>
      <c r="I8891" t="s">
        <v>21</v>
      </c>
    </row>
    <row r="8892" spans="1:9" x14ac:dyDescent="0.25">
      <c r="A8892">
        <v>20140430</v>
      </c>
      <c r="B8892" t="str">
        <f t="shared" si="516"/>
        <v>115481</v>
      </c>
      <c r="C8892" t="str">
        <f t="shared" si="517"/>
        <v>31570</v>
      </c>
      <c r="D8892" t="s">
        <v>1244</v>
      </c>
      <c r="E8892" s="1">
        <v>4468.46</v>
      </c>
      <c r="F8892">
        <v>20140429</v>
      </c>
      <c r="G8892" t="s">
        <v>3820</v>
      </c>
      <c r="H8892" t="s">
        <v>414</v>
      </c>
      <c r="I8892" t="s">
        <v>21</v>
      </c>
    </row>
    <row r="8893" spans="1:9" x14ac:dyDescent="0.25">
      <c r="A8893">
        <v>20140430</v>
      </c>
      <c r="B8893" t="str">
        <f>"115482"</f>
        <v>115482</v>
      </c>
      <c r="C8893" t="str">
        <f t="shared" si="517"/>
        <v>31570</v>
      </c>
      <c r="D8893" t="s">
        <v>1244</v>
      </c>
      <c r="E8893">
        <v>34.6</v>
      </c>
      <c r="F8893">
        <v>20140424</v>
      </c>
      <c r="G8893" t="s">
        <v>140</v>
      </c>
      <c r="H8893" t="s">
        <v>1427</v>
      </c>
      <c r="I8893" t="s">
        <v>25</v>
      </c>
    </row>
    <row r="8894" spans="1:9" x14ac:dyDescent="0.25">
      <c r="A8894">
        <v>20140430</v>
      </c>
      <c r="B8894" t="str">
        <f>"115483"</f>
        <v>115483</v>
      </c>
      <c r="C8894" t="str">
        <f>"32475"</f>
        <v>32475</v>
      </c>
      <c r="D8894" t="s">
        <v>2950</v>
      </c>
      <c r="E8894">
        <v>197.43</v>
      </c>
      <c r="F8894">
        <v>20140428</v>
      </c>
      <c r="G8894" t="s">
        <v>2951</v>
      </c>
      <c r="H8894" t="s">
        <v>4146</v>
      </c>
      <c r="I8894" t="s">
        <v>21</v>
      </c>
    </row>
    <row r="8895" spans="1:9" x14ac:dyDescent="0.25">
      <c r="A8895">
        <v>20140430</v>
      </c>
      <c r="B8895" t="str">
        <f>"115484"</f>
        <v>115484</v>
      </c>
      <c r="C8895" t="str">
        <f>"87495"</f>
        <v>87495</v>
      </c>
      <c r="D8895" t="s">
        <v>859</v>
      </c>
      <c r="E8895">
        <v>259.76</v>
      </c>
      <c r="F8895">
        <v>20140429</v>
      </c>
      <c r="G8895" t="s">
        <v>3854</v>
      </c>
      <c r="H8895" t="s">
        <v>354</v>
      </c>
      <c r="I8895" t="s">
        <v>21</v>
      </c>
    </row>
    <row r="8896" spans="1:9" x14ac:dyDescent="0.25">
      <c r="A8896">
        <v>20140430</v>
      </c>
      <c r="B8896" t="str">
        <f>"115485"</f>
        <v>115485</v>
      </c>
      <c r="C8896" t="str">
        <f>"87832"</f>
        <v>87832</v>
      </c>
      <c r="D8896" t="s">
        <v>4147</v>
      </c>
      <c r="E8896">
        <v>400</v>
      </c>
      <c r="F8896">
        <v>20140424</v>
      </c>
      <c r="G8896" t="s">
        <v>122</v>
      </c>
      <c r="H8896" t="s">
        <v>1838</v>
      </c>
      <c r="I8896" t="s">
        <v>25</v>
      </c>
    </row>
    <row r="8897" spans="1:9" x14ac:dyDescent="0.25">
      <c r="A8897">
        <v>20140430</v>
      </c>
      <c r="B8897" t="str">
        <f>"115486"</f>
        <v>115486</v>
      </c>
      <c r="C8897" t="str">
        <f>"85929"</f>
        <v>85929</v>
      </c>
      <c r="D8897" t="s">
        <v>1096</v>
      </c>
      <c r="E8897">
        <v>83.7</v>
      </c>
      <c r="F8897">
        <v>20140429</v>
      </c>
      <c r="G8897" t="s">
        <v>145</v>
      </c>
      <c r="H8897" t="s">
        <v>354</v>
      </c>
      <c r="I8897" t="s">
        <v>38</v>
      </c>
    </row>
    <row r="8898" spans="1:9" x14ac:dyDescent="0.25">
      <c r="A8898">
        <v>20140430</v>
      </c>
      <c r="B8898" t="str">
        <f>"115487"</f>
        <v>115487</v>
      </c>
      <c r="C8898" t="str">
        <f>"35610"</f>
        <v>35610</v>
      </c>
      <c r="D8898" t="s">
        <v>4148</v>
      </c>
      <c r="E8898">
        <v>108.39</v>
      </c>
      <c r="F8898">
        <v>20140425</v>
      </c>
      <c r="G8898" t="s">
        <v>830</v>
      </c>
      <c r="H8898" t="s">
        <v>354</v>
      </c>
      <c r="I8898" t="s">
        <v>21</v>
      </c>
    </row>
    <row r="8899" spans="1:9" x14ac:dyDescent="0.25">
      <c r="A8899">
        <v>20140430</v>
      </c>
      <c r="B8899" t="str">
        <f>"115488"</f>
        <v>115488</v>
      </c>
      <c r="C8899" t="str">
        <f>"00268"</f>
        <v>00268</v>
      </c>
      <c r="D8899" t="s">
        <v>1878</v>
      </c>
      <c r="E8899">
        <v>156</v>
      </c>
      <c r="F8899">
        <v>20140429</v>
      </c>
      <c r="G8899" t="s">
        <v>1153</v>
      </c>
      <c r="H8899" t="s">
        <v>921</v>
      </c>
      <c r="I8899" t="s">
        <v>61</v>
      </c>
    </row>
    <row r="8900" spans="1:9" x14ac:dyDescent="0.25">
      <c r="A8900">
        <v>20140430</v>
      </c>
      <c r="B8900" t="str">
        <f>"115488"</f>
        <v>115488</v>
      </c>
      <c r="C8900" t="str">
        <f>"00268"</f>
        <v>00268</v>
      </c>
      <c r="D8900" t="s">
        <v>1878</v>
      </c>
      <c r="E8900">
        <v>-156</v>
      </c>
      <c r="F8900">
        <v>20140602</v>
      </c>
      <c r="G8900" t="s">
        <v>1153</v>
      </c>
      <c r="H8900" t="s">
        <v>4149</v>
      </c>
      <c r="I8900" t="s">
        <v>61</v>
      </c>
    </row>
    <row r="8901" spans="1:9" x14ac:dyDescent="0.25">
      <c r="A8901">
        <v>20140430</v>
      </c>
      <c r="B8901" t="str">
        <f>"115489"</f>
        <v>115489</v>
      </c>
      <c r="C8901" t="str">
        <f>"80993"</f>
        <v>80993</v>
      </c>
      <c r="D8901" t="s">
        <v>4150</v>
      </c>
      <c r="E8901" s="1">
        <v>1778.34</v>
      </c>
      <c r="F8901">
        <v>20140425</v>
      </c>
      <c r="G8901" t="s">
        <v>221</v>
      </c>
      <c r="H8901" t="s">
        <v>921</v>
      </c>
      <c r="I8901" t="s">
        <v>25</v>
      </c>
    </row>
    <row r="8902" spans="1:9" x14ac:dyDescent="0.25">
      <c r="A8902">
        <v>20140430</v>
      </c>
      <c r="B8902" t="str">
        <f>"115490"</f>
        <v>115490</v>
      </c>
      <c r="C8902" t="str">
        <f>"36723"</f>
        <v>36723</v>
      </c>
      <c r="D8902" t="s">
        <v>1991</v>
      </c>
      <c r="E8902">
        <v>33.159999999999997</v>
      </c>
      <c r="F8902">
        <v>20140429</v>
      </c>
      <c r="G8902" t="s">
        <v>145</v>
      </c>
      <c r="H8902" t="s">
        <v>354</v>
      </c>
      <c r="I8902" t="s">
        <v>38</v>
      </c>
    </row>
    <row r="8903" spans="1:9" x14ac:dyDescent="0.25">
      <c r="A8903">
        <v>20140430</v>
      </c>
      <c r="B8903" t="str">
        <f>"115491"</f>
        <v>115491</v>
      </c>
      <c r="C8903" t="str">
        <f>"83064"</f>
        <v>83064</v>
      </c>
      <c r="D8903" t="s">
        <v>1760</v>
      </c>
      <c r="E8903">
        <v>58.75</v>
      </c>
      <c r="F8903">
        <v>20140430</v>
      </c>
      <c r="G8903" t="s">
        <v>637</v>
      </c>
      <c r="H8903" t="s">
        <v>354</v>
      </c>
      <c r="I8903" t="s">
        <v>38</v>
      </c>
    </row>
    <row r="8904" spans="1:9" x14ac:dyDescent="0.25">
      <c r="A8904">
        <v>20140430</v>
      </c>
      <c r="B8904" t="str">
        <f>"115492"</f>
        <v>115492</v>
      </c>
      <c r="C8904" t="str">
        <f>"86957"</f>
        <v>86957</v>
      </c>
      <c r="D8904" t="s">
        <v>4151</v>
      </c>
      <c r="E8904">
        <v>375</v>
      </c>
      <c r="F8904">
        <v>20140430</v>
      </c>
      <c r="G8904" t="s">
        <v>150</v>
      </c>
      <c r="H8904" t="s">
        <v>4152</v>
      </c>
      <c r="I8904" t="s">
        <v>25</v>
      </c>
    </row>
    <row r="8905" spans="1:9" x14ac:dyDescent="0.25">
      <c r="A8905">
        <v>20140430</v>
      </c>
      <c r="B8905" t="str">
        <f>"115493"</f>
        <v>115493</v>
      </c>
      <c r="C8905" t="str">
        <f>"87036"</f>
        <v>87036</v>
      </c>
      <c r="D8905" t="s">
        <v>4153</v>
      </c>
      <c r="E8905" s="1">
        <v>4250</v>
      </c>
      <c r="F8905">
        <v>20140428</v>
      </c>
      <c r="G8905" t="s">
        <v>1504</v>
      </c>
      <c r="H8905" t="s">
        <v>4154</v>
      </c>
      <c r="I8905" t="s">
        <v>21</v>
      </c>
    </row>
    <row r="8906" spans="1:9" x14ac:dyDescent="0.25">
      <c r="A8906">
        <v>20140430</v>
      </c>
      <c r="B8906" t="str">
        <f>"115494"</f>
        <v>115494</v>
      </c>
      <c r="C8906" t="str">
        <f>"40910"</f>
        <v>40910</v>
      </c>
      <c r="D8906" t="s">
        <v>1886</v>
      </c>
      <c r="E8906" s="1">
        <v>3777.5</v>
      </c>
      <c r="F8906">
        <v>20140428</v>
      </c>
      <c r="G8906" t="s">
        <v>331</v>
      </c>
      <c r="H8906" t="s">
        <v>4155</v>
      </c>
      <c r="I8906" t="s">
        <v>12</v>
      </c>
    </row>
    <row r="8907" spans="1:9" x14ac:dyDescent="0.25">
      <c r="A8907">
        <v>20140430</v>
      </c>
      <c r="B8907" t="str">
        <f>"115494"</f>
        <v>115494</v>
      </c>
      <c r="C8907" t="str">
        <f>"40910"</f>
        <v>40910</v>
      </c>
      <c r="D8907" t="s">
        <v>1886</v>
      </c>
      <c r="E8907" s="1">
        <v>32202</v>
      </c>
      <c r="F8907">
        <v>20140428</v>
      </c>
      <c r="G8907" t="s">
        <v>3555</v>
      </c>
      <c r="H8907" t="s">
        <v>4156</v>
      </c>
      <c r="I8907" t="s">
        <v>12</v>
      </c>
    </row>
    <row r="8908" spans="1:9" x14ac:dyDescent="0.25">
      <c r="A8908">
        <v>20140430</v>
      </c>
      <c r="B8908" t="str">
        <f>"115495"</f>
        <v>115495</v>
      </c>
      <c r="C8908" t="str">
        <f>"82531"</f>
        <v>82531</v>
      </c>
      <c r="D8908" t="s">
        <v>3356</v>
      </c>
      <c r="E8908">
        <v>50</v>
      </c>
      <c r="F8908">
        <v>20140430</v>
      </c>
      <c r="G8908" t="s">
        <v>2358</v>
      </c>
      <c r="H8908" t="s">
        <v>2814</v>
      </c>
      <c r="I8908" t="s">
        <v>21</v>
      </c>
    </row>
    <row r="8909" spans="1:9" x14ac:dyDescent="0.25">
      <c r="A8909">
        <v>20140430</v>
      </c>
      <c r="B8909" t="str">
        <f>"115496"</f>
        <v>115496</v>
      </c>
      <c r="C8909" t="str">
        <f>"48820"</f>
        <v>48820</v>
      </c>
      <c r="D8909" t="s">
        <v>1106</v>
      </c>
      <c r="E8909">
        <v>86.05</v>
      </c>
      <c r="F8909">
        <v>20140430</v>
      </c>
      <c r="G8909" t="s">
        <v>209</v>
      </c>
      <c r="H8909" t="s">
        <v>354</v>
      </c>
      <c r="I8909" t="s">
        <v>25</v>
      </c>
    </row>
    <row r="8910" spans="1:9" x14ac:dyDescent="0.25">
      <c r="A8910">
        <v>20140430</v>
      </c>
      <c r="B8910" t="str">
        <f>"115497"</f>
        <v>115497</v>
      </c>
      <c r="C8910" t="str">
        <f>"82598"</f>
        <v>82598</v>
      </c>
      <c r="D8910" t="s">
        <v>635</v>
      </c>
      <c r="E8910" s="1">
        <v>1012.5</v>
      </c>
      <c r="F8910">
        <v>20140430</v>
      </c>
      <c r="G8910" t="s">
        <v>637</v>
      </c>
      <c r="H8910" t="s">
        <v>4157</v>
      </c>
      <c r="I8910" t="s">
        <v>38</v>
      </c>
    </row>
    <row r="8911" spans="1:9" x14ac:dyDescent="0.25">
      <c r="A8911">
        <v>20140430</v>
      </c>
      <c r="B8911" t="str">
        <f>"115498"</f>
        <v>115498</v>
      </c>
      <c r="C8911" t="str">
        <f>"87834"</f>
        <v>87834</v>
      </c>
      <c r="D8911" t="s">
        <v>4158</v>
      </c>
      <c r="E8911">
        <v>114.6</v>
      </c>
      <c r="F8911">
        <v>20140425</v>
      </c>
      <c r="G8911" t="s">
        <v>3743</v>
      </c>
      <c r="H8911" t="s">
        <v>765</v>
      </c>
      <c r="I8911" t="s">
        <v>61</v>
      </c>
    </row>
    <row r="8912" spans="1:9" x14ac:dyDescent="0.25">
      <c r="A8912">
        <v>20140430</v>
      </c>
      <c r="B8912" t="str">
        <f>"115499"</f>
        <v>115499</v>
      </c>
      <c r="C8912" t="str">
        <f t="shared" ref="C8912:C8918" si="518">"87404"</f>
        <v>87404</v>
      </c>
      <c r="D8912" t="s">
        <v>1108</v>
      </c>
      <c r="E8912">
        <v>31.52</v>
      </c>
      <c r="F8912">
        <v>20140429</v>
      </c>
      <c r="G8912" t="s">
        <v>426</v>
      </c>
      <c r="H8912" t="s">
        <v>968</v>
      </c>
      <c r="I8912" t="s">
        <v>21</v>
      </c>
    </row>
    <row r="8913" spans="1:9" x14ac:dyDescent="0.25">
      <c r="A8913">
        <v>20140430</v>
      </c>
      <c r="B8913" t="str">
        <f>"115500"</f>
        <v>115500</v>
      </c>
      <c r="C8913" t="str">
        <f t="shared" si="518"/>
        <v>87404</v>
      </c>
      <c r="D8913" t="s">
        <v>1108</v>
      </c>
      <c r="E8913">
        <v>21.22</v>
      </c>
      <c r="F8913">
        <v>20140428</v>
      </c>
      <c r="G8913" t="s">
        <v>426</v>
      </c>
      <c r="H8913" t="s">
        <v>968</v>
      </c>
      <c r="I8913" t="s">
        <v>21</v>
      </c>
    </row>
    <row r="8914" spans="1:9" x14ac:dyDescent="0.25">
      <c r="A8914">
        <v>20140430</v>
      </c>
      <c r="B8914" t="str">
        <f>"115501"</f>
        <v>115501</v>
      </c>
      <c r="C8914" t="str">
        <f t="shared" si="518"/>
        <v>87404</v>
      </c>
      <c r="D8914" t="s">
        <v>1108</v>
      </c>
      <c r="E8914">
        <v>17.79</v>
      </c>
      <c r="F8914">
        <v>20140429</v>
      </c>
      <c r="G8914" t="s">
        <v>426</v>
      </c>
      <c r="H8914" t="s">
        <v>968</v>
      </c>
      <c r="I8914" t="s">
        <v>21</v>
      </c>
    </row>
    <row r="8915" spans="1:9" x14ac:dyDescent="0.25">
      <c r="A8915">
        <v>20140430</v>
      </c>
      <c r="B8915" t="str">
        <f>"115502"</f>
        <v>115502</v>
      </c>
      <c r="C8915" t="str">
        <f t="shared" si="518"/>
        <v>87404</v>
      </c>
      <c r="D8915" t="s">
        <v>1108</v>
      </c>
      <c r="E8915">
        <v>17.100000000000001</v>
      </c>
      <c r="F8915">
        <v>20140429</v>
      </c>
      <c r="G8915" t="s">
        <v>557</v>
      </c>
      <c r="H8915" t="s">
        <v>968</v>
      </c>
      <c r="I8915" t="s">
        <v>21</v>
      </c>
    </row>
    <row r="8916" spans="1:9" x14ac:dyDescent="0.25">
      <c r="A8916">
        <v>20140430</v>
      </c>
      <c r="B8916" t="str">
        <f>"115503"</f>
        <v>115503</v>
      </c>
      <c r="C8916" t="str">
        <f t="shared" si="518"/>
        <v>87404</v>
      </c>
      <c r="D8916" t="s">
        <v>1108</v>
      </c>
      <c r="E8916">
        <v>15.37</v>
      </c>
      <c r="F8916">
        <v>20140429</v>
      </c>
      <c r="G8916" t="s">
        <v>426</v>
      </c>
      <c r="H8916" t="s">
        <v>968</v>
      </c>
      <c r="I8916" t="s">
        <v>21</v>
      </c>
    </row>
    <row r="8917" spans="1:9" x14ac:dyDescent="0.25">
      <c r="A8917">
        <v>20140430</v>
      </c>
      <c r="B8917" t="str">
        <f>"115504"</f>
        <v>115504</v>
      </c>
      <c r="C8917" t="str">
        <f t="shared" si="518"/>
        <v>87404</v>
      </c>
      <c r="D8917" t="s">
        <v>1108</v>
      </c>
      <c r="E8917">
        <v>3.64</v>
      </c>
      <c r="F8917">
        <v>20140428</v>
      </c>
      <c r="G8917" t="s">
        <v>426</v>
      </c>
      <c r="H8917" t="s">
        <v>968</v>
      </c>
      <c r="I8917" t="s">
        <v>21</v>
      </c>
    </row>
    <row r="8918" spans="1:9" x14ac:dyDescent="0.25">
      <c r="A8918">
        <v>20140430</v>
      </c>
      <c r="B8918" t="str">
        <f>"115505"</f>
        <v>115505</v>
      </c>
      <c r="C8918" t="str">
        <f t="shared" si="518"/>
        <v>87404</v>
      </c>
      <c r="D8918" t="s">
        <v>1108</v>
      </c>
      <c r="E8918">
        <v>2.13</v>
      </c>
      <c r="F8918">
        <v>20140428</v>
      </c>
      <c r="G8918" t="s">
        <v>426</v>
      </c>
      <c r="H8918" t="s">
        <v>968</v>
      </c>
      <c r="I8918" t="s">
        <v>21</v>
      </c>
    </row>
    <row r="8919" spans="1:9" x14ac:dyDescent="0.25">
      <c r="A8919">
        <v>20140430</v>
      </c>
      <c r="B8919" t="str">
        <f>"115506"</f>
        <v>115506</v>
      </c>
      <c r="C8919" t="str">
        <f>"49650"</f>
        <v>49650</v>
      </c>
      <c r="D8919" t="s">
        <v>4159</v>
      </c>
      <c r="E8919">
        <v>85</v>
      </c>
      <c r="F8919">
        <v>20140425</v>
      </c>
      <c r="G8919" t="s">
        <v>223</v>
      </c>
      <c r="H8919" t="s">
        <v>1677</v>
      </c>
      <c r="I8919" t="s">
        <v>25</v>
      </c>
    </row>
    <row r="8920" spans="1:9" x14ac:dyDescent="0.25">
      <c r="A8920">
        <v>20140430</v>
      </c>
      <c r="B8920" t="str">
        <f>"115507"</f>
        <v>115507</v>
      </c>
      <c r="C8920" t="str">
        <f>"85770"</f>
        <v>85770</v>
      </c>
      <c r="D8920" t="s">
        <v>363</v>
      </c>
      <c r="E8920">
        <v>46.22</v>
      </c>
      <c r="F8920">
        <v>20140430</v>
      </c>
      <c r="G8920" t="s">
        <v>364</v>
      </c>
      <c r="H8920" t="s">
        <v>563</v>
      </c>
      <c r="I8920" t="s">
        <v>21</v>
      </c>
    </row>
    <row r="8921" spans="1:9" x14ac:dyDescent="0.25">
      <c r="A8921">
        <v>20140430</v>
      </c>
      <c r="B8921" t="str">
        <f>"115508"</f>
        <v>115508</v>
      </c>
      <c r="C8921" t="str">
        <f>"85984"</f>
        <v>85984</v>
      </c>
      <c r="D8921" t="s">
        <v>2013</v>
      </c>
      <c r="E8921">
        <v>8.32</v>
      </c>
      <c r="F8921">
        <v>20140428</v>
      </c>
      <c r="G8921" t="s">
        <v>426</v>
      </c>
      <c r="H8921" t="s">
        <v>968</v>
      </c>
      <c r="I8921" t="s">
        <v>21</v>
      </c>
    </row>
    <row r="8922" spans="1:9" x14ac:dyDescent="0.25">
      <c r="A8922">
        <v>20140430</v>
      </c>
      <c r="B8922" t="str">
        <f>"115509"</f>
        <v>115509</v>
      </c>
      <c r="C8922" t="str">
        <f>"51000"</f>
        <v>51000</v>
      </c>
      <c r="D8922" t="s">
        <v>366</v>
      </c>
      <c r="E8922">
        <v>40.97</v>
      </c>
      <c r="F8922">
        <v>20140425</v>
      </c>
      <c r="G8922" t="s">
        <v>367</v>
      </c>
      <c r="H8922" t="s">
        <v>368</v>
      </c>
      <c r="I8922" t="s">
        <v>21</v>
      </c>
    </row>
    <row r="8923" spans="1:9" x14ac:dyDescent="0.25">
      <c r="A8923">
        <v>20140430</v>
      </c>
      <c r="B8923" t="str">
        <f>"115510"</f>
        <v>115510</v>
      </c>
      <c r="C8923" t="str">
        <f>"52450"</f>
        <v>52450</v>
      </c>
      <c r="D8923" t="s">
        <v>2548</v>
      </c>
      <c r="E8923">
        <v>448.5</v>
      </c>
      <c r="F8923">
        <v>20140429</v>
      </c>
      <c r="G8923" t="s">
        <v>413</v>
      </c>
      <c r="H8923" t="s">
        <v>2550</v>
      </c>
      <c r="I8923" t="s">
        <v>21</v>
      </c>
    </row>
    <row r="8924" spans="1:9" x14ac:dyDescent="0.25">
      <c r="A8924">
        <v>20140430</v>
      </c>
      <c r="B8924" t="str">
        <f>"115511"</f>
        <v>115511</v>
      </c>
      <c r="C8924" t="str">
        <f>"55675"</f>
        <v>55675</v>
      </c>
      <c r="D8924" t="s">
        <v>1114</v>
      </c>
      <c r="E8924">
        <v>50.99</v>
      </c>
      <c r="F8924">
        <v>20140429</v>
      </c>
      <c r="G8924" t="s">
        <v>4160</v>
      </c>
      <c r="H8924" t="s">
        <v>414</v>
      </c>
      <c r="I8924" t="s">
        <v>21</v>
      </c>
    </row>
    <row r="8925" spans="1:9" x14ac:dyDescent="0.25">
      <c r="A8925">
        <v>20140430</v>
      </c>
      <c r="B8925" t="str">
        <f>"115511"</f>
        <v>115511</v>
      </c>
      <c r="C8925" t="str">
        <f>"55675"</f>
        <v>55675</v>
      </c>
      <c r="D8925" t="s">
        <v>1114</v>
      </c>
      <c r="E8925">
        <v>55</v>
      </c>
      <c r="F8925">
        <v>20140429</v>
      </c>
      <c r="G8925" t="s">
        <v>4160</v>
      </c>
      <c r="H8925" t="s">
        <v>414</v>
      </c>
      <c r="I8925" t="s">
        <v>21</v>
      </c>
    </row>
    <row r="8926" spans="1:9" x14ac:dyDescent="0.25">
      <c r="A8926">
        <v>20140430</v>
      </c>
      <c r="B8926" t="str">
        <f>"115512"</f>
        <v>115512</v>
      </c>
      <c r="C8926" t="str">
        <f>"81851"</f>
        <v>81851</v>
      </c>
      <c r="D8926" t="s">
        <v>4161</v>
      </c>
      <c r="E8926">
        <v>140</v>
      </c>
      <c r="F8926">
        <v>20140430</v>
      </c>
      <c r="G8926" t="s">
        <v>214</v>
      </c>
      <c r="H8926" t="s">
        <v>679</v>
      </c>
      <c r="I8926" t="s">
        <v>38</v>
      </c>
    </row>
    <row r="8927" spans="1:9" x14ac:dyDescent="0.25">
      <c r="A8927">
        <v>20140430</v>
      </c>
      <c r="B8927" t="str">
        <f>"115513"</f>
        <v>115513</v>
      </c>
      <c r="C8927" t="str">
        <f>"59695"</f>
        <v>59695</v>
      </c>
      <c r="D8927" t="s">
        <v>371</v>
      </c>
      <c r="E8927">
        <v>810</v>
      </c>
      <c r="F8927">
        <v>20140428</v>
      </c>
      <c r="G8927" t="s">
        <v>372</v>
      </c>
      <c r="H8927" t="s">
        <v>373</v>
      </c>
      <c r="I8927" t="s">
        <v>21</v>
      </c>
    </row>
    <row r="8928" spans="1:9" x14ac:dyDescent="0.25">
      <c r="A8928">
        <v>20140430</v>
      </c>
      <c r="B8928" t="str">
        <f>"115513"</f>
        <v>115513</v>
      </c>
      <c r="C8928" t="str">
        <f>"59695"</f>
        <v>59695</v>
      </c>
      <c r="D8928" t="s">
        <v>371</v>
      </c>
      <c r="E8928">
        <v>405</v>
      </c>
      <c r="F8928">
        <v>20140428</v>
      </c>
      <c r="G8928" t="s">
        <v>374</v>
      </c>
      <c r="H8928" t="s">
        <v>373</v>
      </c>
      <c r="I8928" t="s">
        <v>21</v>
      </c>
    </row>
    <row r="8929" spans="1:9" x14ac:dyDescent="0.25">
      <c r="A8929">
        <v>20140430</v>
      </c>
      <c r="B8929" t="str">
        <f>"115513"</f>
        <v>115513</v>
      </c>
      <c r="C8929" t="str">
        <f>"59695"</f>
        <v>59695</v>
      </c>
      <c r="D8929" t="s">
        <v>371</v>
      </c>
      <c r="E8929">
        <v>100</v>
      </c>
      <c r="F8929">
        <v>20140428</v>
      </c>
      <c r="G8929" t="s">
        <v>375</v>
      </c>
      <c r="H8929" t="s">
        <v>373</v>
      </c>
      <c r="I8929" t="s">
        <v>21</v>
      </c>
    </row>
    <row r="8930" spans="1:9" x14ac:dyDescent="0.25">
      <c r="A8930">
        <v>20140430</v>
      </c>
      <c r="B8930" t="str">
        <f>"115513"</f>
        <v>115513</v>
      </c>
      <c r="C8930" t="str">
        <f>"59695"</f>
        <v>59695</v>
      </c>
      <c r="D8930" t="s">
        <v>371</v>
      </c>
      <c r="E8930">
        <v>620</v>
      </c>
      <c r="F8930">
        <v>20140428</v>
      </c>
      <c r="G8930" t="s">
        <v>376</v>
      </c>
      <c r="H8930" t="s">
        <v>373</v>
      </c>
      <c r="I8930" t="s">
        <v>21</v>
      </c>
    </row>
    <row r="8931" spans="1:9" x14ac:dyDescent="0.25">
      <c r="A8931">
        <v>20140430</v>
      </c>
      <c r="B8931" t="str">
        <f>"115514"</f>
        <v>115514</v>
      </c>
      <c r="C8931" t="str">
        <f>"87343"</f>
        <v>87343</v>
      </c>
      <c r="D8931" t="s">
        <v>4162</v>
      </c>
      <c r="E8931">
        <v>119.8</v>
      </c>
      <c r="F8931">
        <v>20140424</v>
      </c>
      <c r="G8931" t="s">
        <v>41</v>
      </c>
      <c r="H8931" t="s">
        <v>2814</v>
      </c>
      <c r="I8931" t="s">
        <v>38</v>
      </c>
    </row>
    <row r="8932" spans="1:9" x14ac:dyDescent="0.25">
      <c r="A8932">
        <v>20140430</v>
      </c>
      <c r="B8932" t="str">
        <f>"115515"</f>
        <v>115515</v>
      </c>
      <c r="C8932" t="str">
        <f>"81382"</f>
        <v>81382</v>
      </c>
      <c r="D8932" t="s">
        <v>1655</v>
      </c>
      <c r="E8932">
        <v>88</v>
      </c>
      <c r="F8932">
        <v>20140428</v>
      </c>
      <c r="G8932" t="s">
        <v>840</v>
      </c>
      <c r="H8932" t="s">
        <v>4163</v>
      </c>
      <c r="I8932" t="s">
        <v>21</v>
      </c>
    </row>
    <row r="8933" spans="1:9" x14ac:dyDescent="0.25">
      <c r="A8933">
        <v>20140430</v>
      </c>
      <c r="B8933" t="str">
        <f>"115516"</f>
        <v>115516</v>
      </c>
      <c r="C8933" t="str">
        <f>"62900"</f>
        <v>62900</v>
      </c>
      <c r="D8933" t="s">
        <v>1293</v>
      </c>
      <c r="E8933">
        <v>56.56</v>
      </c>
      <c r="F8933">
        <v>20140424</v>
      </c>
      <c r="G8933" t="s">
        <v>4093</v>
      </c>
      <c r="H8933" t="s">
        <v>4164</v>
      </c>
      <c r="I8933" t="s">
        <v>21</v>
      </c>
    </row>
    <row r="8934" spans="1:9" x14ac:dyDescent="0.25">
      <c r="A8934">
        <v>20140430</v>
      </c>
      <c r="B8934" t="str">
        <f>"115517"</f>
        <v>115517</v>
      </c>
      <c r="C8934" t="str">
        <f>"87836"</f>
        <v>87836</v>
      </c>
      <c r="D8934" t="s">
        <v>4165</v>
      </c>
      <c r="E8934">
        <v>217.68</v>
      </c>
      <c r="F8934">
        <v>20140429</v>
      </c>
      <c r="G8934" t="s">
        <v>1235</v>
      </c>
      <c r="H8934" t="s">
        <v>365</v>
      </c>
      <c r="I8934" t="s">
        <v>79</v>
      </c>
    </row>
    <row r="8935" spans="1:9" x14ac:dyDescent="0.25">
      <c r="A8935">
        <v>20140430</v>
      </c>
      <c r="B8935" t="str">
        <f>"115518"</f>
        <v>115518</v>
      </c>
      <c r="C8935" t="str">
        <f>"81411"</f>
        <v>81411</v>
      </c>
      <c r="D8935" t="s">
        <v>687</v>
      </c>
      <c r="E8935" s="1">
        <v>3469.06</v>
      </c>
      <c r="F8935">
        <v>20140429</v>
      </c>
      <c r="G8935" t="s">
        <v>498</v>
      </c>
      <c r="H8935" t="s">
        <v>499</v>
      </c>
      <c r="I8935" t="s">
        <v>21</v>
      </c>
    </row>
    <row r="8936" spans="1:9" x14ac:dyDescent="0.25">
      <c r="A8936">
        <v>20140430</v>
      </c>
      <c r="B8936" t="str">
        <f>"115519"</f>
        <v>115519</v>
      </c>
      <c r="C8936" t="str">
        <f>"68960"</f>
        <v>68960</v>
      </c>
      <c r="D8936" t="s">
        <v>689</v>
      </c>
      <c r="E8936">
        <v>153</v>
      </c>
      <c r="F8936">
        <v>20140425</v>
      </c>
      <c r="G8936" t="s">
        <v>637</v>
      </c>
      <c r="H8936" t="s">
        <v>357</v>
      </c>
      <c r="I8936" t="s">
        <v>38</v>
      </c>
    </row>
    <row r="8937" spans="1:9" x14ac:dyDescent="0.25">
      <c r="A8937">
        <v>20140430</v>
      </c>
      <c r="B8937" t="str">
        <f>"115520"</f>
        <v>115520</v>
      </c>
      <c r="C8937" t="str">
        <f>"86376"</f>
        <v>86376</v>
      </c>
      <c r="D8937" t="s">
        <v>1661</v>
      </c>
      <c r="E8937">
        <v>705</v>
      </c>
      <c r="F8937">
        <v>20140428</v>
      </c>
      <c r="G8937" t="s">
        <v>834</v>
      </c>
      <c r="H8937" t="s">
        <v>4166</v>
      </c>
      <c r="I8937" t="s">
        <v>21</v>
      </c>
    </row>
    <row r="8938" spans="1:9" x14ac:dyDescent="0.25">
      <c r="A8938">
        <v>20140430</v>
      </c>
      <c r="B8938" t="str">
        <f>"115521"</f>
        <v>115521</v>
      </c>
      <c r="C8938" t="str">
        <f>"70665"</f>
        <v>70665</v>
      </c>
      <c r="D8938" t="s">
        <v>693</v>
      </c>
      <c r="E8938">
        <v>400</v>
      </c>
      <c r="F8938">
        <v>20140424</v>
      </c>
      <c r="G8938" t="s">
        <v>1153</v>
      </c>
      <c r="H8938" t="s">
        <v>1054</v>
      </c>
      <c r="I8938" t="s">
        <v>61</v>
      </c>
    </row>
    <row r="8939" spans="1:9" x14ac:dyDescent="0.25">
      <c r="A8939">
        <v>20140430</v>
      </c>
      <c r="B8939" t="str">
        <f>"115521"</f>
        <v>115521</v>
      </c>
      <c r="C8939" t="str">
        <f>"70665"</f>
        <v>70665</v>
      </c>
      <c r="D8939" t="s">
        <v>693</v>
      </c>
      <c r="E8939">
        <v>400</v>
      </c>
      <c r="F8939">
        <v>20140424</v>
      </c>
      <c r="G8939" t="s">
        <v>364</v>
      </c>
      <c r="H8939" t="s">
        <v>4167</v>
      </c>
      <c r="I8939" t="s">
        <v>21</v>
      </c>
    </row>
    <row r="8940" spans="1:9" x14ac:dyDescent="0.25">
      <c r="A8940">
        <v>20140430</v>
      </c>
      <c r="B8940" t="str">
        <f>"115522"</f>
        <v>115522</v>
      </c>
      <c r="C8940" t="str">
        <f>"70665"</f>
        <v>70665</v>
      </c>
      <c r="D8940" t="s">
        <v>693</v>
      </c>
      <c r="E8940">
        <v>110</v>
      </c>
      <c r="F8940">
        <v>20140430</v>
      </c>
      <c r="G8940" t="s">
        <v>2984</v>
      </c>
      <c r="H8940" t="s">
        <v>1677</v>
      </c>
      <c r="I8940" t="s">
        <v>21</v>
      </c>
    </row>
    <row r="8941" spans="1:9" x14ac:dyDescent="0.25">
      <c r="A8941">
        <v>20140430</v>
      </c>
      <c r="B8941" t="str">
        <f>"115523"</f>
        <v>115523</v>
      </c>
      <c r="C8941" t="str">
        <f>"00332"</f>
        <v>00332</v>
      </c>
      <c r="D8941" t="s">
        <v>1160</v>
      </c>
      <c r="E8941">
        <v>94</v>
      </c>
      <c r="F8941">
        <v>20140424</v>
      </c>
      <c r="G8941" t="s">
        <v>367</v>
      </c>
      <c r="H8941" t="s">
        <v>1161</v>
      </c>
      <c r="I8941" t="s">
        <v>21</v>
      </c>
    </row>
    <row r="8942" spans="1:9" x14ac:dyDescent="0.25">
      <c r="A8942">
        <v>20140430</v>
      </c>
      <c r="B8942" t="str">
        <f>"115524"</f>
        <v>115524</v>
      </c>
      <c r="C8942" t="str">
        <f>"74338"</f>
        <v>74338</v>
      </c>
      <c r="D8942" t="s">
        <v>2773</v>
      </c>
      <c r="E8942">
        <v>177.13</v>
      </c>
      <c r="F8942">
        <v>20140425</v>
      </c>
      <c r="G8942" t="s">
        <v>39</v>
      </c>
      <c r="H8942" t="s">
        <v>354</v>
      </c>
      <c r="I8942" t="s">
        <v>38</v>
      </c>
    </row>
    <row r="8943" spans="1:9" x14ac:dyDescent="0.25">
      <c r="A8943">
        <v>20140430</v>
      </c>
      <c r="B8943" t="str">
        <f>"115524"</f>
        <v>115524</v>
      </c>
      <c r="C8943" t="str">
        <f>"74338"</f>
        <v>74338</v>
      </c>
      <c r="D8943" t="s">
        <v>2773</v>
      </c>
      <c r="E8943">
        <v>40</v>
      </c>
      <c r="F8943">
        <v>20140430</v>
      </c>
      <c r="G8943" t="s">
        <v>39</v>
      </c>
      <c r="H8943" t="s">
        <v>354</v>
      </c>
      <c r="I8943" t="s">
        <v>38</v>
      </c>
    </row>
    <row r="8944" spans="1:9" x14ac:dyDescent="0.25">
      <c r="A8944">
        <v>20140430</v>
      </c>
      <c r="B8944" t="str">
        <f>"115525"</f>
        <v>115525</v>
      </c>
      <c r="C8944" t="str">
        <f>"87616"</f>
        <v>87616</v>
      </c>
      <c r="D8944" t="s">
        <v>711</v>
      </c>
      <c r="E8944" s="1">
        <v>2352</v>
      </c>
      <c r="F8944">
        <v>20140424</v>
      </c>
      <c r="G8944" t="s">
        <v>41</v>
      </c>
      <c r="H8944" t="s">
        <v>713</v>
      </c>
      <c r="I8944" t="s">
        <v>38</v>
      </c>
    </row>
    <row r="8945" spans="1:9" x14ac:dyDescent="0.25">
      <c r="A8945">
        <v>20140430</v>
      </c>
      <c r="B8945" t="str">
        <f>"115526"</f>
        <v>115526</v>
      </c>
      <c r="C8945" t="str">
        <f>"81358"</f>
        <v>81358</v>
      </c>
      <c r="D8945" t="s">
        <v>736</v>
      </c>
      <c r="E8945" s="1">
        <v>2248.56</v>
      </c>
      <c r="F8945">
        <v>20140428</v>
      </c>
      <c r="G8945" t="s">
        <v>1543</v>
      </c>
      <c r="H8945" t="s">
        <v>738</v>
      </c>
      <c r="I8945" t="s">
        <v>21</v>
      </c>
    </row>
    <row r="8946" spans="1:9" x14ac:dyDescent="0.25">
      <c r="A8946">
        <v>20140430</v>
      </c>
      <c r="B8946" t="str">
        <f>"115526"</f>
        <v>115526</v>
      </c>
      <c r="C8946" t="str">
        <f>"81358"</f>
        <v>81358</v>
      </c>
      <c r="D8946" t="s">
        <v>736</v>
      </c>
      <c r="E8946" s="1">
        <v>4452.92</v>
      </c>
      <c r="F8946">
        <v>20140428</v>
      </c>
      <c r="G8946" t="s">
        <v>737</v>
      </c>
      <c r="H8946" t="s">
        <v>738</v>
      </c>
      <c r="I8946" t="s">
        <v>21</v>
      </c>
    </row>
    <row r="8947" spans="1:9" x14ac:dyDescent="0.25">
      <c r="A8947">
        <v>20140430</v>
      </c>
      <c r="B8947" t="str">
        <f>"115527"</f>
        <v>115527</v>
      </c>
      <c r="C8947" t="str">
        <f>"84718"</f>
        <v>84718</v>
      </c>
      <c r="D8947" t="s">
        <v>4168</v>
      </c>
      <c r="E8947">
        <v>18.010000000000002</v>
      </c>
      <c r="F8947">
        <v>20140428</v>
      </c>
      <c r="G8947" t="s">
        <v>810</v>
      </c>
      <c r="H8947" t="s">
        <v>365</v>
      </c>
      <c r="I8947" t="s">
        <v>66</v>
      </c>
    </row>
    <row r="8948" spans="1:9" x14ac:dyDescent="0.25">
      <c r="A8948">
        <v>20140430</v>
      </c>
      <c r="B8948" t="str">
        <f>"115528"</f>
        <v>115528</v>
      </c>
      <c r="C8948" t="str">
        <f>"76904"</f>
        <v>76904</v>
      </c>
      <c r="D8948" t="s">
        <v>1323</v>
      </c>
      <c r="E8948" s="1">
        <v>5900</v>
      </c>
      <c r="F8948">
        <v>20140430</v>
      </c>
      <c r="G8948" t="s">
        <v>174</v>
      </c>
      <c r="H8948" t="s">
        <v>4169</v>
      </c>
      <c r="I8948" t="s">
        <v>25</v>
      </c>
    </row>
    <row r="8949" spans="1:9" x14ac:dyDescent="0.25">
      <c r="A8949">
        <v>20140430</v>
      </c>
      <c r="B8949" t="str">
        <f t="shared" ref="B8949:B8956" si="519">"115529"</f>
        <v>115529</v>
      </c>
      <c r="C8949" t="str">
        <f t="shared" ref="C8949:C8956" si="520">"85605"</f>
        <v>85605</v>
      </c>
      <c r="D8949" t="s">
        <v>1949</v>
      </c>
      <c r="E8949">
        <v>47.54</v>
      </c>
      <c r="F8949">
        <v>20140430</v>
      </c>
      <c r="G8949" t="s">
        <v>837</v>
      </c>
      <c r="H8949" t="s">
        <v>414</v>
      </c>
      <c r="I8949" t="s">
        <v>21</v>
      </c>
    </row>
    <row r="8950" spans="1:9" x14ac:dyDescent="0.25">
      <c r="A8950">
        <v>20140430</v>
      </c>
      <c r="B8950" t="str">
        <f t="shared" si="519"/>
        <v>115529</v>
      </c>
      <c r="C8950" t="str">
        <f t="shared" si="520"/>
        <v>85605</v>
      </c>
      <c r="D8950" t="s">
        <v>1949</v>
      </c>
      <c r="E8950">
        <v>63.31</v>
      </c>
      <c r="F8950">
        <v>20140429</v>
      </c>
      <c r="G8950" t="s">
        <v>145</v>
      </c>
      <c r="H8950" t="s">
        <v>414</v>
      </c>
      <c r="I8950" t="s">
        <v>38</v>
      </c>
    </row>
    <row r="8951" spans="1:9" x14ac:dyDescent="0.25">
      <c r="A8951">
        <v>20140430</v>
      </c>
      <c r="B8951" t="str">
        <f t="shared" si="519"/>
        <v>115529</v>
      </c>
      <c r="C8951" t="str">
        <f t="shared" si="520"/>
        <v>85605</v>
      </c>
      <c r="D8951" t="s">
        <v>1949</v>
      </c>
      <c r="E8951">
        <v>30.48</v>
      </c>
      <c r="F8951">
        <v>20140429</v>
      </c>
      <c r="G8951" t="s">
        <v>145</v>
      </c>
      <c r="H8951" t="s">
        <v>414</v>
      </c>
      <c r="I8951" t="s">
        <v>38</v>
      </c>
    </row>
    <row r="8952" spans="1:9" x14ac:dyDescent="0.25">
      <c r="A8952">
        <v>20140430</v>
      </c>
      <c r="B8952" t="str">
        <f t="shared" si="519"/>
        <v>115529</v>
      </c>
      <c r="C8952" t="str">
        <f t="shared" si="520"/>
        <v>85605</v>
      </c>
      <c r="D8952" t="s">
        <v>1949</v>
      </c>
      <c r="E8952">
        <v>85.81</v>
      </c>
      <c r="F8952">
        <v>20140429</v>
      </c>
      <c r="G8952" t="s">
        <v>145</v>
      </c>
      <c r="H8952" t="s">
        <v>414</v>
      </c>
      <c r="I8952" t="s">
        <v>38</v>
      </c>
    </row>
    <row r="8953" spans="1:9" x14ac:dyDescent="0.25">
      <c r="A8953">
        <v>20140430</v>
      </c>
      <c r="B8953" t="str">
        <f t="shared" si="519"/>
        <v>115529</v>
      </c>
      <c r="C8953" t="str">
        <f t="shared" si="520"/>
        <v>85605</v>
      </c>
      <c r="D8953" t="s">
        <v>1949</v>
      </c>
      <c r="E8953">
        <v>70.38</v>
      </c>
      <c r="F8953">
        <v>20140429</v>
      </c>
      <c r="G8953" t="s">
        <v>145</v>
      </c>
      <c r="H8953" t="s">
        <v>414</v>
      </c>
      <c r="I8953" t="s">
        <v>38</v>
      </c>
    </row>
    <row r="8954" spans="1:9" x14ac:dyDescent="0.25">
      <c r="A8954">
        <v>20140430</v>
      </c>
      <c r="B8954" t="str">
        <f t="shared" si="519"/>
        <v>115529</v>
      </c>
      <c r="C8954" t="str">
        <f t="shared" si="520"/>
        <v>85605</v>
      </c>
      <c r="D8954" t="s">
        <v>1949</v>
      </c>
      <c r="E8954">
        <v>94.28</v>
      </c>
      <c r="F8954">
        <v>20140429</v>
      </c>
      <c r="G8954" t="s">
        <v>145</v>
      </c>
      <c r="H8954" t="s">
        <v>414</v>
      </c>
      <c r="I8954" t="s">
        <v>38</v>
      </c>
    </row>
    <row r="8955" spans="1:9" x14ac:dyDescent="0.25">
      <c r="A8955">
        <v>20140430</v>
      </c>
      <c r="B8955" t="str">
        <f t="shared" si="519"/>
        <v>115529</v>
      </c>
      <c r="C8955" t="str">
        <f t="shared" si="520"/>
        <v>85605</v>
      </c>
      <c r="D8955" t="s">
        <v>1949</v>
      </c>
      <c r="E8955">
        <v>51.58</v>
      </c>
      <c r="F8955">
        <v>20140429</v>
      </c>
      <c r="G8955" t="s">
        <v>145</v>
      </c>
      <c r="H8955" t="s">
        <v>414</v>
      </c>
      <c r="I8955" t="s">
        <v>38</v>
      </c>
    </row>
    <row r="8956" spans="1:9" x14ac:dyDescent="0.25">
      <c r="A8956">
        <v>20140430</v>
      </c>
      <c r="B8956" t="str">
        <f t="shared" si="519"/>
        <v>115529</v>
      </c>
      <c r="C8956" t="str">
        <f t="shared" si="520"/>
        <v>85605</v>
      </c>
      <c r="D8956" t="s">
        <v>1949</v>
      </c>
      <c r="E8956">
        <v>11.31</v>
      </c>
      <c r="F8956">
        <v>20140429</v>
      </c>
      <c r="G8956" t="s">
        <v>145</v>
      </c>
      <c r="H8956" t="s">
        <v>414</v>
      </c>
      <c r="I8956" t="s">
        <v>38</v>
      </c>
    </row>
    <row r="8957" spans="1:9" x14ac:dyDescent="0.25">
      <c r="A8957">
        <v>20140430</v>
      </c>
      <c r="B8957" t="str">
        <f>"115530"</f>
        <v>115530</v>
      </c>
      <c r="C8957" t="str">
        <f>"79625"</f>
        <v>79625</v>
      </c>
      <c r="D8957" t="s">
        <v>1331</v>
      </c>
      <c r="E8957">
        <v>65.98</v>
      </c>
      <c r="F8957">
        <v>20140425</v>
      </c>
      <c r="G8957" t="s">
        <v>39</v>
      </c>
      <c r="H8957" t="s">
        <v>354</v>
      </c>
      <c r="I8957" t="s">
        <v>38</v>
      </c>
    </row>
    <row r="8958" spans="1:9" x14ac:dyDescent="0.25">
      <c r="A8958">
        <v>20140430</v>
      </c>
      <c r="B8958" t="str">
        <f>"115531"</f>
        <v>115531</v>
      </c>
      <c r="C8958" t="str">
        <f>"86280"</f>
        <v>86280</v>
      </c>
      <c r="D8958" t="s">
        <v>3802</v>
      </c>
      <c r="E8958" s="1">
        <v>1000</v>
      </c>
      <c r="F8958">
        <v>20140430</v>
      </c>
      <c r="G8958" t="s">
        <v>181</v>
      </c>
      <c r="H8958" t="s">
        <v>4170</v>
      </c>
      <c r="I8958" t="s">
        <v>38</v>
      </c>
    </row>
    <row r="8959" spans="1:9" x14ac:dyDescent="0.25">
      <c r="A8959">
        <v>20140430</v>
      </c>
      <c r="B8959" t="str">
        <f t="shared" ref="B8959:B8972" si="521">"115532"</f>
        <v>115532</v>
      </c>
      <c r="C8959" t="str">
        <f t="shared" ref="C8959:C8972" si="522">"80825"</f>
        <v>80825</v>
      </c>
      <c r="D8959" t="s">
        <v>747</v>
      </c>
      <c r="E8959">
        <v>641.76</v>
      </c>
      <c r="F8959">
        <v>20140428</v>
      </c>
      <c r="G8959" t="s">
        <v>748</v>
      </c>
      <c r="H8959" t="s">
        <v>749</v>
      </c>
      <c r="I8959" t="s">
        <v>21</v>
      </c>
    </row>
    <row r="8960" spans="1:9" x14ac:dyDescent="0.25">
      <c r="A8960">
        <v>20140430</v>
      </c>
      <c r="B8960" t="str">
        <f t="shared" si="521"/>
        <v>115532</v>
      </c>
      <c r="C8960" t="str">
        <f t="shared" si="522"/>
        <v>80825</v>
      </c>
      <c r="D8960" t="s">
        <v>747</v>
      </c>
      <c r="E8960">
        <v>276.89999999999998</v>
      </c>
      <c r="F8960">
        <v>20140428</v>
      </c>
      <c r="G8960" t="s">
        <v>748</v>
      </c>
      <c r="H8960" t="s">
        <v>749</v>
      </c>
      <c r="I8960" t="s">
        <v>21</v>
      </c>
    </row>
    <row r="8961" spans="1:9" x14ac:dyDescent="0.25">
      <c r="A8961">
        <v>20140430</v>
      </c>
      <c r="B8961" t="str">
        <f t="shared" si="521"/>
        <v>115532</v>
      </c>
      <c r="C8961" t="str">
        <f t="shared" si="522"/>
        <v>80825</v>
      </c>
      <c r="D8961" t="s">
        <v>747</v>
      </c>
      <c r="E8961">
        <v>320.88</v>
      </c>
      <c r="F8961">
        <v>20140428</v>
      </c>
      <c r="G8961" t="s">
        <v>750</v>
      </c>
      <c r="H8961" t="s">
        <v>749</v>
      </c>
      <c r="I8961" t="s">
        <v>21</v>
      </c>
    </row>
    <row r="8962" spans="1:9" x14ac:dyDescent="0.25">
      <c r="A8962">
        <v>20140430</v>
      </c>
      <c r="B8962" t="str">
        <f t="shared" si="521"/>
        <v>115532</v>
      </c>
      <c r="C8962" t="str">
        <f t="shared" si="522"/>
        <v>80825</v>
      </c>
      <c r="D8962" t="s">
        <v>747</v>
      </c>
      <c r="E8962">
        <v>320.88</v>
      </c>
      <c r="F8962">
        <v>20140428</v>
      </c>
      <c r="G8962" t="s">
        <v>752</v>
      </c>
      <c r="H8962" t="s">
        <v>749</v>
      </c>
      <c r="I8962" t="s">
        <v>21</v>
      </c>
    </row>
    <row r="8963" spans="1:9" x14ac:dyDescent="0.25">
      <c r="A8963">
        <v>20140430</v>
      </c>
      <c r="B8963" t="str">
        <f t="shared" si="521"/>
        <v>115532</v>
      </c>
      <c r="C8963" t="str">
        <f t="shared" si="522"/>
        <v>80825</v>
      </c>
      <c r="D8963" t="s">
        <v>747</v>
      </c>
      <c r="E8963">
        <v>320.88</v>
      </c>
      <c r="F8963">
        <v>20140428</v>
      </c>
      <c r="G8963" t="s">
        <v>753</v>
      </c>
      <c r="H8963" t="s">
        <v>749</v>
      </c>
      <c r="I8963" t="s">
        <v>21</v>
      </c>
    </row>
    <row r="8964" spans="1:9" x14ac:dyDescent="0.25">
      <c r="A8964">
        <v>20140430</v>
      </c>
      <c r="B8964" t="str">
        <f t="shared" si="521"/>
        <v>115532</v>
      </c>
      <c r="C8964" t="str">
        <f t="shared" si="522"/>
        <v>80825</v>
      </c>
      <c r="D8964" t="s">
        <v>747</v>
      </c>
      <c r="E8964">
        <v>320.88</v>
      </c>
      <c r="F8964">
        <v>20140428</v>
      </c>
      <c r="G8964" t="s">
        <v>754</v>
      </c>
      <c r="H8964" t="s">
        <v>749</v>
      </c>
      <c r="I8964" t="s">
        <v>21</v>
      </c>
    </row>
    <row r="8965" spans="1:9" x14ac:dyDescent="0.25">
      <c r="A8965">
        <v>20140430</v>
      </c>
      <c r="B8965" t="str">
        <f t="shared" si="521"/>
        <v>115532</v>
      </c>
      <c r="C8965" t="str">
        <f t="shared" si="522"/>
        <v>80825</v>
      </c>
      <c r="D8965" t="s">
        <v>747</v>
      </c>
      <c r="E8965">
        <v>320.88</v>
      </c>
      <c r="F8965">
        <v>20140428</v>
      </c>
      <c r="G8965" t="s">
        <v>990</v>
      </c>
      <c r="H8965" t="s">
        <v>749</v>
      </c>
      <c r="I8965" t="s">
        <v>21</v>
      </c>
    </row>
    <row r="8966" spans="1:9" x14ac:dyDescent="0.25">
      <c r="A8966">
        <v>20140430</v>
      </c>
      <c r="B8966" t="str">
        <f t="shared" si="521"/>
        <v>115532</v>
      </c>
      <c r="C8966" t="str">
        <f t="shared" si="522"/>
        <v>80825</v>
      </c>
      <c r="D8966" t="s">
        <v>747</v>
      </c>
      <c r="E8966">
        <v>320.88</v>
      </c>
      <c r="F8966">
        <v>20140428</v>
      </c>
      <c r="G8966" t="s">
        <v>755</v>
      </c>
      <c r="H8966" t="s">
        <v>749</v>
      </c>
      <c r="I8966" t="s">
        <v>21</v>
      </c>
    </row>
    <row r="8967" spans="1:9" x14ac:dyDescent="0.25">
      <c r="A8967">
        <v>20140430</v>
      </c>
      <c r="B8967" t="str">
        <f t="shared" si="521"/>
        <v>115532</v>
      </c>
      <c r="C8967" t="str">
        <f t="shared" si="522"/>
        <v>80825</v>
      </c>
      <c r="D8967" t="s">
        <v>747</v>
      </c>
      <c r="E8967">
        <v>320.88</v>
      </c>
      <c r="F8967">
        <v>20140428</v>
      </c>
      <c r="G8967" t="s">
        <v>756</v>
      </c>
      <c r="H8967" t="s">
        <v>749</v>
      </c>
      <c r="I8967" t="s">
        <v>21</v>
      </c>
    </row>
    <row r="8968" spans="1:9" x14ac:dyDescent="0.25">
      <c r="A8968">
        <v>20140430</v>
      </c>
      <c r="B8968" t="str">
        <f t="shared" si="521"/>
        <v>115532</v>
      </c>
      <c r="C8968" t="str">
        <f t="shared" si="522"/>
        <v>80825</v>
      </c>
      <c r="D8968" t="s">
        <v>747</v>
      </c>
      <c r="E8968">
        <v>106.95</v>
      </c>
      <c r="F8968">
        <v>20140428</v>
      </c>
      <c r="G8968" t="s">
        <v>757</v>
      </c>
      <c r="H8968" t="s">
        <v>749</v>
      </c>
      <c r="I8968" t="s">
        <v>21</v>
      </c>
    </row>
    <row r="8969" spans="1:9" x14ac:dyDescent="0.25">
      <c r="A8969">
        <v>20140430</v>
      </c>
      <c r="B8969" t="str">
        <f t="shared" si="521"/>
        <v>115532</v>
      </c>
      <c r="C8969" t="str">
        <f t="shared" si="522"/>
        <v>80825</v>
      </c>
      <c r="D8969" t="s">
        <v>747</v>
      </c>
      <c r="E8969">
        <v>424.58</v>
      </c>
      <c r="F8969">
        <v>20140428</v>
      </c>
      <c r="G8969" t="s">
        <v>1175</v>
      </c>
      <c r="H8969" t="s">
        <v>749</v>
      </c>
      <c r="I8969" t="s">
        <v>21</v>
      </c>
    </row>
    <row r="8970" spans="1:9" x14ac:dyDescent="0.25">
      <c r="A8970">
        <v>20140430</v>
      </c>
      <c r="B8970" t="str">
        <f t="shared" si="521"/>
        <v>115532</v>
      </c>
      <c r="C8970" t="str">
        <f t="shared" si="522"/>
        <v>80825</v>
      </c>
      <c r="D8970" t="s">
        <v>747</v>
      </c>
      <c r="E8970">
        <v>106.95</v>
      </c>
      <c r="F8970">
        <v>20140428</v>
      </c>
      <c r="G8970" t="s">
        <v>544</v>
      </c>
      <c r="H8970" t="s">
        <v>749</v>
      </c>
      <c r="I8970" t="s">
        <v>21</v>
      </c>
    </row>
    <row r="8971" spans="1:9" x14ac:dyDescent="0.25">
      <c r="A8971">
        <v>20140430</v>
      </c>
      <c r="B8971" t="str">
        <f t="shared" si="521"/>
        <v>115532</v>
      </c>
      <c r="C8971" t="str">
        <f t="shared" si="522"/>
        <v>80825</v>
      </c>
      <c r="D8971" t="s">
        <v>747</v>
      </c>
      <c r="E8971">
        <v>106.95</v>
      </c>
      <c r="F8971">
        <v>20140428</v>
      </c>
      <c r="G8971" t="s">
        <v>545</v>
      </c>
      <c r="H8971" t="s">
        <v>749</v>
      </c>
      <c r="I8971" t="s">
        <v>21</v>
      </c>
    </row>
    <row r="8972" spans="1:9" x14ac:dyDescent="0.25">
      <c r="A8972">
        <v>20140430</v>
      </c>
      <c r="B8972" t="str">
        <f t="shared" si="521"/>
        <v>115532</v>
      </c>
      <c r="C8972" t="str">
        <f t="shared" si="522"/>
        <v>80825</v>
      </c>
      <c r="D8972" t="s">
        <v>747</v>
      </c>
      <c r="E8972">
        <v>345.9</v>
      </c>
      <c r="F8972">
        <v>20140428</v>
      </c>
      <c r="G8972" t="s">
        <v>1176</v>
      </c>
      <c r="H8972" t="s">
        <v>749</v>
      </c>
      <c r="I8972" t="s">
        <v>21</v>
      </c>
    </row>
    <row r="8973" spans="1:9" x14ac:dyDescent="0.25">
      <c r="A8973">
        <v>20140508</v>
      </c>
      <c r="B8973" t="str">
        <f>"115533"</f>
        <v>115533</v>
      </c>
      <c r="C8973" t="str">
        <f>"87270"</f>
        <v>87270</v>
      </c>
      <c r="D8973" t="s">
        <v>4171</v>
      </c>
      <c r="E8973" s="1">
        <v>1350</v>
      </c>
      <c r="F8973">
        <v>20140501</v>
      </c>
      <c r="G8973" t="s">
        <v>174</v>
      </c>
      <c r="H8973" t="s">
        <v>4172</v>
      </c>
      <c r="I8973" t="s">
        <v>25</v>
      </c>
    </row>
    <row r="8974" spans="1:9" x14ac:dyDescent="0.25">
      <c r="A8974">
        <v>20140508</v>
      </c>
      <c r="B8974" t="str">
        <f>"115534"</f>
        <v>115534</v>
      </c>
      <c r="C8974" t="str">
        <f>"86997"</f>
        <v>86997</v>
      </c>
      <c r="D8974" t="s">
        <v>2098</v>
      </c>
      <c r="E8974" s="1">
        <v>1306.69</v>
      </c>
      <c r="F8974">
        <v>20140501</v>
      </c>
      <c r="G8974" t="s">
        <v>3820</v>
      </c>
      <c r="H8974" t="s">
        <v>414</v>
      </c>
      <c r="I8974" t="s">
        <v>21</v>
      </c>
    </row>
    <row r="8975" spans="1:9" x14ac:dyDescent="0.25">
      <c r="A8975">
        <v>20140508</v>
      </c>
      <c r="B8975" t="str">
        <f>"115534"</f>
        <v>115534</v>
      </c>
      <c r="C8975" t="str">
        <f>"86997"</f>
        <v>86997</v>
      </c>
      <c r="D8975" t="s">
        <v>2098</v>
      </c>
      <c r="E8975">
        <v>147.84</v>
      </c>
      <c r="F8975">
        <v>20140507</v>
      </c>
      <c r="G8975" t="s">
        <v>3820</v>
      </c>
      <c r="H8975" t="s">
        <v>414</v>
      </c>
      <c r="I8975" t="s">
        <v>21</v>
      </c>
    </row>
    <row r="8976" spans="1:9" x14ac:dyDescent="0.25">
      <c r="A8976">
        <v>20140508</v>
      </c>
      <c r="B8976" t="str">
        <f>"115534"</f>
        <v>115534</v>
      </c>
      <c r="C8976" t="str">
        <f>"86997"</f>
        <v>86997</v>
      </c>
      <c r="D8976" t="s">
        <v>2098</v>
      </c>
      <c r="E8976">
        <v>-4.4000000000000004</v>
      </c>
      <c r="F8976">
        <v>20140508</v>
      </c>
      <c r="G8976" t="s">
        <v>3820</v>
      </c>
      <c r="H8976" t="s">
        <v>414</v>
      </c>
      <c r="I8976" t="s">
        <v>21</v>
      </c>
    </row>
    <row r="8977" spans="1:9" x14ac:dyDescent="0.25">
      <c r="A8977">
        <v>20140508</v>
      </c>
      <c r="B8977" t="str">
        <f>"115534"</f>
        <v>115534</v>
      </c>
      <c r="C8977" t="str">
        <f>"86997"</f>
        <v>86997</v>
      </c>
      <c r="D8977" t="s">
        <v>2098</v>
      </c>
      <c r="E8977">
        <v>-164.62</v>
      </c>
      <c r="F8977">
        <v>20140508</v>
      </c>
      <c r="G8977" t="s">
        <v>3820</v>
      </c>
      <c r="H8977" t="s">
        <v>414</v>
      </c>
      <c r="I8977" t="s">
        <v>21</v>
      </c>
    </row>
    <row r="8978" spans="1:9" x14ac:dyDescent="0.25">
      <c r="A8978">
        <v>20140508</v>
      </c>
      <c r="B8978" t="str">
        <f>"115535"</f>
        <v>115535</v>
      </c>
      <c r="C8978" t="str">
        <f>"86348"</f>
        <v>86348</v>
      </c>
      <c r="D8978" t="s">
        <v>4173</v>
      </c>
      <c r="E8978">
        <v>225</v>
      </c>
      <c r="F8978">
        <v>20140505</v>
      </c>
      <c r="G8978" t="s">
        <v>3627</v>
      </c>
      <c r="H8978" t="s">
        <v>4174</v>
      </c>
      <c r="I8978" t="s">
        <v>21</v>
      </c>
    </row>
    <row r="8979" spans="1:9" x14ac:dyDescent="0.25">
      <c r="A8979">
        <v>20140508</v>
      </c>
      <c r="B8979" t="str">
        <f t="shared" ref="B8979:B8986" si="523">"115536"</f>
        <v>115536</v>
      </c>
      <c r="C8979" t="str">
        <f t="shared" ref="C8979:C8986" si="524">"01890"</f>
        <v>01890</v>
      </c>
      <c r="D8979" t="s">
        <v>447</v>
      </c>
      <c r="E8979">
        <v>20.89</v>
      </c>
      <c r="F8979">
        <v>20140501</v>
      </c>
      <c r="G8979" t="s">
        <v>1338</v>
      </c>
      <c r="H8979" t="s">
        <v>414</v>
      </c>
      <c r="I8979" t="s">
        <v>21</v>
      </c>
    </row>
    <row r="8980" spans="1:9" x14ac:dyDescent="0.25">
      <c r="A8980">
        <v>20140508</v>
      </c>
      <c r="B8980" t="str">
        <f t="shared" si="523"/>
        <v>115536</v>
      </c>
      <c r="C8980" t="str">
        <f t="shared" si="524"/>
        <v>01890</v>
      </c>
      <c r="D8980" t="s">
        <v>447</v>
      </c>
      <c r="E8980">
        <v>381.75</v>
      </c>
      <c r="F8980">
        <v>20140501</v>
      </c>
      <c r="G8980" t="s">
        <v>1338</v>
      </c>
      <c r="H8980" t="s">
        <v>414</v>
      </c>
      <c r="I8980" t="s">
        <v>21</v>
      </c>
    </row>
    <row r="8981" spans="1:9" x14ac:dyDescent="0.25">
      <c r="A8981">
        <v>20140508</v>
      </c>
      <c r="B8981" t="str">
        <f t="shared" si="523"/>
        <v>115536</v>
      </c>
      <c r="C8981" t="str">
        <f t="shared" si="524"/>
        <v>01890</v>
      </c>
      <c r="D8981" t="s">
        <v>447</v>
      </c>
      <c r="E8981">
        <v>40.6</v>
      </c>
      <c r="F8981">
        <v>20140501</v>
      </c>
      <c r="G8981" t="s">
        <v>448</v>
      </c>
      <c r="H8981" t="s">
        <v>414</v>
      </c>
      <c r="I8981" t="s">
        <v>21</v>
      </c>
    </row>
    <row r="8982" spans="1:9" x14ac:dyDescent="0.25">
      <c r="A8982">
        <v>20140508</v>
      </c>
      <c r="B8982" t="str">
        <f t="shared" si="523"/>
        <v>115536</v>
      </c>
      <c r="C8982" t="str">
        <f t="shared" si="524"/>
        <v>01890</v>
      </c>
      <c r="D8982" t="s">
        <v>447</v>
      </c>
      <c r="E8982">
        <v>123.98</v>
      </c>
      <c r="F8982">
        <v>20140501</v>
      </c>
      <c r="G8982" t="s">
        <v>448</v>
      </c>
      <c r="H8982" t="s">
        <v>414</v>
      </c>
      <c r="I8982" t="s">
        <v>21</v>
      </c>
    </row>
    <row r="8983" spans="1:9" x14ac:dyDescent="0.25">
      <c r="A8983">
        <v>20140508</v>
      </c>
      <c r="B8983" t="str">
        <f t="shared" si="523"/>
        <v>115536</v>
      </c>
      <c r="C8983" t="str">
        <f t="shared" si="524"/>
        <v>01890</v>
      </c>
      <c r="D8983" t="s">
        <v>447</v>
      </c>
      <c r="E8983">
        <v>365.31</v>
      </c>
      <c r="F8983">
        <v>20140501</v>
      </c>
      <c r="G8983" t="s">
        <v>448</v>
      </c>
      <c r="H8983" t="s">
        <v>414</v>
      </c>
      <c r="I8983" t="s">
        <v>21</v>
      </c>
    </row>
    <row r="8984" spans="1:9" x14ac:dyDescent="0.25">
      <c r="A8984">
        <v>20140508</v>
      </c>
      <c r="B8984" t="str">
        <f t="shared" si="523"/>
        <v>115536</v>
      </c>
      <c r="C8984" t="str">
        <f t="shared" si="524"/>
        <v>01890</v>
      </c>
      <c r="D8984" t="s">
        <v>447</v>
      </c>
      <c r="E8984">
        <v>34.409999999999997</v>
      </c>
      <c r="F8984">
        <v>20140501</v>
      </c>
      <c r="G8984" t="s">
        <v>392</v>
      </c>
      <c r="H8984" t="s">
        <v>414</v>
      </c>
      <c r="I8984" t="s">
        <v>21</v>
      </c>
    </row>
    <row r="8985" spans="1:9" x14ac:dyDescent="0.25">
      <c r="A8985">
        <v>20140508</v>
      </c>
      <c r="B8985" t="str">
        <f t="shared" si="523"/>
        <v>115536</v>
      </c>
      <c r="C8985" t="str">
        <f t="shared" si="524"/>
        <v>01890</v>
      </c>
      <c r="D8985" t="s">
        <v>447</v>
      </c>
      <c r="E8985">
        <v>106</v>
      </c>
      <c r="F8985">
        <v>20140506</v>
      </c>
      <c r="G8985" t="s">
        <v>392</v>
      </c>
      <c r="H8985" t="s">
        <v>414</v>
      </c>
      <c r="I8985" t="s">
        <v>21</v>
      </c>
    </row>
    <row r="8986" spans="1:9" x14ac:dyDescent="0.25">
      <c r="A8986">
        <v>20140508</v>
      </c>
      <c r="B8986" t="str">
        <f t="shared" si="523"/>
        <v>115536</v>
      </c>
      <c r="C8986" t="str">
        <f t="shared" si="524"/>
        <v>01890</v>
      </c>
      <c r="D8986" t="s">
        <v>447</v>
      </c>
      <c r="E8986">
        <v>74.73</v>
      </c>
      <c r="F8986">
        <v>20140501</v>
      </c>
      <c r="G8986" t="s">
        <v>1426</v>
      </c>
      <c r="H8986" t="s">
        <v>414</v>
      </c>
      <c r="I8986" t="s">
        <v>38</v>
      </c>
    </row>
    <row r="8987" spans="1:9" x14ac:dyDescent="0.25">
      <c r="A8987">
        <v>20140508</v>
      </c>
      <c r="B8987" t="str">
        <f>"115537"</f>
        <v>115537</v>
      </c>
      <c r="C8987" t="str">
        <f>"87850"</f>
        <v>87850</v>
      </c>
      <c r="D8987" t="s">
        <v>4175</v>
      </c>
      <c r="E8987">
        <v>173</v>
      </c>
      <c r="F8987">
        <v>20140507</v>
      </c>
      <c r="G8987" t="s">
        <v>1846</v>
      </c>
      <c r="H8987" t="s">
        <v>765</v>
      </c>
      <c r="I8987" t="s">
        <v>63</v>
      </c>
    </row>
    <row r="8988" spans="1:9" x14ac:dyDescent="0.25">
      <c r="A8988">
        <v>20140508</v>
      </c>
      <c r="B8988" t="str">
        <f>"115538"</f>
        <v>115538</v>
      </c>
      <c r="C8988" t="str">
        <f>"52460"</f>
        <v>52460</v>
      </c>
      <c r="D8988" t="s">
        <v>452</v>
      </c>
      <c r="E8988">
        <v>29.72</v>
      </c>
      <c r="F8988">
        <v>20140507</v>
      </c>
      <c r="G8988" t="s">
        <v>145</v>
      </c>
      <c r="H8988" t="s">
        <v>997</v>
      </c>
      <c r="I8988" t="s">
        <v>38</v>
      </c>
    </row>
    <row r="8989" spans="1:9" x14ac:dyDescent="0.25">
      <c r="A8989">
        <v>20140508</v>
      </c>
      <c r="B8989" t="str">
        <f>"115539"</f>
        <v>115539</v>
      </c>
      <c r="C8989" t="str">
        <f>"86961"</f>
        <v>86961</v>
      </c>
      <c r="D8989" t="s">
        <v>1349</v>
      </c>
      <c r="E8989">
        <v>250</v>
      </c>
      <c r="F8989">
        <v>20140506</v>
      </c>
      <c r="G8989" t="s">
        <v>200</v>
      </c>
      <c r="H8989" t="s">
        <v>799</v>
      </c>
      <c r="I8989" t="s">
        <v>38</v>
      </c>
    </row>
    <row r="8990" spans="1:9" x14ac:dyDescent="0.25">
      <c r="A8990">
        <v>20140508</v>
      </c>
      <c r="B8990" t="str">
        <f>"115540"</f>
        <v>115540</v>
      </c>
      <c r="C8990" t="str">
        <f>"84580"</f>
        <v>84580</v>
      </c>
      <c r="D8990" t="s">
        <v>4176</v>
      </c>
      <c r="E8990">
        <v>244.64</v>
      </c>
      <c r="F8990">
        <v>20140507</v>
      </c>
      <c r="G8990" t="s">
        <v>1924</v>
      </c>
      <c r="H8990" t="s">
        <v>4177</v>
      </c>
      <c r="I8990" t="s">
        <v>21</v>
      </c>
    </row>
    <row r="8991" spans="1:9" x14ac:dyDescent="0.25">
      <c r="A8991">
        <v>20140508</v>
      </c>
      <c r="B8991" t="str">
        <f>"115540"</f>
        <v>115540</v>
      </c>
      <c r="C8991" t="str">
        <f>"84580"</f>
        <v>84580</v>
      </c>
      <c r="D8991" t="s">
        <v>4176</v>
      </c>
      <c r="E8991">
        <v>220.5</v>
      </c>
      <c r="F8991">
        <v>20140507</v>
      </c>
      <c r="G8991" t="s">
        <v>1924</v>
      </c>
      <c r="H8991" t="s">
        <v>4178</v>
      </c>
      <c r="I8991" t="s">
        <v>21</v>
      </c>
    </row>
    <row r="8992" spans="1:9" x14ac:dyDescent="0.25">
      <c r="A8992">
        <v>20140508</v>
      </c>
      <c r="B8992" t="str">
        <f>"115541"</f>
        <v>115541</v>
      </c>
      <c r="C8992" t="str">
        <f>"05800"</f>
        <v>05800</v>
      </c>
      <c r="D8992" t="s">
        <v>998</v>
      </c>
      <c r="E8992" s="1">
        <v>13740</v>
      </c>
      <c r="F8992">
        <v>20140502</v>
      </c>
      <c r="G8992" t="s">
        <v>840</v>
      </c>
      <c r="H8992" t="s">
        <v>4179</v>
      </c>
      <c r="I8992" t="s">
        <v>21</v>
      </c>
    </row>
    <row r="8993" spans="1:9" x14ac:dyDescent="0.25">
      <c r="A8993">
        <v>20140508</v>
      </c>
      <c r="B8993" t="str">
        <f>"115542"</f>
        <v>115542</v>
      </c>
      <c r="C8993" t="str">
        <f>"83932"</f>
        <v>83932</v>
      </c>
      <c r="D8993" t="s">
        <v>3269</v>
      </c>
      <c r="E8993">
        <v>28.35</v>
      </c>
      <c r="F8993">
        <v>20140505</v>
      </c>
      <c r="G8993" t="s">
        <v>410</v>
      </c>
      <c r="H8993" t="s">
        <v>411</v>
      </c>
      <c r="I8993" t="s">
        <v>12</v>
      </c>
    </row>
    <row r="8994" spans="1:9" x14ac:dyDescent="0.25">
      <c r="A8994">
        <v>20140508</v>
      </c>
      <c r="B8994" t="str">
        <f>"115543"</f>
        <v>115543</v>
      </c>
      <c r="C8994" t="str">
        <f>"00225"</f>
        <v>00225</v>
      </c>
      <c r="D8994" t="s">
        <v>4180</v>
      </c>
      <c r="E8994">
        <v>985</v>
      </c>
      <c r="F8994">
        <v>20140506</v>
      </c>
      <c r="G8994" t="s">
        <v>3826</v>
      </c>
      <c r="H8994" t="s">
        <v>388</v>
      </c>
      <c r="I8994" t="s">
        <v>21</v>
      </c>
    </row>
    <row r="8995" spans="1:9" x14ac:dyDescent="0.25">
      <c r="A8995">
        <v>20140508</v>
      </c>
      <c r="B8995" t="str">
        <f>"115544"</f>
        <v>115544</v>
      </c>
      <c r="C8995" t="str">
        <f>"00500"</f>
        <v>00500</v>
      </c>
      <c r="D8995" t="s">
        <v>486</v>
      </c>
      <c r="E8995" s="1">
        <v>3248.49</v>
      </c>
      <c r="F8995">
        <v>20140505</v>
      </c>
      <c r="G8995" t="s">
        <v>1705</v>
      </c>
      <c r="H8995" t="s">
        <v>488</v>
      </c>
      <c r="I8995" t="s">
        <v>21</v>
      </c>
    </row>
    <row r="8996" spans="1:9" x14ac:dyDescent="0.25">
      <c r="A8996">
        <v>20140508</v>
      </c>
      <c r="B8996" t="str">
        <f t="shared" ref="B8996:B9004" si="525">"115545"</f>
        <v>115545</v>
      </c>
      <c r="C8996" t="str">
        <f t="shared" ref="C8996:C9004" si="526">"00255"</f>
        <v>00255</v>
      </c>
      <c r="D8996" t="s">
        <v>489</v>
      </c>
      <c r="E8996" s="1">
        <v>3454.6</v>
      </c>
      <c r="F8996">
        <v>20140501</v>
      </c>
      <c r="G8996" t="s">
        <v>1351</v>
      </c>
      <c r="H8996" t="s">
        <v>488</v>
      </c>
      <c r="I8996" t="s">
        <v>21</v>
      </c>
    </row>
    <row r="8997" spans="1:9" x14ac:dyDescent="0.25">
      <c r="A8997">
        <v>20140508</v>
      </c>
      <c r="B8997" t="str">
        <f t="shared" si="525"/>
        <v>115545</v>
      </c>
      <c r="C8997" t="str">
        <f t="shared" si="526"/>
        <v>00255</v>
      </c>
      <c r="D8997" t="s">
        <v>489</v>
      </c>
      <c r="E8997">
        <v>80</v>
      </c>
      <c r="F8997">
        <v>20140501</v>
      </c>
      <c r="G8997" t="s">
        <v>1183</v>
      </c>
      <c r="H8997" t="s">
        <v>488</v>
      </c>
      <c r="I8997" t="s">
        <v>21</v>
      </c>
    </row>
    <row r="8998" spans="1:9" x14ac:dyDescent="0.25">
      <c r="A8998">
        <v>20140508</v>
      </c>
      <c r="B8998" t="str">
        <f t="shared" si="525"/>
        <v>115545</v>
      </c>
      <c r="C8998" t="str">
        <f t="shared" si="526"/>
        <v>00255</v>
      </c>
      <c r="D8998" t="s">
        <v>489</v>
      </c>
      <c r="E8998">
        <v>951.67</v>
      </c>
      <c r="F8998">
        <v>20140501</v>
      </c>
      <c r="G8998" t="s">
        <v>1183</v>
      </c>
      <c r="H8998" t="s">
        <v>488</v>
      </c>
      <c r="I8998" t="s">
        <v>21</v>
      </c>
    </row>
    <row r="8999" spans="1:9" x14ac:dyDescent="0.25">
      <c r="A8999">
        <v>20140508</v>
      </c>
      <c r="B8999" t="str">
        <f t="shared" si="525"/>
        <v>115545</v>
      </c>
      <c r="C8999" t="str">
        <f t="shared" si="526"/>
        <v>00255</v>
      </c>
      <c r="D8999" t="s">
        <v>489</v>
      </c>
      <c r="E8999">
        <v>551.83000000000004</v>
      </c>
      <c r="F8999">
        <v>20140506</v>
      </c>
      <c r="G8999" t="s">
        <v>490</v>
      </c>
      <c r="H8999" t="s">
        <v>488</v>
      </c>
      <c r="I8999" t="s">
        <v>21</v>
      </c>
    </row>
    <row r="9000" spans="1:9" x14ac:dyDescent="0.25">
      <c r="A9000">
        <v>20140508</v>
      </c>
      <c r="B9000" t="str">
        <f t="shared" si="525"/>
        <v>115545</v>
      </c>
      <c r="C9000" t="str">
        <f t="shared" si="526"/>
        <v>00255</v>
      </c>
      <c r="D9000" t="s">
        <v>489</v>
      </c>
      <c r="E9000">
        <v>61.27</v>
      </c>
      <c r="F9000">
        <v>20140506</v>
      </c>
      <c r="G9000" t="s">
        <v>490</v>
      </c>
      <c r="H9000" t="s">
        <v>488</v>
      </c>
      <c r="I9000" t="s">
        <v>21</v>
      </c>
    </row>
    <row r="9001" spans="1:9" x14ac:dyDescent="0.25">
      <c r="A9001">
        <v>20140508</v>
      </c>
      <c r="B9001" t="str">
        <f t="shared" si="525"/>
        <v>115545</v>
      </c>
      <c r="C9001" t="str">
        <f t="shared" si="526"/>
        <v>00255</v>
      </c>
      <c r="D9001" t="s">
        <v>489</v>
      </c>
      <c r="E9001">
        <v>508.15</v>
      </c>
      <c r="F9001">
        <v>20140501</v>
      </c>
      <c r="G9001" t="s">
        <v>1184</v>
      </c>
      <c r="H9001" t="s">
        <v>488</v>
      </c>
      <c r="I9001" t="s">
        <v>21</v>
      </c>
    </row>
    <row r="9002" spans="1:9" x14ac:dyDescent="0.25">
      <c r="A9002">
        <v>20140508</v>
      </c>
      <c r="B9002" t="str">
        <f t="shared" si="525"/>
        <v>115545</v>
      </c>
      <c r="C9002" t="str">
        <f t="shared" si="526"/>
        <v>00255</v>
      </c>
      <c r="D9002" t="s">
        <v>489</v>
      </c>
      <c r="E9002">
        <v>163.68</v>
      </c>
      <c r="F9002">
        <v>20140506</v>
      </c>
      <c r="G9002" t="s">
        <v>492</v>
      </c>
      <c r="H9002" t="s">
        <v>488</v>
      </c>
      <c r="I9002" t="s">
        <v>21</v>
      </c>
    </row>
    <row r="9003" spans="1:9" x14ac:dyDescent="0.25">
      <c r="A9003">
        <v>20140508</v>
      </c>
      <c r="B9003" t="str">
        <f t="shared" si="525"/>
        <v>115545</v>
      </c>
      <c r="C9003" t="str">
        <f t="shared" si="526"/>
        <v>00255</v>
      </c>
      <c r="D9003" t="s">
        <v>489</v>
      </c>
      <c r="E9003">
        <v>172.79</v>
      </c>
      <c r="F9003">
        <v>20140506</v>
      </c>
      <c r="G9003" t="s">
        <v>492</v>
      </c>
      <c r="H9003" t="s">
        <v>488</v>
      </c>
      <c r="I9003" t="s">
        <v>21</v>
      </c>
    </row>
    <row r="9004" spans="1:9" x14ac:dyDescent="0.25">
      <c r="A9004">
        <v>20140508</v>
      </c>
      <c r="B9004" t="str">
        <f t="shared" si="525"/>
        <v>115545</v>
      </c>
      <c r="C9004" t="str">
        <f t="shared" si="526"/>
        <v>00255</v>
      </c>
      <c r="D9004" t="s">
        <v>489</v>
      </c>
      <c r="E9004">
        <v>171.68</v>
      </c>
      <c r="F9004">
        <v>20140501</v>
      </c>
      <c r="G9004" t="s">
        <v>1352</v>
      </c>
      <c r="H9004" t="s">
        <v>488</v>
      </c>
      <c r="I9004" t="s">
        <v>21</v>
      </c>
    </row>
    <row r="9005" spans="1:9" x14ac:dyDescent="0.25">
      <c r="A9005">
        <v>20140508</v>
      </c>
      <c r="B9005" t="str">
        <f>"115546"</f>
        <v>115546</v>
      </c>
      <c r="C9005" t="str">
        <f>"86456"</f>
        <v>86456</v>
      </c>
      <c r="D9005" t="s">
        <v>495</v>
      </c>
      <c r="E9005">
        <v>297.75</v>
      </c>
      <c r="F9005">
        <v>20140506</v>
      </c>
      <c r="G9005" t="s">
        <v>413</v>
      </c>
      <c r="H9005" t="s">
        <v>414</v>
      </c>
      <c r="I9005" t="s">
        <v>21</v>
      </c>
    </row>
    <row r="9006" spans="1:9" x14ac:dyDescent="0.25">
      <c r="A9006">
        <v>20140508</v>
      </c>
      <c r="B9006" t="str">
        <f>"115546"</f>
        <v>115546</v>
      </c>
      <c r="C9006" t="str">
        <f>"86456"</f>
        <v>86456</v>
      </c>
      <c r="D9006" t="s">
        <v>495</v>
      </c>
      <c r="E9006">
        <v>73.36</v>
      </c>
      <c r="F9006">
        <v>20140506</v>
      </c>
      <c r="G9006" t="s">
        <v>415</v>
      </c>
      <c r="H9006" t="s">
        <v>414</v>
      </c>
      <c r="I9006" t="s">
        <v>21</v>
      </c>
    </row>
    <row r="9007" spans="1:9" x14ac:dyDescent="0.25">
      <c r="A9007">
        <v>20140508</v>
      </c>
      <c r="B9007" t="str">
        <f>"115546"</f>
        <v>115546</v>
      </c>
      <c r="C9007" t="str">
        <f>"86456"</f>
        <v>86456</v>
      </c>
      <c r="D9007" t="s">
        <v>495</v>
      </c>
      <c r="E9007">
        <v>43.98</v>
      </c>
      <c r="F9007">
        <v>20140506</v>
      </c>
      <c r="G9007" t="s">
        <v>631</v>
      </c>
      <c r="H9007" t="s">
        <v>414</v>
      </c>
      <c r="I9007" t="s">
        <v>21</v>
      </c>
    </row>
    <row r="9008" spans="1:9" x14ac:dyDescent="0.25">
      <c r="A9008">
        <v>20140508</v>
      </c>
      <c r="B9008" t="str">
        <f>"115546"</f>
        <v>115546</v>
      </c>
      <c r="C9008" t="str">
        <f>"86456"</f>
        <v>86456</v>
      </c>
      <c r="D9008" t="s">
        <v>495</v>
      </c>
      <c r="E9008">
        <v>70.36</v>
      </c>
      <c r="F9008">
        <v>20140506</v>
      </c>
      <c r="G9008" t="s">
        <v>392</v>
      </c>
      <c r="H9008" t="s">
        <v>414</v>
      </c>
      <c r="I9008" t="s">
        <v>21</v>
      </c>
    </row>
    <row r="9009" spans="1:9" x14ac:dyDescent="0.25">
      <c r="A9009">
        <v>20140508</v>
      </c>
      <c r="B9009" t="str">
        <f>"115546"</f>
        <v>115546</v>
      </c>
      <c r="C9009" t="str">
        <f>"86456"</f>
        <v>86456</v>
      </c>
      <c r="D9009" t="s">
        <v>495</v>
      </c>
      <c r="E9009">
        <v>285.74</v>
      </c>
      <c r="F9009">
        <v>20140506</v>
      </c>
      <c r="G9009" t="s">
        <v>3820</v>
      </c>
      <c r="H9009" t="s">
        <v>414</v>
      </c>
      <c r="I9009" t="s">
        <v>21</v>
      </c>
    </row>
    <row r="9010" spans="1:9" x14ac:dyDescent="0.25">
      <c r="A9010">
        <v>20140508</v>
      </c>
      <c r="B9010" t="str">
        <f>"115547"</f>
        <v>115547</v>
      </c>
      <c r="C9010" t="str">
        <f>"82826"</f>
        <v>82826</v>
      </c>
      <c r="D9010" t="s">
        <v>2615</v>
      </c>
      <c r="E9010" s="1">
        <v>1789.89</v>
      </c>
      <c r="F9010">
        <v>20140507</v>
      </c>
      <c r="G9010" t="s">
        <v>413</v>
      </c>
      <c r="H9010" t="s">
        <v>4181</v>
      </c>
      <c r="I9010" t="s">
        <v>21</v>
      </c>
    </row>
    <row r="9011" spans="1:9" x14ac:dyDescent="0.25">
      <c r="A9011">
        <v>20140508</v>
      </c>
      <c r="B9011" t="str">
        <f>"115548"</f>
        <v>115548</v>
      </c>
      <c r="C9011" t="str">
        <f>"86699"</f>
        <v>86699</v>
      </c>
      <c r="D9011" t="s">
        <v>3270</v>
      </c>
      <c r="E9011">
        <v>130</v>
      </c>
      <c r="F9011">
        <v>20140507</v>
      </c>
      <c r="G9011" t="s">
        <v>1759</v>
      </c>
      <c r="H9011" t="s">
        <v>357</v>
      </c>
      <c r="I9011" t="s">
        <v>61</v>
      </c>
    </row>
    <row r="9012" spans="1:9" x14ac:dyDescent="0.25">
      <c r="A9012">
        <v>20140508</v>
      </c>
      <c r="B9012" t="str">
        <f>"115549"</f>
        <v>115549</v>
      </c>
      <c r="C9012" t="str">
        <f>"09600"</f>
        <v>09600</v>
      </c>
      <c r="D9012" t="s">
        <v>497</v>
      </c>
      <c r="E9012">
        <v>889.9</v>
      </c>
      <c r="F9012">
        <v>20140506</v>
      </c>
      <c r="G9012" t="s">
        <v>498</v>
      </c>
      <c r="H9012" t="s">
        <v>499</v>
      </c>
      <c r="I9012" t="s">
        <v>21</v>
      </c>
    </row>
    <row r="9013" spans="1:9" x14ac:dyDescent="0.25">
      <c r="A9013">
        <v>20140508</v>
      </c>
      <c r="B9013" t="str">
        <f>"115550"</f>
        <v>115550</v>
      </c>
      <c r="C9013" t="str">
        <f>"00042"</f>
        <v>00042</v>
      </c>
      <c r="D9013" t="s">
        <v>2617</v>
      </c>
      <c r="E9013">
        <v>134</v>
      </c>
      <c r="F9013">
        <v>20140501</v>
      </c>
      <c r="G9013" t="s">
        <v>1193</v>
      </c>
      <c r="H9013" t="s">
        <v>3365</v>
      </c>
      <c r="I9013" t="s">
        <v>25</v>
      </c>
    </row>
    <row r="9014" spans="1:9" x14ac:dyDescent="0.25">
      <c r="A9014">
        <v>20140508</v>
      </c>
      <c r="B9014" t="str">
        <f>"115550"</f>
        <v>115550</v>
      </c>
      <c r="C9014" t="str">
        <f>"00042"</f>
        <v>00042</v>
      </c>
      <c r="D9014" t="s">
        <v>2617</v>
      </c>
      <c r="E9014">
        <v>45</v>
      </c>
      <c r="F9014">
        <v>20140501</v>
      </c>
      <c r="G9014" t="s">
        <v>1193</v>
      </c>
      <c r="H9014" t="s">
        <v>2618</v>
      </c>
      <c r="I9014" t="s">
        <v>25</v>
      </c>
    </row>
    <row r="9015" spans="1:9" x14ac:dyDescent="0.25">
      <c r="A9015">
        <v>20140508</v>
      </c>
      <c r="B9015" t="str">
        <f>"115551"</f>
        <v>115551</v>
      </c>
      <c r="C9015" t="str">
        <f>"84579"</f>
        <v>84579</v>
      </c>
      <c r="D9015" t="s">
        <v>4182</v>
      </c>
      <c r="E9015">
        <v>656.87</v>
      </c>
      <c r="F9015">
        <v>20140507</v>
      </c>
      <c r="G9015" t="s">
        <v>2642</v>
      </c>
      <c r="H9015" t="s">
        <v>4183</v>
      </c>
      <c r="I9015" t="s">
        <v>38</v>
      </c>
    </row>
    <row r="9016" spans="1:9" x14ac:dyDescent="0.25">
      <c r="A9016">
        <v>20140508</v>
      </c>
      <c r="B9016" t="str">
        <f>"115552"</f>
        <v>115552</v>
      </c>
      <c r="C9016" t="str">
        <f>"11570"</f>
        <v>11570</v>
      </c>
      <c r="D9016" t="s">
        <v>1354</v>
      </c>
      <c r="E9016">
        <v>50</v>
      </c>
      <c r="F9016">
        <v>20140501</v>
      </c>
      <c r="G9016" t="s">
        <v>511</v>
      </c>
      <c r="H9016" t="s">
        <v>1355</v>
      </c>
      <c r="I9016" t="s">
        <v>21</v>
      </c>
    </row>
    <row r="9017" spans="1:9" x14ac:dyDescent="0.25">
      <c r="A9017">
        <v>20140508</v>
      </c>
      <c r="B9017" t="str">
        <f>"115553"</f>
        <v>115553</v>
      </c>
      <c r="C9017" t="str">
        <f>"86329"</f>
        <v>86329</v>
      </c>
      <c r="D9017" t="s">
        <v>4184</v>
      </c>
      <c r="E9017">
        <v>109</v>
      </c>
      <c r="F9017">
        <v>20140501</v>
      </c>
      <c r="G9017" t="s">
        <v>1846</v>
      </c>
      <c r="H9017" t="s">
        <v>765</v>
      </c>
      <c r="I9017" t="s">
        <v>63</v>
      </c>
    </row>
    <row r="9018" spans="1:9" x14ac:dyDescent="0.25">
      <c r="A9018">
        <v>20140508</v>
      </c>
      <c r="B9018" t="str">
        <f>"115554"</f>
        <v>115554</v>
      </c>
      <c r="C9018" t="str">
        <f>"84001"</f>
        <v>84001</v>
      </c>
      <c r="D9018" t="s">
        <v>791</v>
      </c>
      <c r="E9018">
        <v>25</v>
      </c>
      <c r="F9018">
        <v>20140507</v>
      </c>
      <c r="G9018" t="s">
        <v>1759</v>
      </c>
      <c r="H9018" t="s">
        <v>357</v>
      </c>
      <c r="I9018" t="s">
        <v>61</v>
      </c>
    </row>
    <row r="9019" spans="1:9" x14ac:dyDescent="0.25">
      <c r="A9019">
        <v>20140508</v>
      </c>
      <c r="B9019" t="str">
        <f t="shared" ref="B9019:B9024" si="527">"115555"</f>
        <v>115555</v>
      </c>
      <c r="C9019" t="str">
        <f t="shared" ref="C9019:C9024" si="528">"86533"</f>
        <v>86533</v>
      </c>
      <c r="D9019" t="s">
        <v>505</v>
      </c>
      <c r="E9019">
        <v>57.75</v>
      </c>
      <c r="F9019">
        <v>20140506</v>
      </c>
      <c r="G9019" t="s">
        <v>794</v>
      </c>
      <c r="H9019" t="s">
        <v>656</v>
      </c>
      <c r="I9019" t="s">
        <v>21</v>
      </c>
    </row>
    <row r="9020" spans="1:9" x14ac:dyDescent="0.25">
      <c r="A9020">
        <v>20140508</v>
      </c>
      <c r="B9020" t="str">
        <f t="shared" si="527"/>
        <v>115555</v>
      </c>
      <c r="C9020" t="str">
        <f t="shared" si="528"/>
        <v>86533</v>
      </c>
      <c r="D9020" t="s">
        <v>505</v>
      </c>
      <c r="E9020">
        <v>23.39</v>
      </c>
      <c r="F9020">
        <v>20140506</v>
      </c>
      <c r="G9020" t="s">
        <v>506</v>
      </c>
      <c r="H9020" t="s">
        <v>414</v>
      </c>
      <c r="I9020" t="s">
        <v>21</v>
      </c>
    </row>
    <row r="9021" spans="1:9" x14ac:dyDescent="0.25">
      <c r="A9021">
        <v>20140508</v>
      </c>
      <c r="B9021" t="str">
        <f t="shared" si="527"/>
        <v>115555</v>
      </c>
      <c r="C9021" t="str">
        <f t="shared" si="528"/>
        <v>86533</v>
      </c>
      <c r="D9021" t="s">
        <v>505</v>
      </c>
      <c r="E9021">
        <v>16</v>
      </c>
      <c r="F9021">
        <v>20140506</v>
      </c>
      <c r="G9021" t="s">
        <v>506</v>
      </c>
      <c r="H9021" t="s">
        <v>414</v>
      </c>
      <c r="I9021" t="s">
        <v>21</v>
      </c>
    </row>
    <row r="9022" spans="1:9" x14ac:dyDescent="0.25">
      <c r="A9022">
        <v>20140508</v>
      </c>
      <c r="B9022" t="str">
        <f t="shared" si="527"/>
        <v>115555</v>
      </c>
      <c r="C9022" t="str">
        <f t="shared" si="528"/>
        <v>86533</v>
      </c>
      <c r="D9022" t="s">
        <v>505</v>
      </c>
      <c r="E9022">
        <v>5.97</v>
      </c>
      <c r="F9022">
        <v>20140506</v>
      </c>
      <c r="G9022" t="s">
        <v>2122</v>
      </c>
      <c r="H9022" t="s">
        <v>414</v>
      </c>
      <c r="I9022" t="s">
        <v>21</v>
      </c>
    </row>
    <row r="9023" spans="1:9" x14ac:dyDescent="0.25">
      <c r="A9023">
        <v>20140508</v>
      </c>
      <c r="B9023" t="str">
        <f t="shared" si="527"/>
        <v>115555</v>
      </c>
      <c r="C9023" t="str">
        <f t="shared" si="528"/>
        <v>86533</v>
      </c>
      <c r="D9023" t="s">
        <v>505</v>
      </c>
      <c r="E9023">
        <v>41.39</v>
      </c>
      <c r="F9023">
        <v>20140506</v>
      </c>
      <c r="G9023" t="s">
        <v>4160</v>
      </c>
      <c r="H9023" t="s">
        <v>414</v>
      </c>
      <c r="I9023" t="s">
        <v>21</v>
      </c>
    </row>
    <row r="9024" spans="1:9" x14ac:dyDescent="0.25">
      <c r="A9024">
        <v>20140508</v>
      </c>
      <c r="B9024" t="str">
        <f t="shared" si="527"/>
        <v>115555</v>
      </c>
      <c r="C9024" t="str">
        <f t="shared" si="528"/>
        <v>86533</v>
      </c>
      <c r="D9024" t="s">
        <v>505</v>
      </c>
      <c r="E9024">
        <v>52.62</v>
      </c>
      <c r="F9024">
        <v>20140506</v>
      </c>
      <c r="G9024" t="s">
        <v>4160</v>
      </c>
      <c r="H9024" t="s">
        <v>414</v>
      </c>
      <c r="I9024" t="s">
        <v>21</v>
      </c>
    </row>
    <row r="9025" spans="1:9" x14ac:dyDescent="0.25">
      <c r="A9025">
        <v>20140508</v>
      </c>
      <c r="B9025" t="str">
        <f>"115556"</f>
        <v>115556</v>
      </c>
      <c r="C9025" t="str">
        <f>"10075"</f>
        <v>10075</v>
      </c>
      <c r="D9025" t="s">
        <v>1199</v>
      </c>
      <c r="E9025">
        <v>343.12</v>
      </c>
      <c r="F9025">
        <v>20140502</v>
      </c>
      <c r="G9025" t="s">
        <v>4185</v>
      </c>
      <c r="H9025" t="s">
        <v>4186</v>
      </c>
      <c r="I9025" t="s">
        <v>61</v>
      </c>
    </row>
    <row r="9026" spans="1:9" x14ac:dyDescent="0.25">
      <c r="A9026">
        <v>20140508</v>
      </c>
      <c r="B9026" t="str">
        <f>"115556"</f>
        <v>115556</v>
      </c>
      <c r="C9026" t="str">
        <f>"10075"</f>
        <v>10075</v>
      </c>
      <c r="D9026" t="s">
        <v>1199</v>
      </c>
      <c r="E9026">
        <v>176</v>
      </c>
      <c r="F9026">
        <v>20140502</v>
      </c>
      <c r="G9026" t="s">
        <v>1729</v>
      </c>
      <c r="H9026" t="s">
        <v>4187</v>
      </c>
      <c r="I9026" t="s">
        <v>61</v>
      </c>
    </row>
    <row r="9027" spans="1:9" x14ac:dyDescent="0.25">
      <c r="A9027">
        <v>20140508</v>
      </c>
      <c r="B9027" t="str">
        <f>"115556"</f>
        <v>115556</v>
      </c>
      <c r="C9027" t="str">
        <f>"10075"</f>
        <v>10075</v>
      </c>
      <c r="D9027" t="s">
        <v>1199</v>
      </c>
      <c r="E9027" s="1">
        <v>2300</v>
      </c>
      <c r="F9027">
        <v>20140502</v>
      </c>
      <c r="G9027" t="s">
        <v>769</v>
      </c>
      <c r="H9027" t="s">
        <v>4187</v>
      </c>
      <c r="I9027" t="s">
        <v>61</v>
      </c>
    </row>
    <row r="9028" spans="1:9" x14ac:dyDescent="0.25">
      <c r="A9028">
        <v>20140508</v>
      </c>
      <c r="B9028" t="str">
        <f>"115557"</f>
        <v>115557</v>
      </c>
      <c r="C9028" t="str">
        <f>"86472"</f>
        <v>86472</v>
      </c>
      <c r="D9028" t="s">
        <v>3904</v>
      </c>
      <c r="E9028">
        <v>512</v>
      </c>
      <c r="F9028">
        <v>20140501</v>
      </c>
      <c r="G9028" t="s">
        <v>498</v>
      </c>
      <c r="H9028" t="s">
        <v>499</v>
      </c>
      <c r="I9028" t="s">
        <v>21</v>
      </c>
    </row>
    <row r="9029" spans="1:9" x14ac:dyDescent="0.25">
      <c r="A9029">
        <v>20140508</v>
      </c>
      <c r="B9029" t="str">
        <f>"115558"</f>
        <v>115558</v>
      </c>
      <c r="C9029" t="str">
        <f>"86576"</f>
        <v>86576</v>
      </c>
      <c r="D9029" t="s">
        <v>409</v>
      </c>
      <c r="E9029">
        <v>20.25</v>
      </c>
      <c r="F9029">
        <v>20140505</v>
      </c>
      <c r="G9029" t="s">
        <v>410</v>
      </c>
      <c r="H9029" t="s">
        <v>411</v>
      </c>
      <c r="I9029" t="s">
        <v>12</v>
      </c>
    </row>
    <row r="9030" spans="1:9" x14ac:dyDescent="0.25">
      <c r="A9030">
        <v>20140508</v>
      </c>
      <c r="B9030" t="str">
        <f>"115559"</f>
        <v>115559</v>
      </c>
      <c r="C9030" t="str">
        <f>"83960"</f>
        <v>83960</v>
      </c>
      <c r="D9030" t="s">
        <v>4049</v>
      </c>
      <c r="E9030">
        <v>103.16</v>
      </c>
      <c r="F9030">
        <v>20140501</v>
      </c>
      <c r="G9030" t="s">
        <v>1846</v>
      </c>
      <c r="H9030" t="s">
        <v>765</v>
      </c>
      <c r="I9030" t="s">
        <v>63</v>
      </c>
    </row>
    <row r="9031" spans="1:9" x14ac:dyDescent="0.25">
      <c r="A9031">
        <v>20140508</v>
      </c>
      <c r="B9031" t="str">
        <f>"115560"</f>
        <v>115560</v>
      </c>
      <c r="C9031" t="str">
        <f>"15955"</f>
        <v>15955</v>
      </c>
      <c r="D9031" t="s">
        <v>1204</v>
      </c>
      <c r="E9031">
        <v>758.46</v>
      </c>
      <c r="F9031">
        <v>20140502</v>
      </c>
      <c r="G9031" t="s">
        <v>1126</v>
      </c>
      <c r="H9031" t="s">
        <v>4188</v>
      </c>
      <c r="I9031" t="s">
        <v>21</v>
      </c>
    </row>
    <row r="9032" spans="1:9" x14ac:dyDescent="0.25">
      <c r="A9032">
        <v>20140508</v>
      </c>
      <c r="B9032" t="str">
        <f>"115561"</f>
        <v>115561</v>
      </c>
      <c r="C9032" t="str">
        <f>"16500"</f>
        <v>16500</v>
      </c>
      <c r="D9032" t="s">
        <v>798</v>
      </c>
      <c r="E9032">
        <v>38.9</v>
      </c>
      <c r="F9032">
        <v>20140501</v>
      </c>
      <c r="G9032" t="s">
        <v>4189</v>
      </c>
      <c r="H9032" t="s">
        <v>1357</v>
      </c>
      <c r="I9032" t="s">
        <v>38</v>
      </c>
    </row>
    <row r="9033" spans="1:9" x14ac:dyDescent="0.25">
      <c r="A9033">
        <v>20140508</v>
      </c>
      <c r="B9033" t="str">
        <f>"115562"</f>
        <v>115562</v>
      </c>
      <c r="C9033" t="str">
        <f>"85759"</f>
        <v>85759</v>
      </c>
      <c r="D9033" t="s">
        <v>4051</v>
      </c>
      <c r="E9033" s="1">
        <v>9570</v>
      </c>
      <c r="F9033">
        <v>20140502</v>
      </c>
      <c r="G9033" t="s">
        <v>1900</v>
      </c>
      <c r="H9033" t="s">
        <v>4190</v>
      </c>
      <c r="I9033" t="s">
        <v>608</v>
      </c>
    </row>
    <row r="9034" spans="1:9" x14ac:dyDescent="0.25">
      <c r="A9034">
        <v>20140508</v>
      </c>
      <c r="B9034" t="str">
        <f>"115563"</f>
        <v>115563</v>
      </c>
      <c r="C9034" t="str">
        <f>"16988"</f>
        <v>16988</v>
      </c>
      <c r="D9034" t="s">
        <v>510</v>
      </c>
      <c r="E9034">
        <v>725</v>
      </c>
      <c r="F9034">
        <v>20140501</v>
      </c>
      <c r="G9034" t="s">
        <v>511</v>
      </c>
      <c r="H9034" t="s">
        <v>2129</v>
      </c>
      <c r="I9034" t="s">
        <v>21</v>
      </c>
    </row>
    <row r="9035" spans="1:9" x14ac:dyDescent="0.25">
      <c r="A9035">
        <v>20140508</v>
      </c>
      <c r="B9035" t="str">
        <f>"115563"</f>
        <v>115563</v>
      </c>
      <c r="C9035" t="str">
        <f>"16988"</f>
        <v>16988</v>
      </c>
      <c r="D9035" t="s">
        <v>510</v>
      </c>
      <c r="E9035">
        <v>927.82</v>
      </c>
      <c r="F9035">
        <v>20140506</v>
      </c>
      <c r="G9035" t="s">
        <v>511</v>
      </c>
      <c r="H9035" t="s">
        <v>4191</v>
      </c>
      <c r="I9035" t="s">
        <v>21</v>
      </c>
    </row>
    <row r="9036" spans="1:9" x14ac:dyDescent="0.25">
      <c r="A9036">
        <v>20140508</v>
      </c>
      <c r="B9036" t="str">
        <f>"115564"</f>
        <v>115564</v>
      </c>
      <c r="C9036" t="str">
        <f>"00260"</f>
        <v>00260</v>
      </c>
      <c r="D9036" t="s">
        <v>3277</v>
      </c>
      <c r="E9036" s="1">
        <v>1983.75</v>
      </c>
      <c r="F9036">
        <v>20140507</v>
      </c>
      <c r="G9036" t="s">
        <v>1064</v>
      </c>
      <c r="H9036" t="s">
        <v>4192</v>
      </c>
      <c r="I9036" t="s">
        <v>21</v>
      </c>
    </row>
    <row r="9037" spans="1:9" x14ac:dyDescent="0.25">
      <c r="A9037">
        <v>20140508</v>
      </c>
      <c r="B9037" t="str">
        <f t="shared" ref="B9037:B9054" si="529">"115565"</f>
        <v>115565</v>
      </c>
      <c r="C9037" t="str">
        <f t="shared" ref="C9037:C9054" si="530">"16998"</f>
        <v>16998</v>
      </c>
      <c r="D9037" t="s">
        <v>1372</v>
      </c>
      <c r="E9037">
        <v>75</v>
      </c>
      <c r="F9037">
        <v>20140501</v>
      </c>
      <c r="G9037" t="s">
        <v>511</v>
      </c>
      <c r="H9037" t="s">
        <v>1375</v>
      </c>
      <c r="I9037" t="s">
        <v>21</v>
      </c>
    </row>
    <row r="9038" spans="1:9" x14ac:dyDescent="0.25">
      <c r="A9038">
        <v>20140508</v>
      </c>
      <c r="B9038" t="str">
        <f t="shared" si="529"/>
        <v>115565</v>
      </c>
      <c r="C9038" t="str">
        <f t="shared" si="530"/>
        <v>16998</v>
      </c>
      <c r="D9038" t="s">
        <v>1372</v>
      </c>
      <c r="E9038">
        <v>144.65</v>
      </c>
      <c r="F9038">
        <v>20140501</v>
      </c>
      <c r="G9038" t="s">
        <v>621</v>
      </c>
      <c r="H9038" t="s">
        <v>1375</v>
      </c>
      <c r="I9038" t="s">
        <v>21</v>
      </c>
    </row>
    <row r="9039" spans="1:9" x14ac:dyDescent="0.25">
      <c r="A9039">
        <v>20140508</v>
      </c>
      <c r="B9039" t="str">
        <f t="shared" si="529"/>
        <v>115565</v>
      </c>
      <c r="C9039" t="str">
        <f t="shared" si="530"/>
        <v>16998</v>
      </c>
      <c r="D9039" t="s">
        <v>1372</v>
      </c>
      <c r="E9039">
        <v>592.17999999999995</v>
      </c>
      <c r="F9039">
        <v>20140501</v>
      </c>
      <c r="G9039" t="s">
        <v>524</v>
      </c>
      <c r="H9039" t="s">
        <v>1375</v>
      </c>
      <c r="I9039" t="s">
        <v>21</v>
      </c>
    </row>
    <row r="9040" spans="1:9" x14ac:dyDescent="0.25">
      <c r="A9040">
        <v>20140508</v>
      </c>
      <c r="B9040" t="str">
        <f t="shared" si="529"/>
        <v>115565</v>
      </c>
      <c r="C9040" t="str">
        <f t="shared" si="530"/>
        <v>16998</v>
      </c>
      <c r="D9040" t="s">
        <v>1372</v>
      </c>
      <c r="E9040">
        <v>75</v>
      </c>
      <c r="F9040">
        <v>20140501</v>
      </c>
      <c r="G9040" t="s">
        <v>450</v>
      </c>
      <c r="H9040" t="s">
        <v>1375</v>
      </c>
      <c r="I9040" t="s">
        <v>21</v>
      </c>
    </row>
    <row r="9041" spans="1:9" x14ac:dyDescent="0.25">
      <c r="A9041">
        <v>20140508</v>
      </c>
      <c r="B9041" t="str">
        <f t="shared" si="529"/>
        <v>115565</v>
      </c>
      <c r="C9041" t="str">
        <f t="shared" si="530"/>
        <v>16998</v>
      </c>
      <c r="D9041" t="s">
        <v>1372</v>
      </c>
      <c r="E9041">
        <v>154.94999999999999</v>
      </c>
      <c r="F9041">
        <v>20140501</v>
      </c>
      <c r="G9041" t="s">
        <v>450</v>
      </c>
      <c r="H9041" t="s">
        <v>4193</v>
      </c>
      <c r="I9041" t="s">
        <v>21</v>
      </c>
    </row>
    <row r="9042" spans="1:9" x14ac:dyDescent="0.25">
      <c r="A9042">
        <v>20140508</v>
      </c>
      <c r="B9042" t="str">
        <f t="shared" si="529"/>
        <v>115565</v>
      </c>
      <c r="C9042" t="str">
        <f t="shared" si="530"/>
        <v>16998</v>
      </c>
      <c r="D9042" t="s">
        <v>1372</v>
      </c>
      <c r="E9042">
        <v>578.78</v>
      </c>
      <c r="F9042">
        <v>20140501</v>
      </c>
      <c r="G9042" t="s">
        <v>450</v>
      </c>
      <c r="H9042" t="s">
        <v>1375</v>
      </c>
      <c r="I9042" t="s">
        <v>21</v>
      </c>
    </row>
    <row r="9043" spans="1:9" x14ac:dyDescent="0.25">
      <c r="A9043">
        <v>20140508</v>
      </c>
      <c r="B9043" t="str">
        <f t="shared" si="529"/>
        <v>115565</v>
      </c>
      <c r="C9043" t="str">
        <f t="shared" si="530"/>
        <v>16998</v>
      </c>
      <c r="D9043" t="s">
        <v>1372</v>
      </c>
      <c r="E9043">
        <v>304.2</v>
      </c>
      <c r="F9043">
        <v>20140501</v>
      </c>
      <c r="G9043" t="s">
        <v>1271</v>
      </c>
      <c r="H9043" t="s">
        <v>4194</v>
      </c>
      <c r="I9043" t="s">
        <v>21</v>
      </c>
    </row>
    <row r="9044" spans="1:9" x14ac:dyDescent="0.25">
      <c r="A9044">
        <v>20140508</v>
      </c>
      <c r="B9044" t="str">
        <f t="shared" si="529"/>
        <v>115565</v>
      </c>
      <c r="C9044" t="str">
        <f t="shared" si="530"/>
        <v>16998</v>
      </c>
      <c r="D9044" t="s">
        <v>1372</v>
      </c>
      <c r="E9044">
        <v>412.5</v>
      </c>
      <c r="F9044">
        <v>20140501</v>
      </c>
      <c r="G9044" t="s">
        <v>1380</v>
      </c>
      <c r="H9044" t="s">
        <v>4195</v>
      </c>
      <c r="I9044" t="s">
        <v>21</v>
      </c>
    </row>
    <row r="9045" spans="1:9" x14ac:dyDescent="0.25">
      <c r="A9045">
        <v>20140508</v>
      </c>
      <c r="B9045" t="str">
        <f t="shared" si="529"/>
        <v>115565</v>
      </c>
      <c r="C9045" t="str">
        <f t="shared" si="530"/>
        <v>16998</v>
      </c>
      <c r="D9045" t="s">
        <v>1372</v>
      </c>
      <c r="E9045">
        <v>642.84</v>
      </c>
      <c r="F9045">
        <v>20140501</v>
      </c>
      <c r="G9045" t="s">
        <v>1380</v>
      </c>
      <c r="H9045" t="s">
        <v>4195</v>
      </c>
      <c r="I9045" t="s">
        <v>21</v>
      </c>
    </row>
    <row r="9046" spans="1:9" x14ac:dyDescent="0.25">
      <c r="A9046">
        <v>20140508</v>
      </c>
      <c r="B9046" t="str">
        <f t="shared" si="529"/>
        <v>115565</v>
      </c>
      <c r="C9046" t="str">
        <f t="shared" si="530"/>
        <v>16998</v>
      </c>
      <c r="D9046" t="s">
        <v>1372</v>
      </c>
      <c r="E9046">
        <v>658.15</v>
      </c>
      <c r="F9046">
        <v>20140501</v>
      </c>
      <c r="G9046" t="s">
        <v>1380</v>
      </c>
      <c r="H9046" t="s">
        <v>1375</v>
      </c>
      <c r="I9046" t="s">
        <v>21</v>
      </c>
    </row>
    <row r="9047" spans="1:9" x14ac:dyDescent="0.25">
      <c r="A9047">
        <v>20140508</v>
      </c>
      <c r="B9047" t="str">
        <f t="shared" si="529"/>
        <v>115565</v>
      </c>
      <c r="C9047" t="str">
        <f t="shared" si="530"/>
        <v>16998</v>
      </c>
      <c r="D9047" t="s">
        <v>1372</v>
      </c>
      <c r="E9047">
        <v>729.65</v>
      </c>
      <c r="F9047">
        <v>20140501</v>
      </c>
      <c r="G9047" t="s">
        <v>1380</v>
      </c>
      <c r="H9047" t="s">
        <v>1375</v>
      </c>
      <c r="I9047" t="s">
        <v>21</v>
      </c>
    </row>
    <row r="9048" spans="1:9" x14ac:dyDescent="0.25">
      <c r="A9048">
        <v>20140508</v>
      </c>
      <c r="B9048" t="str">
        <f t="shared" si="529"/>
        <v>115565</v>
      </c>
      <c r="C9048" t="str">
        <f t="shared" si="530"/>
        <v>16998</v>
      </c>
      <c r="D9048" t="s">
        <v>1372</v>
      </c>
      <c r="E9048">
        <v>739.75</v>
      </c>
      <c r="F9048">
        <v>20140501</v>
      </c>
      <c r="G9048" t="s">
        <v>1380</v>
      </c>
      <c r="H9048" t="s">
        <v>1375</v>
      </c>
      <c r="I9048" t="s">
        <v>21</v>
      </c>
    </row>
    <row r="9049" spans="1:9" x14ac:dyDescent="0.25">
      <c r="A9049">
        <v>20140508</v>
      </c>
      <c r="B9049" t="str">
        <f t="shared" si="529"/>
        <v>115565</v>
      </c>
      <c r="C9049" t="str">
        <f t="shared" si="530"/>
        <v>16998</v>
      </c>
      <c r="D9049" t="s">
        <v>1372</v>
      </c>
      <c r="E9049">
        <v>156.5</v>
      </c>
      <c r="F9049">
        <v>20140501</v>
      </c>
      <c r="G9049" t="s">
        <v>1380</v>
      </c>
      <c r="H9049" t="s">
        <v>1375</v>
      </c>
      <c r="I9049" t="s">
        <v>21</v>
      </c>
    </row>
    <row r="9050" spans="1:9" x14ac:dyDescent="0.25">
      <c r="A9050">
        <v>20140508</v>
      </c>
      <c r="B9050" t="str">
        <f t="shared" si="529"/>
        <v>115565</v>
      </c>
      <c r="C9050" t="str">
        <f t="shared" si="530"/>
        <v>16998</v>
      </c>
      <c r="D9050" t="s">
        <v>1372</v>
      </c>
      <c r="E9050">
        <v>773</v>
      </c>
      <c r="F9050">
        <v>20140501</v>
      </c>
      <c r="G9050" t="s">
        <v>631</v>
      </c>
      <c r="H9050" t="s">
        <v>4196</v>
      </c>
      <c r="I9050" t="s">
        <v>21</v>
      </c>
    </row>
    <row r="9051" spans="1:9" x14ac:dyDescent="0.25">
      <c r="A9051">
        <v>20140508</v>
      </c>
      <c r="B9051" t="str">
        <f t="shared" si="529"/>
        <v>115565</v>
      </c>
      <c r="C9051" t="str">
        <f t="shared" si="530"/>
        <v>16998</v>
      </c>
      <c r="D9051" t="s">
        <v>1372</v>
      </c>
      <c r="E9051" s="1">
        <v>2995</v>
      </c>
      <c r="F9051">
        <v>20140501</v>
      </c>
      <c r="G9051" t="s">
        <v>3820</v>
      </c>
      <c r="H9051" t="s">
        <v>4197</v>
      </c>
      <c r="I9051" t="s">
        <v>21</v>
      </c>
    </row>
    <row r="9052" spans="1:9" x14ac:dyDescent="0.25">
      <c r="A9052">
        <v>20140508</v>
      </c>
      <c r="B9052" t="str">
        <f t="shared" si="529"/>
        <v>115565</v>
      </c>
      <c r="C9052" t="str">
        <f t="shared" si="530"/>
        <v>16998</v>
      </c>
      <c r="D9052" t="s">
        <v>1372</v>
      </c>
      <c r="E9052" s="1">
        <v>1351.26</v>
      </c>
      <c r="F9052">
        <v>20140501</v>
      </c>
      <c r="G9052" t="s">
        <v>3820</v>
      </c>
      <c r="H9052" t="s">
        <v>1375</v>
      </c>
      <c r="I9052" t="s">
        <v>21</v>
      </c>
    </row>
    <row r="9053" spans="1:9" x14ac:dyDescent="0.25">
      <c r="A9053">
        <v>20140508</v>
      </c>
      <c r="B9053" t="str">
        <f t="shared" si="529"/>
        <v>115565</v>
      </c>
      <c r="C9053" t="str">
        <f t="shared" si="530"/>
        <v>16998</v>
      </c>
      <c r="D9053" t="s">
        <v>1372</v>
      </c>
      <c r="E9053" s="1">
        <v>2144.8000000000002</v>
      </c>
      <c r="F9053">
        <v>20140501</v>
      </c>
      <c r="G9053" t="s">
        <v>3820</v>
      </c>
      <c r="H9053" t="s">
        <v>1381</v>
      </c>
      <c r="I9053" t="s">
        <v>21</v>
      </c>
    </row>
    <row r="9054" spans="1:9" x14ac:dyDescent="0.25">
      <c r="A9054">
        <v>20140508</v>
      </c>
      <c r="B9054" t="str">
        <f t="shared" si="529"/>
        <v>115565</v>
      </c>
      <c r="C9054" t="str">
        <f t="shared" si="530"/>
        <v>16998</v>
      </c>
      <c r="D9054" t="s">
        <v>1372</v>
      </c>
      <c r="E9054">
        <v>47.2</v>
      </c>
      <c r="F9054">
        <v>20140501</v>
      </c>
      <c r="G9054" t="s">
        <v>3820</v>
      </c>
      <c r="H9054" t="s">
        <v>4198</v>
      </c>
      <c r="I9054" t="s">
        <v>21</v>
      </c>
    </row>
    <row r="9055" spans="1:9" x14ac:dyDescent="0.25">
      <c r="A9055">
        <v>20140508</v>
      </c>
      <c r="B9055" t="str">
        <f>"115566"</f>
        <v>115566</v>
      </c>
      <c r="C9055" t="str">
        <f>"87839"</f>
        <v>87839</v>
      </c>
      <c r="D9055" t="s">
        <v>4199</v>
      </c>
      <c r="E9055">
        <v>250</v>
      </c>
      <c r="F9055">
        <v>20140501</v>
      </c>
      <c r="G9055" t="s">
        <v>746</v>
      </c>
      <c r="H9055" t="s">
        <v>555</v>
      </c>
      <c r="I9055" t="s">
        <v>21</v>
      </c>
    </row>
    <row r="9056" spans="1:9" x14ac:dyDescent="0.25">
      <c r="A9056">
        <v>20140508</v>
      </c>
      <c r="B9056" t="str">
        <f>"115566"</f>
        <v>115566</v>
      </c>
      <c r="C9056" t="str">
        <f>"87839"</f>
        <v>87839</v>
      </c>
      <c r="D9056" t="s">
        <v>4199</v>
      </c>
      <c r="E9056">
        <v>250</v>
      </c>
      <c r="F9056">
        <v>20140501</v>
      </c>
      <c r="G9056" t="s">
        <v>746</v>
      </c>
      <c r="H9056" t="s">
        <v>555</v>
      </c>
      <c r="I9056" t="s">
        <v>21</v>
      </c>
    </row>
    <row r="9057" spans="1:9" x14ac:dyDescent="0.25">
      <c r="A9057">
        <v>20140508</v>
      </c>
      <c r="B9057" t="str">
        <f>"115566"</f>
        <v>115566</v>
      </c>
      <c r="C9057" t="str">
        <f>"87839"</f>
        <v>87839</v>
      </c>
      <c r="D9057" t="s">
        <v>4199</v>
      </c>
      <c r="E9057">
        <v>250</v>
      </c>
      <c r="F9057">
        <v>20140501</v>
      </c>
      <c r="G9057" t="s">
        <v>746</v>
      </c>
      <c r="H9057" t="s">
        <v>555</v>
      </c>
      <c r="I9057" t="s">
        <v>21</v>
      </c>
    </row>
    <row r="9058" spans="1:9" x14ac:dyDescent="0.25">
      <c r="A9058">
        <v>20140508</v>
      </c>
      <c r="B9058" t="str">
        <f>"115566"</f>
        <v>115566</v>
      </c>
      <c r="C9058" t="str">
        <f>"87839"</f>
        <v>87839</v>
      </c>
      <c r="D9058" t="s">
        <v>4199</v>
      </c>
      <c r="E9058">
        <v>250</v>
      </c>
      <c r="F9058">
        <v>20140501</v>
      </c>
      <c r="G9058" t="s">
        <v>746</v>
      </c>
      <c r="H9058" t="s">
        <v>555</v>
      </c>
      <c r="I9058" t="s">
        <v>21</v>
      </c>
    </row>
    <row r="9059" spans="1:9" x14ac:dyDescent="0.25">
      <c r="A9059">
        <v>20140508</v>
      </c>
      <c r="B9059" t="str">
        <f>"115567"</f>
        <v>115567</v>
      </c>
      <c r="C9059" t="str">
        <f>"17285"</f>
        <v>17285</v>
      </c>
      <c r="D9059" t="s">
        <v>4200</v>
      </c>
      <c r="E9059">
        <v>243.25</v>
      </c>
      <c r="F9059">
        <v>20140506</v>
      </c>
      <c r="G9059" t="s">
        <v>496</v>
      </c>
      <c r="H9059" t="s">
        <v>414</v>
      </c>
      <c r="I9059" t="s">
        <v>21</v>
      </c>
    </row>
    <row r="9060" spans="1:9" x14ac:dyDescent="0.25">
      <c r="A9060">
        <v>20140508</v>
      </c>
      <c r="B9060" t="str">
        <f>"115568"</f>
        <v>115568</v>
      </c>
      <c r="C9060" t="str">
        <f>"84829"</f>
        <v>84829</v>
      </c>
      <c r="D9060" t="s">
        <v>3643</v>
      </c>
      <c r="E9060">
        <v>47.71</v>
      </c>
      <c r="F9060">
        <v>20140505</v>
      </c>
      <c r="G9060" t="s">
        <v>1759</v>
      </c>
      <c r="H9060" t="s">
        <v>357</v>
      </c>
      <c r="I9060" t="s">
        <v>61</v>
      </c>
    </row>
    <row r="9061" spans="1:9" x14ac:dyDescent="0.25">
      <c r="A9061">
        <v>20140508</v>
      </c>
      <c r="B9061" t="str">
        <f>"115569"</f>
        <v>115569</v>
      </c>
      <c r="C9061" t="str">
        <f>"18025"</f>
        <v>18025</v>
      </c>
      <c r="D9061" t="s">
        <v>514</v>
      </c>
      <c r="E9061">
        <v>118.5</v>
      </c>
      <c r="F9061">
        <v>20140501</v>
      </c>
      <c r="G9061" t="s">
        <v>154</v>
      </c>
      <c r="H9061" t="s">
        <v>2336</v>
      </c>
      <c r="I9061" t="s">
        <v>25</v>
      </c>
    </row>
    <row r="9062" spans="1:9" x14ac:dyDescent="0.25">
      <c r="A9062">
        <v>20140508</v>
      </c>
      <c r="B9062" t="str">
        <f>"115570"</f>
        <v>115570</v>
      </c>
      <c r="C9062" t="str">
        <f>"18025"</f>
        <v>18025</v>
      </c>
      <c r="D9062" t="s">
        <v>514</v>
      </c>
      <c r="E9062">
        <v>402</v>
      </c>
      <c r="F9062">
        <v>20140506</v>
      </c>
      <c r="G9062" t="s">
        <v>653</v>
      </c>
      <c r="H9062" t="s">
        <v>2336</v>
      </c>
      <c r="I9062" t="s">
        <v>21</v>
      </c>
    </row>
    <row r="9063" spans="1:9" x14ac:dyDescent="0.25">
      <c r="A9063">
        <v>20140508</v>
      </c>
      <c r="B9063" t="str">
        <f>"115571"</f>
        <v>115571</v>
      </c>
      <c r="C9063" t="str">
        <f>"86328"</f>
        <v>86328</v>
      </c>
      <c r="D9063" t="s">
        <v>4201</v>
      </c>
      <c r="E9063">
        <v>170.5</v>
      </c>
      <c r="F9063">
        <v>20140501</v>
      </c>
      <c r="G9063" t="s">
        <v>2138</v>
      </c>
      <c r="H9063" t="s">
        <v>679</v>
      </c>
      <c r="I9063" t="s">
        <v>21</v>
      </c>
    </row>
    <row r="9064" spans="1:9" x14ac:dyDescent="0.25">
      <c r="A9064">
        <v>20140508</v>
      </c>
      <c r="B9064" t="str">
        <f>"115571"</f>
        <v>115571</v>
      </c>
      <c r="C9064" t="str">
        <f>"86328"</f>
        <v>86328</v>
      </c>
      <c r="D9064" t="s">
        <v>4201</v>
      </c>
      <c r="E9064">
        <v>5.5</v>
      </c>
      <c r="F9064">
        <v>20140501</v>
      </c>
      <c r="G9064" t="s">
        <v>2138</v>
      </c>
      <c r="H9064" t="s">
        <v>679</v>
      </c>
      <c r="I9064" t="s">
        <v>21</v>
      </c>
    </row>
    <row r="9065" spans="1:9" x14ac:dyDescent="0.25">
      <c r="A9065">
        <v>20140508</v>
      </c>
      <c r="B9065" t="str">
        <f t="shared" ref="B9065:B9075" si="531">"115572"</f>
        <v>115572</v>
      </c>
      <c r="C9065" t="str">
        <f t="shared" ref="C9065:C9075" si="532">"18200"</f>
        <v>18200</v>
      </c>
      <c r="D9065" t="s">
        <v>516</v>
      </c>
      <c r="E9065">
        <v>95.52</v>
      </c>
      <c r="F9065">
        <v>20140506</v>
      </c>
      <c r="G9065" t="s">
        <v>453</v>
      </c>
      <c r="H9065" t="s">
        <v>488</v>
      </c>
      <c r="I9065" t="s">
        <v>21</v>
      </c>
    </row>
    <row r="9066" spans="1:9" x14ac:dyDescent="0.25">
      <c r="A9066">
        <v>20140508</v>
      </c>
      <c r="B9066" t="str">
        <f t="shared" si="531"/>
        <v>115572</v>
      </c>
      <c r="C9066" t="str">
        <f t="shared" si="532"/>
        <v>18200</v>
      </c>
      <c r="D9066" t="s">
        <v>516</v>
      </c>
      <c r="E9066">
        <v>84.12</v>
      </c>
      <c r="F9066">
        <v>20140506</v>
      </c>
      <c r="G9066" t="s">
        <v>455</v>
      </c>
      <c r="H9066" t="s">
        <v>488</v>
      </c>
      <c r="I9066" t="s">
        <v>21</v>
      </c>
    </row>
    <row r="9067" spans="1:9" x14ac:dyDescent="0.25">
      <c r="A9067">
        <v>20140508</v>
      </c>
      <c r="B9067" t="str">
        <f t="shared" si="531"/>
        <v>115572</v>
      </c>
      <c r="C9067" t="str">
        <f t="shared" si="532"/>
        <v>18200</v>
      </c>
      <c r="D9067" t="s">
        <v>516</v>
      </c>
      <c r="E9067">
        <v>964.44</v>
      </c>
      <c r="F9067">
        <v>20140506</v>
      </c>
      <c r="G9067" t="s">
        <v>455</v>
      </c>
      <c r="H9067" t="s">
        <v>488</v>
      </c>
      <c r="I9067" t="s">
        <v>21</v>
      </c>
    </row>
    <row r="9068" spans="1:9" x14ac:dyDescent="0.25">
      <c r="A9068">
        <v>20140508</v>
      </c>
      <c r="B9068" t="str">
        <f t="shared" si="531"/>
        <v>115572</v>
      </c>
      <c r="C9068" t="str">
        <f t="shared" si="532"/>
        <v>18200</v>
      </c>
      <c r="D9068" t="s">
        <v>516</v>
      </c>
      <c r="E9068">
        <v>77.39</v>
      </c>
      <c r="F9068">
        <v>20140506</v>
      </c>
      <c r="G9068" t="s">
        <v>455</v>
      </c>
      <c r="H9068" t="s">
        <v>488</v>
      </c>
      <c r="I9068" t="s">
        <v>21</v>
      </c>
    </row>
    <row r="9069" spans="1:9" x14ac:dyDescent="0.25">
      <c r="A9069">
        <v>20140508</v>
      </c>
      <c r="B9069" t="str">
        <f t="shared" si="531"/>
        <v>115572</v>
      </c>
      <c r="C9069" t="str">
        <f t="shared" si="532"/>
        <v>18200</v>
      </c>
      <c r="D9069" t="s">
        <v>516</v>
      </c>
      <c r="E9069">
        <v>952.2</v>
      </c>
      <c r="F9069">
        <v>20140506</v>
      </c>
      <c r="G9069" t="s">
        <v>459</v>
      </c>
      <c r="H9069" t="s">
        <v>488</v>
      </c>
      <c r="I9069" t="s">
        <v>21</v>
      </c>
    </row>
    <row r="9070" spans="1:9" x14ac:dyDescent="0.25">
      <c r="A9070">
        <v>20140508</v>
      </c>
      <c r="B9070" t="str">
        <f t="shared" si="531"/>
        <v>115572</v>
      </c>
      <c r="C9070" t="str">
        <f t="shared" si="532"/>
        <v>18200</v>
      </c>
      <c r="D9070" t="s">
        <v>516</v>
      </c>
      <c r="E9070">
        <v>419.87</v>
      </c>
      <c r="F9070">
        <v>20140506</v>
      </c>
      <c r="G9070" t="s">
        <v>462</v>
      </c>
      <c r="H9070" t="s">
        <v>488</v>
      </c>
      <c r="I9070" t="s">
        <v>21</v>
      </c>
    </row>
    <row r="9071" spans="1:9" x14ac:dyDescent="0.25">
      <c r="A9071">
        <v>20140508</v>
      </c>
      <c r="B9071" t="str">
        <f t="shared" si="531"/>
        <v>115572</v>
      </c>
      <c r="C9071" t="str">
        <f t="shared" si="532"/>
        <v>18200</v>
      </c>
      <c r="D9071" t="s">
        <v>516</v>
      </c>
      <c r="E9071">
        <v>863.62</v>
      </c>
      <c r="F9071">
        <v>20140506</v>
      </c>
      <c r="G9071" t="s">
        <v>465</v>
      </c>
      <c r="H9071" t="s">
        <v>488</v>
      </c>
      <c r="I9071" t="s">
        <v>21</v>
      </c>
    </row>
    <row r="9072" spans="1:9" x14ac:dyDescent="0.25">
      <c r="A9072">
        <v>20140508</v>
      </c>
      <c r="B9072" t="str">
        <f t="shared" si="531"/>
        <v>115572</v>
      </c>
      <c r="C9072" t="str">
        <f t="shared" si="532"/>
        <v>18200</v>
      </c>
      <c r="D9072" t="s">
        <v>516</v>
      </c>
      <c r="E9072">
        <v>84.12</v>
      </c>
      <c r="F9072">
        <v>20140506</v>
      </c>
      <c r="G9072" t="s">
        <v>466</v>
      </c>
      <c r="H9072" t="s">
        <v>488</v>
      </c>
      <c r="I9072" t="s">
        <v>21</v>
      </c>
    </row>
    <row r="9073" spans="1:9" x14ac:dyDescent="0.25">
      <c r="A9073">
        <v>20140508</v>
      </c>
      <c r="B9073" t="str">
        <f t="shared" si="531"/>
        <v>115572</v>
      </c>
      <c r="C9073" t="str">
        <f t="shared" si="532"/>
        <v>18200</v>
      </c>
      <c r="D9073" t="s">
        <v>516</v>
      </c>
      <c r="E9073" s="1">
        <v>1720.05</v>
      </c>
      <c r="F9073">
        <v>20140506</v>
      </c>
      <c r="G9073" t="s">
        <v>466</v>
      </c>
      <c r="H9073" t="s">
        <v>488</v>
      </c>
      <c r="I9073" t="s">
        <v>21</v>
      </c>
    </row>
    <row r="9074" spans="1:9" x14ac:dyDescent="0.25">
      <c r="A9074">
        <v>20140508</v>
      </c>
      <c r="B9074" t="str">
        <f t="shared" si="531"/>
        <v>115572</v>
      </c>
      <c r="C9074" t="str">
        <f t="shared" si="532"/>
        <v>18200</v>
      </c>
      <c r="D9074" t="s">
        <v>516</v>
      </c>
      <c r="E9074">
        <v>274.10000000000002</v>
      </c>
      <c r="F9074">
        <v>20140506</v>
      </c>
      <c r="G9074" t="s">
        <v>466</v>
      </c>
      <c r="H9074" t="s">
        <v>488</v>
      </c>
      <c r="I9074" t="s">
        <v>21</v>
      </c>
    </row>
    <row r="9075" spans="1:9" x14ac:dyDescent="0.25">
      <c r="A9075">
        <v>20140508</v>
      </c>
      <c r="B9075" t="str">
        <f t="shared" si="531"/>
        <v>115572</v>
      </c>
      <c r="C9075" t="str">
        <f t="shared" si="532"/>
        <v>18200</v>
      </c>
      <c r="D9075" t="s">
        <v>516</v>
      </c>
      <c r="E9075">
        <v>47</v>
      </c>
      <c r="F9075">
        <v>20140506</v>
      </c>
      <c r="G9075" t="s">
        <v>467</v>
      </c>
      <c r="H9075" t="s">
        <v>488</v>
      </c>
      <c r="I9075" t="s">
        <v>21</v>
      </c>
    </row>
    <row r="9076" spans="1:9" x14ac:dyDescent="0.25">
      <c r="A9076">
        <v>20140508</v>
      </c>
      <c r="B9076" t="str">
        <f>"115573"</f>
        <v>115573</v>
      </c>
      <c r="C9076" t="str">
        <f>"19178"</f>
        <v>19178</v>
      </c>
      <c r="D9076" t="s">
        <v>3281</v>
      </c>
      <c r="E9076">
        <v>129.15</v>
      </c>
      <c r="F9076">
        <v>20140502</v>
      </c>
      <c r="G9076" t="s">
        <v>1126</v>
      </c>
      <c r="H9076" t="s">
        <v>4202</v>
      </c>
      <c r="I9076" t="s">
        <v>21</v>
      </c>
    </row>
    <row r="9077" spans="1:9" x14ac:dyDescent="0.25">
      <c r="A9077">
        <v>20140508</v>
      </c>
      <c r="B9077" t="str">
        <f>"115574"</f>
        <v>115574</v>
      </c>
      <c r="C9077" t="str">
        <f>"87566"</f>
        <v>87566</v>
      </c>
      <c r="D9077" t="s">
        <v>2139</v>
      </c>
      <c r="E9077">
        <v>757.14</v>
      </c>
      <c r="F9077">
        <v>20140501</v>
      </c>
      <c r="G9077" t="s">
        <v>627</v>
      </c>
      <c r="H9077" t="s">
        <v>414</v>
      </c>
      <c r="I9077" t="s">
        <v>21</v>
      </c>
    </row>
    <row r="9078" spans="1:9" x14ac:dyDescent="0.25">
      <c r="A9078">
        <v>20140508</v>
      </c>
      <c r="B9078" t="str">
        <f>"115574"</f>
        <v>115574</v>
      </c>
      <c r="C9078" t="str">
        <f>"87566"</f>
        <v>87566</v>
      </c>
      <c r="D9078" t="s">
        <v>2139</v>
      </c>
      <c r="E9078">
        <v>819.81</v>
      </c>
      <c r="F9078">
        <v>20140501</v>
      </c>
      <c r="G9078" t="s">
        <v>392</v>
      </c>
      <c r="H9078" t="s">
        <v>414</v>
      </c>
      <c r="I9078" t="s">
        <v>21</v>
      </c>
    </row>
    <row r="9079" spans="1:9" x14ac:dyDescent="0.25">
      <c r="A9079">
        <v>20140508</v>
      </c>
      <c r="B9079" t="str">
        <f>"115574"</f>
        <v>115574</v>
      </c>
      <c r="C9079" t="str">
        <f>"87566"</f>
        <v>87566</v>
      </c>
      <c r="D9079" t="s">
        <v>2139</v>
      </c>
      <c r="E9079">
        <v>93.96</v>
      </c>
      <c r="F9079">
        <v>20140501</v>
      </c>
      <c r="G9079" t="s">
        <v>392</v>
      </c>
      <c r="H9079" t="s">
        <v>414</v>
      </c>
      <c r="I9079" t="s">
        <v>21</v>
      </c>
    </row>
    <row r="9080" spans="1:9" x14ac:dyDescent="0.25">
      <c r="A9080">
        <v>20140508</v>
      </c>
      <c r="B9080" t="str">
        <f>"115575"</f>
        <v>115575</v>
      </c>
      <c r="C9080" t="str">
        <f>"86541"</f>
        <v>86541</v>
      </c>
      <c r="D9080" t="s">
        <v>1213</v>
      </c>
      <c r="E9080">
        <v>600</v>
      </c>
      <c r="F9080">
        <v>20140501</v>
      </c>
      <c r="G9080" t="s">
        <v>1214</v>
      </c>
      <c r="H9080" t="s">
        <v>4203</v>
      </c>
      <c r="I9080" t="s">
        <v>79</v>
      </c>
    </row>
    <row r="9081" spans="1:9" x14ac:dyDescent="0.25">
      <c r="A9081">
        <v>20140508</v>
      </c>
      <c r="B9081" t="str">
        <f>"115576"</f>
        <v>115576</v>
      </c>
      <c r="C9081" t="str">
        <f>"23122"</f>
        <v>23122</v>
      </c>
      <c r="D9081" t="s">
        <v>2337</v>
      </c>
      <c r="E9081">
        <v>70.2</v>
      </c>
      <c r="F9081">
        <v>20140507</v>
      </c>
      <c r="G9081" t="s">
        <v>181</v>
      </c>
      <c r="H9081" t="s">
        <v>4204</v>
      </c>
      <c r="I9081" t="s">
        <v>38</v>
      </c>
    </row>
    <row r="9082" spans="1:9" x14ac:dyDescent="0.25">
      <c r="A9082">
        <v>20140508</v>
      </c>
      <c r="B9082" t="str">
        <f>"115577"</f>
        <v>115577</v>
      </c>
      <c r="C9082" t="str">
        <f>"21950"</f>
        <v>21950</v>
      </c>
      <c r="D9082" t="s">
        <v>35</v>
      </c>
      <c r="E9082">
        <v>46</v>
      </c>
      <c r="F9082">
        <v>20140507</v>
      </c>
      <c r="G9082" t="s">
        <v>128</v>
      </c>
      <c r="H9082" t="s">
        <v>2814</v>
      </c>
      <c r="I9082" t="s">
        <v>21</v>
      </c>
    </row>
    <row r="9083" spans="1:9" x14ac:dyDescent="0.25">
      <c r="A9083">
        <v>20140508</v>
      </c>
      <c r="B9083" t="str">
        <f>"115578"</f>
        <v>115578</v>
      </c>
      <c r="C9083" t="str">
        <f>"22210"</f>
        <v>22210</v>
      </c>
      <c r="D9083" t="s">
        <v>4205</v>
      </c>
      <c r="E9083">
        <v>387.5</v>
      </c>
      <c r="F9083">
        <v>20140507</v>
      </c>
      <c r="G9083" t="s">
        <v>1200</v>
      </c>
      <c r="H9083" t="s">
        <v>4206</v>
      </c>
      <c r="I9083" t="s">
        <v>61</v>
      </c>
    </row>
    <row r="9084" spans="1:9" x14ac:dyDescent="0.25">
      <c r="A9084">
        <v>20140508</v>
      </c>
      <c r="B9084" t="str">
        <f>"115578"</f>
        <v>115578</v>
      </c>
      <c r="C9084" t="str">
        <f>"22210"</f>
        <v>22210</v>
      </c>
      <c r="D9084" t="s">
        <v>4205</v>
      </c>
      <c r="E9084">
        <v>476</v>
      </c>
      <c r="F9084">
        <v>20140507</v>
      </c>
      <c r="G9084" t="s">
        <v>1959</v>
      </c>
      <c r="H9084" t="s">
        <v>4207</v>
      </c>
      <c r="I9084" t="s">
        <v>61</v>
      </c>
    </row>
    <row r="9085" spans="1:9" x14ac:dyDescent="0.25">
      <c r="A9085">
        <v>20140508</v>
      </c>
      <c r="B9085" t="str">
        <f>"115579"</f>
        <v>115579</v>
      </c>
      <c r="C9085" t="str">
        <f>"21600"</f>
        <v>21600</v>
      </c>
      <c r="D9085" t="s">
        <v>1735</v>
      </c>
      <c r="E9085">
        <v>47.99</v>
      </c>
      <c r="F9085">
        <v>20140507</v>
      </c>
      <c r="G9085" t="s">
        <v>498</v>
      </c>
      <c r="H9085" t="s">
        <v>499</v>
      </c>
      <c r="I9085" t="s">
        <v>21</v>
      </c>
    </row>
    <row r="9086" spans="1:9" x14ac:dyDescent="0.25">
      <c r="A9086">
        <v>20140508</v>
      </c>
      <c r="B9086" t="str">
        <f>"115580"</f>
        <v>115580</v>
      </c>
      <c r="C9086" t="str">
        <f>"86392"</f>
        <v>86392</v>
      </c>
      <c r="D9086" t="s">
        <v>3479</v>
      </c>
      <c r="E9086">
        <v>48.33</v>
      </c>
      <c r="F9086">
        <v>20140507</v>
      </c>
      <c r="G9086" t="s">
        <v>986</v>
      </c>
      <c r="H9086" t="s">
        <v>1677</v>
      </c>
      <c r="I9086" t="s">
        <v>21</v>
      </c>
    </row>
    <row r="9087" spans="1:9" x14ac:dyDescent="0.25">
      <c r="A9087">
        <v>20140508</v>
      </c>
      <c r="B9087" t="str">
        <f t="shared" ref="B9087:B9092" si="533">"115581"</f>
        <v>115581</v>
      </c>
      <c r="C9087" t="str">
        <f t="shared" ref="C9087:C9092" si="534">"23185"</f>
        <v>23185</v>
      </c>
      <c r="D9087" t="s">
        <v>803</v>
      </c>
      <c r="E9087">
        <v>36</v>
      </c>
      <c r="F9087">
        <v>20140501</v>
      </c>
      <c r="G9087" t="s">
        <v>415</v>
      </c>
      <c r="H9087" t="s">
        <v>4208</v>
      </c>
      <c r="I9087" t="s">
        <v>21</v>
      </c>
    </row>
    <row r="9088" spans="1:9" x14ac:dyDescent="0.25">
      <c r="A9088">
        <v>20140508</v>
      </c>
      <c r="B9088" t="str">
        <f t="shared" si="533"/>
        <v>115581</v>
      </c>
      <c r="C9088" t="str">
        <f t="shared" si="534"/>
        <v>23185</v>
      </c>
      <c r="D9088" t="s">
        <v>803</v>
      </c>
      <c r="E9088">
        <v>24</v>
      </c>
      <c r="F9088">
        <v>20140506</v>
      </c>
      <c r="G9088" t="s">
        <v>415</v>
      </c>
      <c r="H9088" t="s">
        <v>1401</v>
      </c>
      <c r="I9088" t="s">
        <v>21</v>
      </c>
    </row>
    <row r="9089" spans="1:9" x14ac:dyDescent="0.25">
      <c r="A9089">
        <v>20140508</v>
      </c>
      <c r="B9089" t="str">
        <f t="shared" si="533"/>
        <v>115581</v>
      </c>
      <c r="C9089" t="str">
        <f t="shared" si="534"/>
        <v>23185</v>
      </c>
      <c r="D9089" t="s">
        <v>803</v>
      </c>
      <c r="E9089">
        <v>60</v>
      </c>
      <c r="F9089">
        <v>20140501</v>
      </c>
      <c r="G9089" t="s">
        <v>531</v>
      </c>
      <c r="H9089" t="s">
        <v>4208</v>
      </c>
      <c r="I9089" t="s">
        <v>21</v>
      </c>
    </row>
    <row r="9090" spans="1:9" x14ac:dyDescent="0.25">
      <c r="A9090">
        <v>20140508</v>
      </c>
      <c r="B9090" t="str">
        <f t="shared" si="533"/>
        <v>115581</v>
      </c>
      <c r="C9090" t="str">
        <f t="shared" si="534"/>
        <v>23185</v>
      </c>
      <c r="D9090" t="s">
        <v>803</v>
      </c>
      <c r="E9090">
        <v>125</v>
      </c>
      <c r="F9090">
        <v>20140501</v>
      </c>
      <c r="G9090" t="s">
        <v>3820</v>
      </c>
      <c r="H9090" t="s">
        <v>4209</v>
      </c>
      <c r="I9090" t="s">
        <v>21</v>
      </c>
    </row>
    <row r="9091" spans="1:9" x14ac:dyDescent="0.25">
      <c r="A9091">
        <v>20140508</v>
      </c>
      <c r="B9091" t="str">
        <f t="shared" si="533"/>
        <v>115581</v>
      </c>
      <c r="C9091" t="str">
        <f t="shared" si="534"/>
        <v>23185</v>
      </c>
      <c r="D9091" t="s">
        <v>803</v>
      </c>
      <c r="E9091" s="1">
        <v>1748.6</v>
      </c>
      <c r="F9091">
        <v>20140501</v>
      </c>
      <c r="G9091" t="s">
        <v>3820</v>
      </c>
      <c r="H9091" t="s">
        <v>604</v>
      </c>
      <c r="I9091" t="s">
        <v>21</v>
      </c>
    </row>
    <row r="9092" spans="1:9" x14ac:dyDescent="0.25">
      <c r="A9092">
        <v>20140508</v>
      </c>
      <c r="B9092" t="str">
        <f t="shared" si="533"/>
        <v>115581</v>
      </c>
      <c r="C9092" t="str">
        <f t="shared" si="534"/>
        <v>23185</v>
      </c>
      <c r="D9092" t="s">
        <v>803</v>
      </c>
      <c r="E9092" s="1">
        <v>6475</v>
      </c>
      <c r="F9092">
        <v>20140501</v>
      </c>
      <c r="G9092" t="s">
        <v>3899</v>
      </c>
      <c r="H9092" t="s">
        <v>604</v>
      </c>
      <c r="I9092" t="s">
        <v>21</v>
      </c>
    </row>
    <row r="9093" spans="1:9" x14ac:dyDescent="0.25">
      <c r="A9093">
        <v>20140508</v>
      </c>
      <c r="B9093" t="str">
        <f>"115582"</f>
        <v>115582</v>
      </c>
      <c r="C9093" t="str">
        <f>"23827"</f>
        <v>23827</v>
      </c>
      <c r="D9093" t="s">
        <v>528</v>
      </c>
      <c r="E9093" s="1">
        <v>2245.7199999999998</v>
      </c>
      <c r="F9093">
        <v>20140506</v>
      </c>
      <c r="G9093" t="s">
        <v>1981</v>
      </c>
      <c r="H9093" t="s">
        <v>513</v>
      </c>
      <c r="I9093" t="s">
        <v>38</v>
      </c>
    </row>
    <row r="9094" spans="1:9" x14ac:dyDescent="0.25">
      <c r="A9094">
        <v>20140508</v>
      </c>
      <c r="B9094" t="str">
        <f>"115582"</f>
        <v>115582</v>
      </c>
      <c r="C9094" t="str">
        <f>"23827"</f>
        <v>23827</v>
      </c>
      <c r="D9094" t="s">
        <v>528</v>
      </c>
      <c r="E9094">
        <v>219.4</v>
      </c>
      <c r="F9094">
        <v>20140507</v>
      </c>
      <c r="G9094" t="s">
        <v>1013</v>
      </c>
      <c r="H9094" t="s">
        <v>513</v>
      </c>
      <c r="I9094" t="s">
        <v>38</v>
      </c>
    </row>
    <row r="9095" spans="1:9" x14ac:dyDescent="0.25">
      <c r="A9095">
        <v>20140508</v>
      </c>
      <c r="B9095" t="str">
        <f>"115582"</f>
        <v>115582</v>
      </c>
      <c r="C9095" t="str">
        <f>"23827"</f>
        <v>23827</v>
      </c>
      <c r="D9095" t="s">
        <v>528</v>
      </c>
      <c r="E9095" s="1">
        <v>1861.5</v>
      </c>
      <c r="F9095">
        <v>20140507</v>
      </c>
      <c r="G9095" t="s">
        <v>48</v>
      </c>
      <c r="H9095" t="s">
        <v>4210</v>
      </c>
      <c r="I9095" t="s">
        <v>25</v>
      </c>
    </row>
    <row r="9096" spans="1:9" x14ac:dyDescent="0.25">
      <c r="A9096">
        <v>20140508</v>
      </c>
      <c r="B9096" t="str">
        <f>"115582"</f>
        <v>115582</v>
      </c>
      <c r="C9096" t="str">
        <f>"23827"</f>
        <v>23827</v>
      </c>
      <c r="D9096" t="s">
        <v>528</v>
      </c>
      <c r="E9096" s="1">
        <v>1196.04</v>
      </c>
      <c r="F9096">
        <v>20140501</v>
      </c>
      <c r="G9096" t="s">
        <v>150</v>
      </c>
      <c r="H9096" t="s">
        <v>513</v>
      </c>
      <c r="I9096" t="s">
        <v>25</v>
      </c>
    </row>
    <row r="9097" spans="1:9" x14ac:dyDescent="0.25">
      <c r="A9097">
        <v>20140508</v>
      </c>
      <c r="B9097" t="str">
        <f>"115583"</f>
        <v>115583</v>
      </c>
      <c r="C9097" t="str">
        <f>"82357"</f>
        <v>82357</v>
      </c>
      <c r="D9097" t="s">
        <v>2653</v>
      </c>
      <c r="E9097">
        <v>495</v>
      </c>
      <c r="F9097">
        <v>20140507</v>
      </c>
      <c r="G9097" t="s">
        <v>2343</v>
      </c>
      <c r="H9097" t="s">
        <v>4211</v>
      </c>
      <c r="I9097" t="s">
        <v>38</v>
      </c>
    </row>
    <row r="9098" spans="1:9" x14ac:dyDescent="0.25">
      <c r="A9098">
        <v>20140508</v>
      </c>
      <c r="B9098" t="str">
        <f>"115584"</f>
        <v>115584</v>
      </c>
      <c r="C9098" t="str">
        <f>"81355"</f>
        <v>81355</v>
      </c>
      <c r="D9098" t="s">
        <v>4212</v>
      </c>
      <c r="E9098">
        <v>135.94999999999999</v>
      </c>
      <c r="F9098">
        <v>20140507</v>
      </c>
      <c r="G9098" t="s">
        <v>2358</v>
      </c>
      <c r="H9098" t="s">
        <v>1805</v>
      </c>
      <c r="I9098" t="s">
        <v>21</v>
      </c>
    </row>
    <row r="9099" spans="1:9" x14ac:dyDescent="0.25">
      <c r="A9099">
        <v>20140508</v>
      </c>
      <c r="B9099" t="str">
        <f>"115585"</f>
        <v>115585</v>
      </c>
      <c r="C9099" t="str">
        <f>"87599"</f>
        <v>87599</v>
      </c>
      <c r="D9099" t="s">
        <v>2154</v>
      </c>
      <c r="E9099">
        <v>16.2</v>
      </c>
      <c r="F9099">
        <v>20140505</v>
      </c>
      <c r="G9099" t="s">
        <v>410</v>
      </c>
      <c r="H9099" t="s">
        <v>411</v>
      </c>
      <c r="I9099" t="s">
        <v>12</v>
      </c>
    </row>
    <row r="9100" spans="1:9" x14ac:dyDescent="0.25">
      <c r="A9100">
        <v>20140508</v>
      </c>
      <c r="B9100" t="str">
        <f>"115586"</f>
        <v>115586</v>
      </c>
      <c r="C9100" t="str">
        <f>"24575"</f>
        <v>24575</v>
      </c>
      <c r="D9100" t="s">
        <v>2658</v>
      </c>
      <c r="E9100">
        <v>149.99</v>
      </c>
      <c r="F9100">
        <v>20140502</v>
      </c>
      <c r="G9100" t="s">
        <v>2358</v>
      </c>
      <c r="H9100" t="s">
        <v>4213</v>
      </c>
      <c r="I9100" t="s">
        <v>21</v>
      </c>
    </row>
    <row r="9101" spans="1:9" x14ac:dyDescent="0.25">
      <c r="A9101">
        <v>20140508</v>
      </c>
      <c r="B9101" t="str">
        <f>"115587"</f>
        <v>115587</v>
      </c>
      <c r="C9101" t="str">
        <f>"87528"</f>
        <v>87528</v>
      </c>
      <c r="D9101" t="s">
        <v>1048</v>
      </c>
      <c r="E9101" s="1">
        <v>1050</v>
      </c>
      <c r="F9101">
        <v>20140501</v>
      </c>
      <c r="G9101" t="s">
        <v>1049</v>
      </c>
      <c r="H9101" t="s">
        <v>1050</v>
      </c>
      <c r="I9101" t="s">
        <v>21</v>
      </c>
    </row>
    <row r="9102" spans="1:9" x14ac:dyDescent="0.25">
      <c r="A9102">
        <v>20140508</v>
      </c>
      <c r="B9102" t="str">
        <f t="shared" ref="B9102:B9116" si="535">"115588"</f>
        <v>115588</v>
      </c>
      <c r="C9102" t="str">
        <f t="shared" ref="C9102:C9116" si="536">"87714"</f>
        <v>87714</v>
      </c>
      <c r="D9102" t="s">
        <v>3141</v>
      </c>
      <c r="E9102" s="1">
        <v>3396.59</v>
      </c>
      <c r="F9102">
        <v>20140506</v>
      </c>
      <c r="G9102" t="s">
        <v>717</v>
      </c>
      <c r="H9102" t="s">
        <v>488</v>
      </c>
      <c r="I9102" t="s">
        <v>21</v>
      </c>
    </row>
    <row r="9103" spans="1:9" x14ac:dyDescent="0.25">
      <c r="A9103">
        <v>20140508</v>
      </c>
      <c r="B9103" t="str">
        <f t="shared" si="535"/>
        <v>115588</v>
      </c>
      <c r="C9103" t="str">
        <f t="shared" si="536"/>
        <v>87714</v>
      </c>
      <c r="D9103" t="s">
        <v>3141</v>
      </c>
      <c r="E9103" s="1">
        <v>34343.35</v>
      </c>
      <c r="F9103">
        <v>20140506</v>
      </c>
      <c r="G9103" t="s">
        <v>718</v>
      </c>
      <c r="H9103" t="s">
        <v>488</v>
      </c>
      <c r="I9103" t="s">
        <v>21</v>
      </c>
    </row>
    <row r="9104" spans="1:9" x14ac:dyDescent="0.25">
      <c r="A9104">
        <v>20140508</v>
      </c>
      <c r="B9104" t="str">
        <f t="shared" si="535"/>
        <v>115588</v>
      </c>
      <c r="C9104" t="str">
        <f t="shared" si="536"/>
        <v>87714</v>
      </c>
      <c r="D9104" t="s">
        <v>3141</v>
      </c>
      <c r="E9104" s="1">
        <v>19849.740000000002</v>
      </c>
      <c r="F9104">
        <v>20140506</v>
      </c>
      <c r="G9104" t="s">
        <v>719</v>
      </c>
      <c r="H9104" t="s">
        <v>488</v>
      </c>
      <c r="I9104" t="s">
        <v>21</v>
      </c>
    </row>
    <row r="9105" spans="1:9" x14ac:dyDescent="0.25">
      <c r="A9105">
        <v>20140508</v>
      </c>
      <c r="B9105" t="str">
        <f t="shared" si="535"/>
        <v>115588</v>
      </c>
      <c r="C9105" t="str">
        <f t="shared" si="536"/>
        <v>87714</v>
      </c>
      <c r="D9105" t="s">
        <v>3141</v>
      </c>
      <c r="E9105" s="1">
        <v>5022.3500000000004</v>
      </c>
      <c r="F9105">
        <v>20140506</v>
      </c>
      <c r="G9105" t="s">
        <v>720</v>
      </c>
      <c r="H9105" t="s">
        <v>488</v>
      </c>
      <c r="I9105" t="s">
        <v>21</v>
      </c>
    </row>
    <row r="9106" spans="1:9" x14ac:dyDescent="0.25">
      <c r="A9106">
        <v>20140508</v>
      </c>
      <c r="B9106" t="str">
        <f t="shared" si="535"/>
        <v>115588</v>
      </c>
      <c r="C9106" t="str">
        <f t="shared" si="536"/>
        <v>87714</v>
      </c>
      <c r="D9106" t="s">
        <v>3141</v>
      </c>
      <c r="E9106" s="1">
        <v>14270.26</v>
      </c>
      <c r="F9106">
        <v>20140506</v>
      </c>
      <c r="G9106" t="s">
        <v>721</v>
      </c>
      <c r="H9106" t="s">
        <v>488</v>
      </c>
      <c r="I9106" t="s">
        <v>21</v>
      </c>
    </row>
    <row r="9107" spans="1:9" x14ac:dyDescent="0.25">
      <c r="A9107">
        <v>20140508</v>
      </c>
      <c r="B9107" t="str">
        <f t="shared" si="535"/>
        <v>115588</v>
      </c>
      <c r="C9107" t="str">
        <f t="shared" si="536"/>
        <v>87714</v>
      </c>
      <c r="D9107" t="s">
        <v>3141</v>
      </c>
      <c r="E9107" s="1">
        <v>6048.14</v>
      </c>
      <c r="F9107">
        <v>20140506</v>
      </c>
      <c r="G9107" t="s">
        <v>722</v>
      </c>
      <c r="H9107" t="s">
        <v>488</v>
      </c>
      <c r="I9107" t="s">
        <v>21</v>
      </c>
    </row>
    <row r="9108" spans="1:9" x14ac:dyDescent="0.25">
      <c r="A9108">
        <v>20140508</v>
      </c>
      <c r="B9108" t="str">
        <f t="shared" si="535"/>
        <v>115588</v>
      </c>
      <c r="C9108" t="str">
        <f t="shared" si="536"/>
        <v>87714</v>
      </c>
      <c r="D9108" t="s">
        <v>3141</v>
      </c>
      <c r="E9108" s="1">
        <v>6524.3</v>
      </c>
      <c r="F9108">
        <v>20140506</v>
      </c>
      <c r="G9108" t="s">
        <v>723</v>
      </c>
      <c r="H9108" t="s">
        <v>488</v>
      </c>
      <c r="I9108" t="s">
        <v>21</v>
      </c>
    </row>
    <row r="9109" spans="1:9" x14ac:dyDescent="0.25">
      <c r="A9109">
        <v>20140508</v>
      </c>
      <c r="B9109" t="str">
        <f t="shared" si="535"/>
        <v>115588</v>
      </c>
      <c r="C9109" t="str">
        <f t="shared" si="536"/>
        <v>87714</v>
      </c>
      <c r="D9109" t="s">
        <v>3141</v>
      </c>
      <c r="E9109" s="1">
        <v>1245.32</v>
      </c>
      <c r="F9109">
        <v>20140506</v>
      </c>
      <c r="G9109" t="s">
        <v>724</v>
      </c>
      <c r="H9109" t="s">
        <v>488</v>
      </c>
      <c r="I9109" t="s">
        <v>21</v>
      </c>
    </row>
    <row r="9110" spans="1:9" x14ac:dyDescent="0.25">
      <c r="A9110">
        <v>20140508</v>
      </c>
      <c r="B9110" t="str">
        <f t="shared" si="535"/>
        <v>115588</v>
      </c>
      <c r="C9110" t="str">
        <f t="shared" si="536"/>
        <v>87714</v>
      </c>
      <c r="D9110" t="s">
        <v>3141</v>
      </c>
      <c r="E9110" s="1">
        <v>6561.45</v>
      </c>
      <c r="F9110">
        <v>20140506</v>
      </c>
      <c r="G9110" t="s">
        <v>725</v>
      </c>
      <c r="H9110" t="s">
        <v>488</v>
      </c>
      <c r="I9110" t="s">
        <v>21</v>
      </c>
    </row>
    <row r="9111" spans="1:9" x14ac:dyDescent="0.25">
      <c r="A9111">
        <v>20140508</v>
      </c>
      <c r="B9111" t="str">
        <f t="shared" si="535"/>
        <v>115588</v>
      </c>
      <c r="C9111" t="str">
        <f t="shared" si="536"/>
        <v>87714</v>
      </c>
      <c r="D9111" t="s">
        <v>3141</v>
      </c>
      <c r="E9111" s="1">
        <v>2132.44</v>
      </c>
      <c r="F9111">
        <v>20140506</v>
      </c>
      <c r="G9111" t="s">
        <v>726</v>
      </c>
      <c r="H9111" t="s">
        <v>488</v>
      </c>
      <c r="I9111" t="s">
        <v>21</v>
      </c>
    </row>
    <row r="9112" spans="1:9" x14ac:dyDescent="0.25">
      <c r="A9112">
        <v>20140508</v>
      </c>
      <c r="B9112" t="str">
        <f t="shared" si="535"/>
        <v>115588</v>
      </c>
      <c r="C9112" t="str">
        <f t="shared" si="536"/>
        <v>87714</v>
      </c>
      <c r="D9112" t="s">
        <v>3141</v>
      </c>
      <c r="E9112" s="1">
        <v>2540.4</v>
      </c>
      <c r="F9112">
        <v>20140506</v>
      </c>
      <c r="G9112" t="s">
        <v>727</v>
      </c>
      <c r="H9112" t="s">
        <v>488</v>
      </c>
      <c r="I9112" t="s">
        <v>21</v>
      </c>
    </row>
    <row r="9113" spans="1:9" x14ac:dyDescent="0.25">
      <c r="A9113">
        <v>20140508</v>
      </c>
      <c r="B9113" t="str">
        <f t="shared" si="535"/>
        <v>115588</v>
      </c>
      <c r="C9113" t="str">
        <f t="shared" si="536"/>
        <v>87714</v>
      </c>
      <c r="D9113" t="s">
        <v>3141</v>
      </c>
      <c r="E9113" s="1">
        <v>2230.0300000000002</v>
      </c>
      <c r="F9113">
        <v>20140506</v>
      </c>
      <c r="G9113" t="s">
        <v>728</v>
      </c>
      <c r="H9113" t="s">
        <v>488</v>
      </c>
      <c r="I9113" t="s">
        <v>21</v>
      </c>
    </row>
    <row r="9114" spans="1:9" x14ac:dyDescent="0.25">
      <c r="A9114">
        <v>20140508</v>
      </c>
      <c r="B9114" t="str">
        <f t="shared" si="535"/>
        <v>115588</v>
      </c>
      <c r="C9114" t="str">
        <f t="shared" si="536"/>
        <v>87714</v>
      </c>
      <c r="D9114" t="s">
        <v>3141</v>
      </c>
      <c r="E9114" s="1">
        <v>2732.08</v>
      </c>
      <c r="F9114">
        <v>20140506</v>
      </c>
      <c r="G9114" t="s">
        <v>729</v>
      </c>
      <c r="H9114" t="s">
        <v>488</v>
      </c>
      <c r="I9114" t="s">
        <v>21</v>
      </c>
    </row>
    <row r="9115" spans="1:9" x14ac:dyDescent="0.25">
      <c r="A9115">
        <v>20140508</v>
      </c>
      <c r="B9115" t="str">
        <f t="shared" si="535"/>
        <v>115588</v>
      </c>
      <c r="C9115" t="str">
        <f t="shared" si="536"/>
        <v>87714</v>
      </c>
      <c r="D9115" t="s">
        <v>3141</v>
      </c>
      <c r="E9115" s="1">
        <v>1385.17</v>
      </c>
      <c r="F9115">
        <v>20140506</v>
      </c>
      <c r="G9115" t="s">
        <v>643</v>
      </c>
      <c r="H9115" t="s">
        <v>488</v>
      </c>
      <c r="I9115" t="s">
        <v>21</v>
      </c>
    </row>
    <row r="9116" spans="1:9" x14ac:dyDescent="0.25">
      <c r="A9116">
        <v>20140508</v>
      </c>
      <c r="B9116" t="str">
        <f t="shared" si="535"/>
        <v>115588</v>
      </c>
      <c r="C9116" t="str">
        <f t="shared" si="536"/>
        <v>87714</v>
      </c>
      <c r="D9116" t="s">
        <v>3141</v>
      </c>
      <c r="E9116">
        <v>11.43</v>
      </c>
      <c r="F9116">
        <v>20140506</v>
      </c>
      <c r="G9116" t="s">
        <v>467</v>
      </c>
      <c r="H9116" t="s">
        <v>488</v>
      </c>
      <c r="I9116" t="s">
        <v>21</v>
      </c>
    </row>
    <row r="9117" spans="1:9" x14ac:dyDescent="0.25">
      <c r="A9117">
        <v>20140508</v>
      </c>
      <c r="B9117" t="str">
        <f t="shared" ref="B9117:B9129" si="537">"115589"</f>
        <v>115589</v>
      </c>
      <c r="C9117" t="str">
        <f t="shared" ref="C9117:C9129" si="538">"25516"</f>
        <v>25516</v>
      </c>
      <c r="D9117" t="s">
        <v>529</v>
      </c>
      <c r="E9117">
        <v>934.26</v>
      </c>
      <c r="F9117">
        <v>20140507</v>
      </c>
      <c r="G9117" t="s">
        <v>413</v>
      </c>
      <c r="H9117" t="s">
        <v>414</v>
      </c>
      <c r="I9117" t="s">
        <v>21</v>
      </c>
    </row>
    <row r="9118" spans="1:9" x14ac:dyDescent="0.25">
      <c r="A9118">
        <v>20140508</v>
      </c>
      <c r="B9118" t="str">
        <f t="shared" si="537"/>
        <v>115589</v>
      </c>
      <c r="C9118" t="str">
        <f t="shared" si="538"/>
        <v>25516</v>
      </c>
      <c r="D9118" t="s">
        <v>529</v>
      </c>
      <c r="E9118" s="1">
        <v>1209.6199999999999</v>
      </c>
      <c r="F9118">
        <v>20140507</v>
      </c>
      <c r="G9118" t="s">
        <v>473</v>
      </c>
      <c r="H9118" t="s">
        <v>414</v>
      </c>
      <c r="I9118" t="s">
        <v>21</v>
      </c>
    </row>
    <row r="9119" spans="1:9" x14ac:dyDescent="0.25">
      <c r="A9119">
        <v>20140508</v>
      </c>
      <c r="B9119" t="str">
        <f t="shared" si="537"/>
        <v>115589</v>
      </c>
      <c r="C9119" t="str">
        <f t="shared" si="538"/>
        <v>25516</v>
      </c>
      <c r="D9119" t="s">
        <v>529</v>
      </c>
      <c r="E9119" s="1">
        <v>1216.76</v>
      </c>
      <c r="F9119">
        <v>20140507</v>
      </c>
      <c r="G9119" t="s">
        <v>475</v>
      </c>
      <c r="H9119" t="s">
        <v>414</v>
      </c>
      <c r="I9119" t="s">
        <v>21</v>
      </c>
    </row>
    <row r="9120" spans="1:9" x14ac:dyDescent="0.25">
      <c r="A9120">
        <v>20140508</v>
      </c>
      <c r="B9120" t="str">
        <f t="shared" si="537"/>
        <v>115589</v>
      </c>
      <c r="C9120" t="str">
        <f t="shared" si="538"/>
        <v>25516</v>
      </c>
      <c r="D9120" t="s">
        <v>529</v>
      </c>
      <c r="E9120">
        <v>213.55</v>
      </c>
      <c r="F9120">
        <v>20140507</v>
      </c>
      <c r="G9120" t="s">
        <v>476</v>
      </c>
      <c r="H9120" t="s">
        <v>414</v>
      </c>
      <c r="I9120" t="s">
        <v>21</v>
      </c>
    </row>
    <row r="9121" spans="1:9" x14ac:dyDescent="0.25">
      <c r="A9121">
        <v>20140508</v>
      </c>
      <c r="B9121" t="str">
        <f t="shared" si="537"/>
        <v>115589</v>
      </c>
      <c r="C9121" t="str">
        <f t="shared" si="538"/>
        <v>25516</v>
      </c>
      <c r="D9121" t="s">
        <v>529</v>
      </c>
      <c r="E9121" s="1">
        <v>1273.8</v>
      </c>
      <c r="F9121">
        <v>20140507</v>
      </c>
      <c r="G9121" t="s">
        <v>477</v>
      </c>
      <c r="H9121" t="s">
        <v>414</v>
      </c>
      <c r="I9121" t="s">
        <v>21</v>
      </c>
    </row>
    <row r="9122" spans="1:9" x14ac:dyDescent="0.25">
      <c r="A9122">
        <v>20140508</v>
      </c>
      <c r="B9122" t="str">
        <f t="shared" si="537"/>
        <v>115589</v>
      </c>
      <c r="C9122" t="str">
        <f t="shared" si="538"/>
        <v>25516</v>
      </c>
      <c r="D9122" t="s">
        <v>529</v>
      </c>
      <c r="E9122" s="1">
        <v>1466.03</v>
      </c>
      <c r="F9122">
        <v>20140507</v>
      </c>
      <c r="G9122" t="s">
        <v>478</v>
      </c>
      <c r="H9122" t="s">
        <v>414</v>
      </c>
      <c r="I9122" t="s">
        <v>21</v>
      </c>
    </row>
    <row r="9123" spans="1:9" x14ac:dyDescent="0.25">
      <c r="A9123">
        <v>20140508</v>
      </c>
      <c r="B9123" t="str">
        <f t="shared" si="537"/>
        <v>115589</v>
      </c>
      <c r="C9123" t="str">
        <f t="shared" si="538"/>
        <v>25516</v>
      </c>
      <c r="D9123" t="s">
        <v>529</v>
      </c>
      <c r="E9123" s="1">
        <v>1962.25</v>
      </c>
      <c r="F9123">
        <v>20140507</v>
      </c>
      <c r="G9123" t="s">
        <v>479</v>
      </c>
      <c r="H9123" t="s">
        <v>414</v>
      </c>
      <c r="I9123" t="s">
        <v>21</v>
      </c>
    </row>
    <row r="9124" spans="1:9" x14ac:dyDescent="0.25">
      <c r="A9124">
        <v>20140508</v>
      </c>
      <c r="B9124" t="str">
        <f t="shared" si="537"/>
        <v>115589</v>
      </c>
      <c r="C9124" t="str">
        <f t="shared" si="538"/>
        <v>25516</v>
      </c>
      <c r="D9124" t="s">
        <v>529</v>
      </c>
      <c r="E9124">
        <v>945.79</v>
      </c>
      <c r="F9124">
        <v>20140507</v>
      </c>
      <c r="G9124" t="s">
        <v>480</v>
      </c>
      <c r="H9124" t="s">
        <v>414</v>
      </c>
      <c r="I9124" t="s">
        <v>21</v>
      </c>
    </row>
    <row r="9125" spans="1:9" x14ac:dyDescent="0.25">
      <c r="A9125">
        <v>20140508</v>
      </c>
      <c r="B9125" t="str">
        <f t="shared" si="537"/>
        <v>115589</v>
      </c>
      <c r="C9125" t="str">
        <f t="shared" si="538"/>
        <v>25516</v>
      </c>
      <c r="D9125" t="s">
        <v>529</v>
      </c>
      <c r="E9125" s="1">
        <v>1638.77</v>
      </c>
      <c r="F9125">
        <v>20140507</v>
      </c>
      <c r="G9125" t="s">
        <v>481</v>
      </c>
      <c r="H9125" t="s">
        <v>414</v>
      </c>
      <c r="I9125" t="s">
        <v>21</v>
      </c>
    </row>
    <row r="9126" spans="1:9" x14ac:dyDescent="0.25">
      <c r="A9126">
        <v>20140508</v>
      </c>
      <c r="B9126" t="str">
        <f t="shared" si="537"/>
        <v>115589</v>
      </c>
      <c r="C9126" t="str">
        <f t="shared" si="538"/>
        <v>25516</v>
      </c>
      <c r="D9126" t="s">
        <v>529</v>
      </c>
      <c r="E9126" s="1">
        <v>2599.46</v>
      </c>
      <c r="F9126">
        <v>20140507</v>
      </c>
      <c r="G9126" t="s">
        <v>482</v>
      </c>
      <c r="H9126" t="s">
        <v>414</v>
      </c>
      <c r="I9126" t="s">
        <v>21</v>
      </c>
    </row>
    <row r="9127" spans="1:9" x14ac:dyDescent="0.25">
      <c r="A9127">
        <v>20140508</v>
      </c>
      <c r="B9127" t="str">
        <f t="shared" si="537"/>
        <v>115589</v>
      </c>
      <c r="C9127" t="str">
        <f t="shared" si="538"/>
        <v>25516</v>
      </c>
      <c r="D9127" t="s">
        <v>529</v>
      </c>
      <c r="E9127">
        <v>97.05</v>
      </c>
      <c r="F9127">
        <v>20140507</v>
      </c>
      <c r="G9127" t="s">
        <v>483</v>
      </c>
      <c r="H9127" t="s">
        <v>414</v>
      </c>
      <c r="I9127" t="s">
        <v>21</v>
      </c>
    </row>
    <row r="9128" spans="1:9" x14ac:dyDescent="0.25">
      <c r="A9128">
        <v>20140508</v>
      </c>
      <c r="B9128" t="str">
        <f t="shared" si="537"/>
        <v>115589</v>
      </c>
      <c r="C9128" t="str">
        <f t="shared" si="538"/>
        <v>25516</v>
      </c>
      <c r="D9128" t="s">
        <v>529</v>
      </c>
      <c r="E9128">
        <v>244.94</v>
      </c>
      <c r="F9128">
        <v>20140507</v>
      </c>
      <c r="G9128" t="s">
        <v>484</v>
      </c>
      <c r="H9128" t="s">
        <v>414</v>
      </c>
      <c r="I9128" t="s">
        <v>21</v>
      </c>
    </row>
    <row r="9129" spans="1:9" x14ac:dyDescent="0.25">
      <c r="A9129">
        <v>20140508</v>
      </c>
      <c r="B9129" t="str">
        <f t="shared" si="537"/>
        <v>115589</v>
      </c>
      <c r="C9129" t="str">
        <f t="shared" si="538"/>
        <v>25516</v>
      </c>
      <c r="D9129" t="s">
        <v>529</v>
      </c>
      <c r="E9129">
        <v>333.34</v>
      </c>
      <c r="F9129">
        <v>20140507</v>
      </c>
      <c r="G9129" t="s">
        <v>485</v>
      </c>
      <c r="H9129" t="s">
        <v>414</v>
      </c>
      <c r="I9129" t="s">
        <v>21</v>
      </c>
    </row>
    <row r="9130" spans="1:9" x14ac:dyDescent="0.25">
      <c r="A9130">
        <v>20140508</v>
      </c>
      <c r="B9130" t="str">
        <f>"115590"</f>
        <v>115590</v>
      </c>
      <c r="C9130" t="str">
        <f>"85549"</f>
        <v>85549</v>
      </c>
      <c r="D9130" t="s">
        <v>4214</v>
      </c>
      <c r="E9130">
        <v>458.6</v>
      </c>
      <c r="F9130">
        <v>20140502</v>
      </c>
      <c r="G9130" t="s">
        <v>1013</v>
      </c>
      <c r="H9130" t="s">
        <v>4215</v>
      </c>
      <c r="I9130" t="s">
        <v>38</v>
      </c>
    </row>
    <row r="9131" spans="1:9" x14ac:dyDescent="0.25">
      <c r="A9131">
        <v>20140508</v>
      </c>
      <c r="B9131" t="str">
        <f>"115591"</f>
        <v>115591</v>
      </c>
      <c r="C9131" t="str">
        <f>"82613"</f>
        <v>82613</v>
      </c>
      <c r="D9131" t="s">
        <v>546</v>
      </c>
      <c r="E9131">
        <v>198</v>
      </c>
      <c r="F9131">
        <v>20140506</v>
      </c>
      <c r="G9131" t="s">
        <v>337</v>
      </c>
      <c r="H9131" t="s">
        <v>4216</v>
      </c>
      <c r="I9131" t="s">
        <v>21</v>
      </c>
    </row>
    <row r="9132" spans="1:9" x14ac:dyDescent="0.25">
      <c r="A9132">
        <v>20140508</v>
      </c>
      <c r="B9132" t="str">
        <f t="shared" ref="B9132:B9141" si="539">"115592"</f>
        <v>115592</v>
      </c>
      <c r="C9132" t="str">
        <f t="shared" ref="C9132:C9141" si="540">"87828"</f>
        <v>87828</v>
      </c>
      <c r="D9132" t="s">
        <v>4217</v>
      </c>
      <c r="E9132" s="1">
        <v>13437.42</v>
      </c>
      <c r="F9132">
        <v>20140502</v>
      </c>
      <c r="G9132" t="s">
        <v>1656</v>
      </c>
      <c r="H9132" t="s">
        <v>4218</v>
      </c>
      <c r="I9132" t="s">
        <v>66</v>
      </c>
    </row>
    <row r="9133" spans="1:9" x14ac:dyDescent="0.25">
      <c r="A9133">
        <v>20140508</v>
      </c>
      <c r="B9133" t="str">
        <f t="shared" si="539"/>
        <v>115592</v>
      </c>
      <c r="C9133" t="str">
        <f t="shared" si="540"/>
        <v>87828</v>
      </c>
      <c r="D9133" t="s">
        <v>4217</v>
      </c>
      <c r="E9133" s="1">
        <v>1000</v>
      </c>
      <c r="F9133">
        <v>20140502</v>
      </c>
      <c r="G9133" t="s">
        <v>4219</v>
      </c>
      <c r="H9133" t="s">
        <v>4218</v>
      </c>
      <c r="I9133" t="s">
        <v>66</v>
      </c>
    </row>
    <row r="9134" spans="1:9" x14ac:dyDescent="0.25">
      <c r="A9134">
        <v>20140508</v>
      </c>
      <c r="B9134" t="str">
        <f t="shared" si="539"/>
        <v>115592</v>
      </c>
      <c r="C9134" t="str">
        <f t="shared" si="540"/>
        <v>87828</v>
      </c>
      <c r="D9134" t="s">
        <v>4217</v>
      </c>
      <c r="E9134" s="1">
        <v>1000</v>
      </c>
      <c r="F9134">
        <v>20140502</v>
      </c>
      <c r="G9134" t="s">
        <v>4220</v>
      </c>
      <c r="H9134" t="s">
        <v>4218</v>
      </c>
      <c r="I9134" t="s">
        <v>66</v>
      </c>
    </row>
    <row r="9135" spans="1:9" x14ac:dyDescent="0.25">
      <c r="A9135">
        <v>20140508</v>
      </c>
      <c r="B9135" t="str">
        <f t="shared" si="539"/>
        <v>115592</v>
      </c>
      <c r="C9135" t="str">
        <f t="shared" si="540"/>
        <v>87828</v>
      </c>
      <c r="D9135" t="s">
        <v>4217</v>
      </c>
      <c r="E9135">
        <v>750</v>
      </c>
      <c r="F9135">
        <v>20140502</v>
      </c>
      <c r="G9135" t="s">
        <v>4221</v>
      </c>
      <c r="H9135" t="s">
        <v>4218</v>
      </c>
      <c r="I9135" t="s">
        <v>66</v>
      </c>
    </row>
    <row r="9136" spans="1:9" x14ac:dyDescent="0.25">
      <c r="A9136">
        <v>20140508</v>
      </c>
      <c r="B9136" t="str">
        <f t="shared" si="539"/>
        <v>115592</v>
      </c>
      <c r="C9136" t="str">
        <f t="shared" si="540"/>
        <v>87828</v>
      </c>
      <c r="D9136" t="s">
        <v>4217</v>
      </c>
      <c r="E9136">
        <v>750</v>
      </c>
      <c r="F9136">
        <v>20140502</v>
      </c>
      <c r="G9136" t="s">
        <v>4222</v>
      </c>
      <c r="H9136" t="s">
        <v>4218</v>
      </c>
      <c r="I9136" t="s">
        <v>66</v>
      </c>
    </row>
    <row r="9137" spans="1:9" x14ac:dyDescent="0.25">
      <c r="A9137">
        <v>20140508</v>
      </c>
      <c r="B9137" t="str">
        <f t="shared" si="539"/>
        <v>115592</v>
      </c>
      <c r="C9137" t="str">
        <f t="shared" si="540"/>
        <v>87828</v>
      </c>
      <c r="D9137" t="s">
        <v>4217</v>
      </c>
      <c r="E9137">
        <v>499.94</v>
      </c>
      <c r="F9137">
        <v>20140502</v>
      </c>
      <c r="G9137" t="s">
        <v>617</v>
      </c>
      <c r="H9137" t="s">
        <v>4218</v>
      </c>
      <c r="I9137" t="s">
        <v>66</v>
      </c>
    </row>
    <row r="9138" spans="1:9" x14ac:dyDescent="0.25">
      <c r="A9138">
        <v>20140508</v>
      </c>
      <c r="B9138" t="str">
        <f t="shared" si="539"/>
        <v>115592</v>
      </c>
      <c r="C9138" t="str">
        <f t="shared" si="540"/>
        <v>87828</v>
      </c>
      <c r="D9138" t="s">
        <v>4217</v>
      </c>
      <c r="E9138">
        <v>750</v>
      </c>
      <c r="F9138">
        <v>20140502</v>
      </c>
      <c r="G9138" t="s">
        <v>4223</v>
      </c>
      <c r="H9138" t="s">
        <v>4218</v>
      </c>
      <c r="I9138" t="s">
        <v>66</v>
      </c>
    </row>
    <row r="9139" spans="1:9" x14ac:dyDescent="0.25">
      <c r="A9139">
        <v>20140508</v>
      </c>
      <c r="B9139" t="str">
        <f t="shared" si="539"/>
        <v>115592</v>
      </c>
      <c r="C9139" t="str">
        <f t="shared" si="540"/>
        <v>87828</v>
      </c>
      <c r="D9139" t="s">
        <v>4217</v>
      </c>
      <c r="E9139">
        <v>750</v>
      </c>
      <c r="F9139">
        <v>20140502</v>
      </c>
      <c r="G9139" t="s">
        <v>4224</v>
      </c>
      <c r="H9139" t="s">
        <v>4218</v>
      </c>
      <c r="I9139" t="s">
        <v>66</v>
      </c>
    </row>
    <row r="9140" spans="1:9" x14ac:dyDescent="0.25">
      <c r="A9140">
        <v>20140508</v>
      </c>
      <c r="B9140" t="str">
        <f t="shared" si="539"/>
        <v>115592</v>
      </c>
      <c r="C9140" t="str">
        <f t="shared" si="540"/>
        <v>87828</v>
      </c>
      <c r="D9140" t="s">
        <v>4217</v>
      </c>
      <c r="E9140">
        <v>673.14</v>
      </c>
      <c r="F9140">
        <v>20140502</v>
      </c>
      <c r="G9140" t="s">
        <v>2803</v>
      </c>
      <c r="H9140" t="s">
        <v>4218</v>
      </c>
      <c r="I9140" t="s">
        <v>66</v>
      </c>
    </row>
    <row r="9141" spans="1:9" x14ac:dyDescent="0.25">
      <c r="A9141">
        <v>20140508</v>
      </c>
      <c r="B9141" t="str">
        <f t="shared" si="539"/>
        <v>115592</v>
      </c>
      <c r="C9141" t="str">
        <f t="shared" si="540"/>
        <v>87828</v>
      </c>
      <c r="D9141" t="s">
        <v>4217</v>
      </c>
      <c r="E9141" s="1">
        <v>32806.5</v>
      </c>
      <c r="F9141">
        <v>20140502</v>
      </c>
      <c r="G9141" t="s">
        <v>2443</v>
      </c>
      <c r="H9141" t="s">
        <v>4218</v>
      </c>
      <c r="I9141" t="s">
        <v>233</v>
      </c>
    </row>
    <row r="9142" spans="1:9" x14ac:dyDescent="0.25">
      <c r="A9142">
        <v>20140508</v>
      </c>
      <c r="B9142" t="str">
        <f>"115593"</f>
        <v>115593</v>
      </c>
      <c r="C9142" t="str">
        <f>"86924"</f>
        <v>86924</v>
      </c>
      <c r="D9142" t="s">
        <v>548</v>
      </c>
      <c r="E9142" s="1">
        <v>1050</v>
      </c>
      <c r="F9142">
        <v>20140502</v>
      </c>
      <c r="G9142" t="s">
        <v>810</v>
      </c>
      <c r="H9142" t="s">
        <v>1054</v>
      </c>
      <c r="I9142" t="s">
        <v>66</v>
      </c>
    </row>
    <row r="9143" spans="1:9" x14ac:dyDescent="0.25">
      <c r="A9143">
        <v>20140508</v>
      </c>
      <c r="B9143" t="str">
        <f t="shared" ref="B9143:B9148" si="541">"115594"</f>
        <v>115594</v>
      </c>
      <c r="C9143" t="str">
        <f t="shared" ref="C9143:C9148" si="542">"27981"</f>
        <v>27981</v>
      </c>
      <c r="D9143" t="s">
        <v>551</v>
      </c>
      <c r="E9143">
        <v>120.36</v>
      </c>
      <c r="F9143">
        <v>20140506</v>
      </c>
      <c r="G9143" t="s">
        <v>627</v>
      </c>
      <c r="H9143" t="s">
        <v>414</v>
      </c>
      <c r="I9143" t="s">
        <v>21</v>
      </c>
    </row>
    <row r="9144" spans="1:9" x14ac:dyDescent="0.25">
      <c r="A9144">
        <v>20140508</v>
      </c>
      <c r="B9144" t="str">
        <f t="shared" si="541"/>
        <v>115594</v>
      </c>
      <c r="C9144" t="str">
        <f t="shared" si="542"/>
        <v>27981</v>
      </c>
      <c r="D9144" t="s">
        <v>551</v>
      </c>
      <c r="E9144">
        <v>206.34</v>
      </c>
      <c r="F9144">
        <v>20140501</v>
      </c>
      <c r="G9144" t="s">
        <v>1222</v>
      </c>
      <c r="H9144" t="s">
        <v>414</v>
      </c>
      <c r="I9144" t="s">
        <v>21</v>
      </c>
    </row>
    <row r="9145" spans="1:9" x14ac:dyDescent="0.25">
      <c r="A9145">
        <v>20140508</v>
      </c>
      <c r="B9145" t="str">
        <f t="shared" si="541"/>
        <v>115594</v>
      </c>
      <c r="C9145" t="str">
        <f t="shared" si="542"/>
        <v>27981</v>
      </c>
      <c r="D9145" t="s">
        <v>551</v>
      </c>
      <c r="E9145">
        <v>39.4</v>
      </c>
      <c r="F9145">
        <v>20140506</v>
      </c>
      <c r="G9145" t="s">
        <v>392</v>
      </c>
      <c r="H9145" t="s">
        <v>414</v>
      </c>
      <c r="I9145" t="s">
        <v>21</v>
      </c>
    </row>
    <row r="9146" spans="1:9" x14ac:dyDescent="0.25">
      <c r="A9146">
        <v>20140508</v>
      </c>
      <c r="B9146" t="str">
        <f t="shared" si="541"/>
        <v>115594</v>
      </c>
      <c r="C9146" t="str">
        <f t="shared" si="542"/>
        <v>27981</v>
      </c>
      <c r="D9146" t="s">
        <v>551</v>
      </c>
      <c r="E9146">
        <v>109.79</v>
      </c>
      <c r="F9146">
        <v>20140506</v>
      </c>
      <c r="G9146" t="s">
        <v>392</v>
      </c>
      <c r="H9146" t="s">
        <v>414</v>
      </c>
      <c r="I9146" t="s">
        <v>21</v>
      </c>
    </row>
    <row r="9147" spans="1:9" x14ac:dyDescent="0.25">
      <c r="A9147">
        <v>20140508</v>
      </c>
      <c r="B9147" t="str">
        <f t="shared" si="541"/>
        <v>115594</v>
      </c>
      <c r="C9147" t="str">
        <f t="shared" si="542"/>
        <v>27981</v>
      </c>
      <c r="D9147" t="s">
        <v>551</v>
      </c>
      <c r="E9147">
        <v>26.14</v>
      </c>
      <c r="F9147">
        <v>20140506</v>
      </c>
      <c r="G9147" t="s">
        <v>392</v>
      </c>
      <c r="H9147" t="s">
        <v>414</v>
      </c>
      <c r="I9147" t="s">
        <v>21</v>
      </c>
    </row>
    <row r="9148" spans="1:9" x14ac:dyDescent="0.25">
      <c r="A9148">
        <v>20140508</v>
      </c>
      <c r="B9148" t="str">
        <f t="shared" si="541"/>
        <v>115594</v>
      </c>
      <c r="C9148" t="str">
        <f t="shared" si="542"/>
        <v>27981</v>
      </c>
      <c r="D9148" t="s">
        <v>551</v>
      </c>
      <c r="E9148">
        <v>17.02</v>
      </c>
      <c r="F9148">
        <v>20140501</v>
      </c>
      <c r="G9148" t="s">
        <v>3820</v>
      </c>
      <c r="H9148" t="s">
        <v>414</v>
      </c>
      <c r="I9148" t="s">
        <v>21</v>
      </c>
    </row>
    <row r="9149" spans="1:9" x14ac:dyDescent="0.25">
      <c r="A9149">
        <v>20140508</v>
      </c>
      <c r="B9149" t="str">
        <f>"115595"</f>
        <v>115595</v>
      </c>
      <c r="C9149" t="str">
        <f>"00307"</f>
        <v>00307</v>
      </c>
      <c r="D9149" t="s">
        <v>2505</v>
      </c>
      <c r="E9149">
        <v>100</v>
      </c>
      <c r="F9149">
        <v>20140502</v>
      </c>
      <c r="G9149" t="s">
        <v>1254</v>
      </c>
      <c r="H9149" t="s">
        <v>4225</v>
      </c>
      <c r="I9149" t="s">
        <v>79</v>
      </c>
    </row>
    <row r="9150" spans="1:9" x14ac:dyDescent="0.25">
      <c r="A9150">
        <v>20140508</v>
      </c>
      <c r="B9150" t="str">
        <f>"115596"</f>
        <v>115596</v>
      </c>
      <c r="C9150" t="str">
        <f>"29167"</f>
        <v>29167</v>
      </c>
      <c r="D9150" t="s">
        <v>4226</v>
      </c>
      <c r="E9150">
        <v>548.64</v>
      </c>
      <c r="F9150">
        <v>20140501</v>
      </c>
      <c r="G9150" t="s">
        <v>982</v>
      </c>
      <c r="H9150" t="s">
        <v>921</v>
      </c>
      <c r="I9150" t="s">
        <v>21</v>
      </c>
    </row>
    <row r="9151" spans="1:9" x14ac:dyDescent="0.25">
      <c r="A9151">
        <v>20140508</v>
      </c>
      <c r="B9151" t="str">
        <f>"115596"</f>
        <v>115596</v>
      </c>
      <c r="C9151" t="str">
        <f>"29167"</f>
        <v>29167</v>
      </c>
      <c r="D9151" t="s">
        <v>4226</v>
      </c>
      <c r="E9151">
        <v>-548.64</v>
      </c>
      <c r="F9151">
        <v>20140612</v>
      </c>
      <c r="G9151" t="s">
        <v>982</v>
      </c>
      <c r="H9151" t="s">
        <v>4227</v>
      </c>
      <c r="I9151" t="s">
        <v>21</v>
      </c>
    </row>
    <row r="9152" spans="1:9" x14ac:dyDescent="0.25">
      <c r="A9152">
        <v>20140508</v>
      </c>
      <c r="B9152" t="str">
        <f t="shared" ref="B9152:B9158" si="543">"115597"</f>
        <v>115597</v>
      </c>
      <c r="C9152" t="str">
        <f t="shared" ref="C9152:C9158" si="544">"81292"</f>
        <v>81292</v>
      </c>
      <c r="D9152" t="s">
        <v>1417</v>
      </c>
      <c r="E9152">
        <v>10.59</v>
      </c>
      <c r="F9152">
        <v>20140501</v>
      </c>
      <c r="G9152" t="s">
        <v>498</v>
      </c>
      <c r="H9152" t="s">
        <v>499</v>
      </c>
      <c r="I9152" t="s">
        <v>21</v>
      </c>
    </row>
    <row r="9153" spans="1:9" x14ac:dyDescent="0.25">
      <c r="A9153">
        <v>20140508</v>
      </c>
      <c r="B9153" t="str">
        <f t="shared" si="543"/>
        <v>115597</v>
      </c>
      <c r="C9153" t="str">
        <f t="shared" si="544"/>
        <v>81292</v>
      </c>
      <c r="D9153" t="s">
        <v>1417</v>
      </c>
      <c r="E9153">
        <v>43.76</v>
      </c>
      <c r="F9153">
        <v>20140501</v>
      </c>
      <c r="G9153" t="s">
        <v>498</v>
      </c>
      <c r="H9153" t="s">
        <v>499</v>
      </c>
      <c r="I9153" t="s">
        <v>21</v>
      </c>
    </row>
    <row r="9154" spans="1:9" x14ac:dyDescent="0.25">
      <c r="A9154">
        <v>20140508</v>
      </c>
      <c r="B9154" t="str">
        <f t="shared" si="543"/>
        <v>115597</v>
      </c>
      <c r="C9154" t="str">
        <f t="shared" si="544"/>
        <v>81292</v>
      </c>
      <c r="D9154" t="s">
        <v>1417</v>
      </c>
      <c r="E9154">
        <v>9.98</v>
      </c>
      <c r="F9154">
        <v>20140501</v>
      </c>
      <c r="G9154" t="s">
        <v>496</v>
      </c>
      <c r="H9154" t="s">
        <v>414</v>
      </c>
      <c r="I9154" t="s">
        <v>21</v>
      </c>
    </row>
    <row r="9155" spans="1:9" x14ac:dyDescent="0.25">
      <c r="A9155">
        <v>20140508</v>
      </c>
      <c r="B9155" t="str">
        <f t="shared" si="543"/>
        <v>115597</v>
      </c>
      <c r="C9155" t="str">
        <f t="shared" si="544"/>
        <v>81292</v>
      </c>
      <c r="D9155" t="s">
        <v>1417</v>
      </c>
      <c r="E9155">
        <v>4.84</v>
      </c>
      <c r="F9155">
        <v>20140501</v>
      </c>
      <c r="G9155" t="s">
        <v>496</v>
      </c>
      <c r="H9155" t="s">
        <v>414</v>
      </c>
      <c r="I9155" t="s">
        <v>21</v>
      </c>
    </row>
    <row r="9156" spans="1:9" x14ac:dyDescent="0.25">
      <c r="A9156">
        <v>20140508</v>
      </c>
      <c r="B9156" t="str">
        <f t="shared" si="543"/>
        <v>115597</v>
      </c>
      <c r="C9156" t="str">
        <f t="shared" si="544"/>
        <v>81292</v>
      </c>
      <c r="D9156" t="s">
        <v>1417</v>
      </c>
      <c r="E9156">
        <v>46.91</v>
      </c>
      <c r="F9156">
        <v>20140501</v>
      </c>
      <c r="G9156" t="s">
        <v>392</v>
      </c>
      <c r="H9156" t="s">
        <v>414</v>
      </c>
      <c r="I9156" t="s">
        <v>21</v>
      </c>
    </row>
    <row r="9157" spans="1:9" x14ac:dyDescent="0.25">
      <c r="A9157">
        <v>20140508</v>
      </c>
      <c r="B9157" t="str">
        <f t="shared" si="543"/>
        <v>115597</v>
      </c>
      <c r="C9157" t="str">
        <f t="shared" si="544"/>
        <v>81292</v>
      </c>
      <c r="D9157" t="s">
        <v>1417</v>
      </c>
      <c r="E9157">
        <v>134.57</v>
      </c>
      <c r="F9157">
        <v>20140506</v>
      </c>
      <c r="G9157" t="s">
        <v>392</v>
      </c>
      <c r="H9157" t="s">
        <v>4228</v>
      </c>
      <c r="I9157" t="s">
        <v>21</v>
      </c>
    </row>
    <row r="9158" spans="1:9" x14ac:dyDescent="0.25">
      <c r="A9158">
        <v>20140508</v>
      </c>
      <c r="B9158" t="str">
        <f t="shared" si="543"/>
        <v>115597</v>
      </c>
      <c r="C9158" t="str">
        <f t="shared" si="544"/>
        <v>81292</v>
      </c>
      <c r="D9158" t="s">
        <v>1417</v>
      </c>
      <c r="E9158">
        <v>5.81</v>
      </c>
      <c r="F9158">
        <v>20140506</v>
      </c>
      <c r="G9158" t="s">
        <v>392</v>
      </c>
      <c r="H9158" t="s">
        <v>4229</v>
      </c>
      <c r="I9158" t="s">
        <v>21</v>
      </c>
    </row>
    <row r="9159" spans="1:9" x14ac:dyDescent="0.25">
      <c r="A9159">
        <v>20140508</v>
      </c>
      <c r="B9159" t="str">
        <f>"115598"</f>
        <v>115598</v>
      </c>
      <c r="C9159" t="str">
        <f>"86945"</f>
        <v>86945</v>
      </c>
      <c r="D9159" t="s">
        <v>1589</v>
      </c>
      <c r="E9159">
        <v>111.6</v>
      </c>
      <c r="F9159">
        <v>20140506</v>
      </c>
      <c r="G9159" t="s">
        <v>1145</v>
      </c>
      <c r="H9159" t="s">
        <v>365</v>
      </c>
      <c r="I9159" t="s">
        <v>73</v>
      </c>
    </row>
    <row r="9160" spans="1:9" x14ac:dyDescent="0.25">
      <c r="A9160">
        <v>20140508</v>
      </c>
      <c r="B9160" t="str">
        <f>"115599"</f>
        <v>115599</v>
      </c>
      <c r="C9160" t="str">
        <f>"87471"</f>
        <v>87471</v>
      </c>
      <c r="D9160" t="s">
        <v>1418</v>
      </c>
      <c r="E9160">
        <v>350</v>
      </c>
      <c r="F9160">
        <v>20140501</v>
      </c>
      <c r="G9160" t="s">
        <v>1270</v>
      </c>
      <c r="H9160" t="s">
        <v>4068</v>
      </c>
      <c r="I9160" t="s">
        <v>21</v>
      </c>
    </row>
    <row r="9161" spans="1:9" x14ac:dyDescent="0.25">
      <c r="A9161">
        <v>20140508</v>
      </c>
      <c r="B9161" t="str">
        <f t="shared" ref="B9161:B9166" si="545">"115600"</f>
        <v>115600</v>
      </c>
      <c r="C9161" t="str">
        <f t="shared" ref="C9161:C9166" si="546">"30000"</f>
        <v>30000</v>
      </c>
      <c r="D9161" t="s">
        <v>556</v>
      </c>
      <c r="E9161" s="1">
        <v>1651.2</v>
      </c>
      <c r="F9161">
        <v>20140507</v>
      </c>
      <c r="G9161" t="s">
        <v>828</v>
      </c>
      <c r="H9161" t="s">
        <v>4230</v>
      </c>
      <c r="I9161" t="s">
        <v>21</v>
      </c>
    </row>
    <row r="9162" spans="1:9" x14ac:dyDescent="0.25">
      <c r="A9162">
        <v>20140508</v>
      </c>
      <c r="B9162" t="str">
        <f t="shared" si="545"/>
        <v>115600</v>
      </c>
      <c r="C9162" t="str">
        <f t="shared" si="546"/>
        <v>30000</v>
      </c>
      <c r="D9162" t="s">
        <v>556</v>
      </c>
      <c r="E9162">
        <v>209.43</v>
      </c>
      <c r="F9162">
        <v>20140502</v>
      </c>
      <c r="G9162" t="s">
        <v>583</v>
      </c>
      <c r="H9162" t="s">
        <v>4231</v>
      </c>
      <c r="I9162" t="s">
        <v>21</v>
      </c>
    </row>
    <row r="9163" spans="1:9" x14ac:dyDescent="0.25">
      <c r="A9163">
        <v>20140508</v>
      </c>
      <c r="B9163" t="str">
        <f t="shared" si="545"/>
        <v>115600</v>
      </c>
      <c r="C9163" t="str">
        <f t="shared" si="546"/>
        <v>30000</v>
      </c>
      <c r="D9163" t="s">
        <v>556</v>
      </c>
      <c r="E9163">
        <v>62.97</v>
      </c>
      <c r="F9163">
        <v>20140502</v>
      </c>
      <c r="G9163" t="s">
        <v>3029</v>
      </c>
      <c r="H9163" t="s">
        <v>4232</v>
      </c>
      <c r="I9163" t="s">
        <v>21</v>
      </c>
    </row>
    <row r="9164" spans="1:9" x14ac:dyDescent="0.25">
      <c r="A9164">
        <v>20140508</v>
      </c>
      <c r="B9164" t="str">
        <f t="shared" si="545"/>
        <v>115600</v>
      </c>
      <c r="C9164" t="str">
        <f t="shared" si="546"/>
        <v>30000</v>
      </c>
      <c r="D9164" t="s">
        <v>556</v>
      </c>
      <c r="E9164">
        <v>74.900000000000006</v>
      </c>
      <c r="F9164">
        <v>20140502</v>
      </c>
      <c r="G9164" t="s">
        <v>1299</v>
      </c>
      <c r="H9164" t="s">
        <v>4233</v>
      </c>
      <c r="I9164" t="s">
        <v>21</v>
      </c>
    </row>
    <row r="9165" spans="1:9" x14ac:dyDescent="0.25">
      <c r="A9165">
        <v>20140508</v>
      </c>
      <c r="B9165" t="str">
        <f t="shared" si="545"/>
        <v>115600</v>
      </c>
      <c r="C9165" t="str">
        <f t="shared" si="546"/>
        <v>30000</v>
      </c>
      <c r="D9165" t="s">
        <v>556</v>
      </c>
      <c r="E9165">
        <v>171.81</v>
      </c>
      <c r="F9165">
        <v>20140502</v>
      </c>
      <c r="G9165" t="s">
        <v>2809</v>
      </c>
      <c r="H9165" t="s">
        <v>4234</v>
      </c>
      <c r="I9165" t="s">
        <v>21</v>
      </c>
    </row>
    <row r="9166" spans="1:9" x14ac:dyDescent="0.25">
      <c r="A9166">
        <v>20140508</v>
      </c>
      <c r="B9166" t="str">
        <f t="shared" si="545"/>
        <v>115600</v>
      </c>
      <c r="C9166" t="str">
        <f t="shared" si="546"/>
        <v>30000</v>
      </c>
      <c r="D9166" t="s">
        <v>556</v>
      </c>
      <c r="E9166">
        <v>152.96</v>
      </c>
      <c r="F9166">
        <v>20140502</v>
      </c>
      <c r="G9166" t="s">
        <v>137</v>
      </c>
      <c r="H9166" t="s">
        <v>2497</v>
      </c>
      <c r="I9166" t="s">
        <v>21</v>
      </c>
    </row>
    <row r="9167" spans="1:9" x14ac:dyDescent="0.25">
      <c r="A9167">
        <v>20140508</v>
      </c>
      <c r="B9167" t="str">
        <f>"115601"</f>
        <v>115601</v>
      </c>
      <c r="C9167" t="str">
        <f>"30125"</f>
        <v>30125</v>
      </c>
      <c r="D9167" t="s">
        <v>2509</v>
      </c>
      <c r="E9167">
        <v>210.38</v>
      </c>
      <c r="F9167">
        <v>20140502</v>
      </c>
      <c r="G9167" t="s">
        <v>1019</v>
      </c>
      <c r="H9167" t="s">
        <v>4235</v>
      </c>
      <c r="I9167" t="s">
        <v>131</v>
      </c>
    </row>
    <row r="9168" spans="1:9" x14ac:dyDescent="0.25">
      <c r="A9168">
        <v>20140508</v>
      </c>
      <c r="B9168" t="str">
        <f>"115602"</f>
        <v>115602</v>
      </c>
      <c r="C9168" t="str">
        <f>"85333"</f>
        <v>85333</v>
      </c>
      <c r="D9168" t="s">
        <v>561</v>
      </c>
      <c r="E9168">
        <v>52.43</v>
      </c>
      <c r="F9168">
        <v>20140506</v>
      </c>
      <c r="G9168" t="s">
        <v>562</v>
      </c>
      <c r="H9168" t="s">
        <v>563</v>
      </c>
      <c r="I9168" t="s">
        <v>21</v>
      </c>
    </row>
    <row r="9169" spans="1:9" x14ac:dyDescent="0.25">
      <c r="A9169">
        <v>20140508</v>
      </c>
      <c r="B9169" t="str">
        <f>"115603"</f>
        <v>115603</v>
      </c>
      <c r="C9169" t="str">
        <f>"30480"</f>
        <v>30480</v>
      </c>
      <c r="D9169" t="s">
        <v>570</v>
      </c>
      <c r="E9169" s="1">
        <v>5442</v>
      </c>
      <c r="F9169">
        <v>20140506</v>
      </c>
      <c r="G9169" t="s">
        <v>571</v>
      </c>
      <c r="H9169" t="s">
        <v>572</v>
      </c>
      <c r="I9169" t="s">
        <v>21</v>
      </c>
    </row>
    <row r="9170" spans="1:9" x14ac:dyDescent="0.25">
      <c r="A9170">
        <v>20140508</v>
      </c>
      <c r="B9170" t="str">
        <f>"115604"</f>
        <v>115604</v>
      </c>
      <c r="C9170" t="str">
        <f>"87811"</f>
        <v>87811</v>
      </c>
      <c r="D9170" t="s">
        <v>4073</v>
      </c>
      <c r="E9170">
        <v>434</v>
      </c>
      <c r="F9170">
        <v>20140502</v>
      </c>
      <c r="G9170" t="s">
        <v>415</v>
      </c>
      <c r="H9170" t="s">
        <v>4236</v>
      </c>
      <c r="I9170" t="s">
        <v>21</v>
      </c>
    </row>
    <row r="9171" spans="1:9" x14ac:dyDescent="0.25">
      <c r="A9171">
        <v>20140508</v>
      </c>
      <c r="B9171" t="str">
        <f>"115605"</f>
        <v>115605</v>
      </c>
      <c r="C9171" t="str">
        <f>"87031"</f>
        <v>87031</v>
      </c>
      <c r="D9171" t="s">
        <v>418</v>
      </c>
      <c r="E9171">
        <v>31.5</v>
      </c>
      <c r="F9171">
        <v>20140505</v>
      </c>
      <c r="G9171" t="s">
        <v>410</v>
      </c>
      <c r="H9171" t="s">
        <v>411</v>
      </c>
      <c r="I9171" t="s">
        <v>12</v>
      </c>
    </row>
    <row r="9172" spans="1:9" x14ac:dyDescent="0.25">
      <c r="A9172">
        <v>20140508</v>
      </c>
      <c r="B9172" t="str">
        <f>"115606"</f>
        <v>115606</v>
      </c>
      <c r="C9172" t="str">
        <f>"31570"</f>
        <v>31570</v>
      </c>
      <c r="D9172" t="s">
        <v>1244</v>
      </c>
      <c r="E9172">
        <v>351.84</v>
      </c>
      <c r="F9172">
        <v>20140502</v>
      </c>
      <c r="G9172" t="s">
        <v>840</v>
      </c>
      <c r="H9172" t="s">
        <v>4237</v>
      </c>
      <c r="I9172" t="s">
        <v>21</v>
      </c>
    </row>
    <row r="9173" spans="1:9" x14ac:dyDescent="0.25">
      <c r="A9173">
        <v>20140508</v>
      </c>
      <c r="B9173" t="str">
        <f>"115607"</f>
        <v>115607</v>
      </c>
      <c r="C9173" t="str">
        <f>"31970"</f>
        <v>31970</v>
      </c>
      <c r="D9173" t="s">
        <v>3770</v>
      </c>
      <c r="E9173">
        <v>70</v>
      </c>
      <c r="F9173">
        <v>20140507</v>
      </c>
      <c r="G9173" t="s">
        <v>1846</v>
      </c>
      <c r="H9173" t="s">
        <v>765</v>
      </c>
      <c r="I9173" t="s">
        <v>63</v>
      </c>
    </row>
    <row r="9174" spans="1:9" x14ac:dyDescent="0.25">
      <c r="A9174">
        <v>20140508</v>
      </c>
      <c r="B9174" t="str">
        <f>"115608"</f>
        <v>115608</v>
      </c>
      <c r="C9174" t="str">
        <f>"87484"</f>
        <v>87484</v>
      </c>
      <c r="D9174" t="s">
        <v>588</v>
      </c>
      <c r="E9174" s="1">
        <v>5378.75</v>
      </c>
      <c r="F9174">
        <v>20140505</v>
      </c>
      <c r="G9174" t="s">
        <v>589</v>
      </c>
      <c r="H9174" t="s">
        <v>2195</v>
      </c>
      <c r="I9174" t="s">
        <v>68</v>
      </c>
    </row>
    <row r="9175" spans="1:9" x14ac:dyDescent="0.25">
      <c r="A9175">
        <v>20140508</v>
      </c>
      <c r="B9175" t="str">
        <f>"115609"</f>
        <v>115609</v>
      </c>
      <c r="C9175" t="str">
        <f>"84980"</f>
        <v>84980</v>
      </c>
      <c r="D9175" t="s">
        <v>591</v>
      </c>
      <c r="E9175">
        <v>209</v>
      </c>
      <c r="F9175">
        <v>20140502</v>
      </c>
      <c r="G9175" t="s">
        <v>1071</v>
      </c>
      <c r="H9175" t="s">
        <v>4238</v>
      </c>
      <c r="I9175" t="s">
        <v>21</v>
      </c>
    </row>
    <row r="9176" spans="1:9" x14ac:dyDescent="0.25">
      <c r="A9176">
        <v>20140508</v>
      </c>
      <c r="B9176" t="str">
        <f>"115610"</f>
        <v>115610</v>
      </c>
      <c r="C9176" t="str">
        <f>"87232"</f>
        <v>87232</v>
      </c>
      <c r="D9176" t="s">
        <v>4239</v>
      </c>
      <c r="E9176">
        <v>125</v>
      </c>
      <c r="F9176">
        <v>20140507</v>
      </c>
      <c r="G9176" t="s">
        <v>3820</v>
      </c>
      <c r="H9176" t="s">
        <v>4240</v>
      </c>
      <c r="I9176" t="s">
        <v>21</v>
      </c>
    </row>
    <row r="9177" spans="1:9" x14ac:dyDescent="0.25">
      <c r="A9177">
        <v>20140508</v>
      </c>
      <c r="B9177" t="str">
        <f>"115611"</f>
        <v>115611</v>
      </c>
      <c r="C9177" t="str">
        <f>"81072"</f>
        <v>81072</v>
      </c>
      <c r="D9177" t="s">
        <v>598</v>
      </c>
      <c r="E9177" s="1">
        <v>1425</v>
      </c>
      <c r="F9177">
        <v>20140501</v>
      </c>
      <c r="G9177" t="s">
        <v>746</v>
      </c>
      <c r="H9177" t="s">
        <v>555</v>
      </c>
      <c r="I9177" t="s">
        <v>21</v>
      </c>
    </row>
    <row r="9178" spans="1:9" x14ac:dyDescent="0.25">
      <c r="A9178">
        <v>20140508</v>
      </c>
      <c r="B9178" t="str">
        <f>"115612"</f>
        <v>115612</v>
      </c>
      <c r="C9178" t="str">
        <f>"87385"</f>
        <v>87385</v>
      </c>
      <c r="D9178" t="s">
        <v>1089</v>
      </c>
      <c r="E9178">
        <v>274</v>
      </c>
      <c r="F9178">
        <v>20140505</v>
      </c>
      <c r="G9178" t="s">
        <v>415</v>
      </c>
      <c r="H9178" t="s">
        <v>414</v>
      </c>
      <c r="I9178" t="s">
        <v>21</v>
      </c>
    </row>
    <row r="9179" spans="1:9" x14ac:dyDescent="0.25">
      <c r="A9179">
        <v>20140508</v>
      </c>
      <c r="B9179" t="str">
        <f>"115612"</f>
        <v>115612</v>
      </c>
      <c r="C9179" t="str">
        <f>"87385"</f>
        <v>87385</v>
      </c>
      <c r="D9179" t="s">
        <v>1089</v>
      </c>
      <c r="E9179">
        <v>61.94</v>
      </c>
      <c r="F9179">
        <v>20140507</v>
      </c>
      <c r="G9179" t="s">
        <v>631</v>
      </c>
      <c r="H9179" t="s">
        <v>414</v>
      </c>
      <c r="I9179" t="s">
        <v>21</v>
      </c>
    </row>
    <row r="9180" spans="1:9" x14ac:dyDescent="0.25">
      <c r="A9180">
        <v>20140508</v>
      </c>
      <c r="B9180" t="str">
        <f>"115612"</f>
        <v>115612</v>
      </c>
      <c r="C9180" t="str">
        <f>"87385"</f>
        <v>87385</v>
      </c>
      <c r="D9180" t="s">
        <v>1089</v>
      </c>
      <c r="E9180">
        <v>95.01</v>
      </c>
      <c r="F9180">
        <v>20140506</v>
      </c>
      <c r="G9180" t="s">
        <v>392</v>
      </c>
      <c r="H9180" t="s">
        <v>414</v>
      </c>
      <c r="I9180" t="s">
        <v>21</v>
      </c>
    </row>
    <row r="9181" spans="1:9" x14ac:dyDescent="0.25">
      <c r="A9181">
        <v>20140508</v>
      </c>
      <c r="B9181" t="str">
        <f>"115612"</f>
        <v>115612</v>
      </c>
      <c r="C9181" t="str">
        <f>"87385"</f>
        <v>87385</v>
      </c>
      <c r="D9181" t="s">
        <v>1089</v>
      </c>
      <c r="E9181">
        <v>272.67</v>
      </c>
      <c r="F9181">
        <v>20140507</v>
      </c>
      <c r="G9181" t="s">
        <v>417</v>
      </c>
      <c r="H9181" t="s">
        <v>414</v>
      </c>
      <c r="I9181" t="s">
        <v>21</v>
      </c>
    </row>
    <row r="9182" spans="1:9" x14ac:dyDescent="0.25">
      <c r="A9182">
        <v>20140508</v>
      </c>
      <c r="B9182" t="str">
        <f>"115613"</f>
        <v>115613</v>
      </c>
      <c r="C9182" t="str">
        <f>"84038"</f>
        <v>84038</v>
      </c>
      <c r="D9182" t="s">
        <v>419</v>
      </c>
      <c r="E9182">
        <v>15.3</v>
      </c>
      <c r="F9182">
        <v>20140505</v>
      </c>
      <c r="G9182" t="s">
        <v>410</v>
      </c>
      <c r="H9182" t="s">
        <v>411</v>
      </c>
      <c r="I9182" t="s">
        <v>12</v>
      </c>
    </row>
    <row r="9183" spans="1:9" x14ac:dyDescent="0.25">
      <c r="A9183">
        <v>20140508</v>
      </c>
      <c r="B9183" t="str">
        <f>"115614"</f>
        <v>115614</v>
      </c>
      <c r="C9183" t="str">
        <f>"34230"</f>
        <v>34230</v>
      </c>
      <c r="D9183" t="s">
        <v>1094</v>
      </c>
      <c r="E9183">
        <v>118</v>
      </c>
      <c r="F9183">
        <v>20140502</v>
      </c>
      <c r="G9183" t="s">
        <v>583</v>
      </c>
      <c r="H9183" t="s">
        <v>4241</v>
      </c>
      <c r="I9183" t="s">
        <v>21</v>
      </c>
    </row>
    <row r="9184" spans="1:9" x14ac:dyDescent="0.25">
      <c r="A9184">
        <v>20140508</v>
      </c>
      <c r="B9184" t="str">
        <f>"115615"</f>
        <v>115615</v>
      </c>
      <c r="C9184" t="str">
        <f>"86406"</f>
        <v>86406</v>
      </c>
      <c r="D9184" t="s">
        <v>4242</v>
      </c>
      <c r="E9184" s="1">
        <v>3060</v>
      </c>
      <c r="F9184">
        <v>20140507</v>
      </c>
      <c r="G9184" t="s">
        <v>633</v>
      </c>
      <c r="H9184" t="s">
        <v>634</v>
      </c>
      <c r="I9184" t="s">
        <v>21</v>
      </c>
    </row>
    <row r="9185" spans="1:9" x14ac:dyDescent="0.25">
      <c r="A9185">
        <v>20140508</v>
      </c>
      <c r="B9185" t="str">
        <f>"115616"</f>
        <v>115616</v>
      </c>
      <c r="C9185" t="str">
        <f>"35337"</f>
        <v>35337</v>
      </c>
      <c r="D9185" t="s">
        <v>599</v>
      </c>
      <c r="E9185">
        <v>206.32</v>
      </c>
      <c r="F9185">
        <v>20140501</v>
      </c>
      <c r="G9185" t="s">
        <v>498</v>
      </c>
      <c r="H9185" t="s">
        <v>499</v>
      </c>
      <c r="I9185" t="s">
        <v>21</v>
      </c>
    </row>
    <row r="9186" spans="1:9" x14ac:dyDescent="0.25">
      <c r="A9186">
        <v>20140508</v>
      </c>
      <c r="B9186" t="str">
        <f>"115616"</f>
        <v>115616</v>
      </c>
      <c r="C9186" t="str">
        <f>"35337"</f>
        <v>35337</v>
      </c>
      <c r="D9186" t="s">
        <v>599</v>
      </c>
      <c r="E9186">
        <v>613.42999999999995</v>
      </c>
      <c r="F9186">
        <v>20140501</v>
      </c>
      <c r="G9186" t="s">
        <v>498</v>
      </c>
      <c r="H9186" t="s">
        <v>499</v>
      </c>
      <c r="I9186" t="s">
        <v>21</v>
      </c>
    </row>
    <row r="9187" spans="1:9" x14ac:dyDescent="0.25">
      <c r="A9187">
        <v>20140508</v>
      </c>
      <c r="B9187" t="str">
        <f>"115616"</f>
        <v>115616</v>
      </c>
      <c r="C9187" t="str">
        <f>"35337"</f>
        <v>35337</v>
      </c>
      <c r="D9187" t="s">
        <v>599</v>
      </c>
      <c r="E9187">
        <v>67.59</v>
      </c>
      <c r="F9187">
        <v>20140501</v>
      </c>
      <c r="G9187" t="s">
        <v>498</v>
      </c>
      <c r="H9187" t="s">
        <v>499</v>
      </c>
      <c r="I9187" t="s">
        <v>21</v>
      </c>
    </row>
    <row r="9188" spans="1:9" x14ac:dyDescent="0.25">
      <c r="A9188">
        <v>20140508</v>
      </c>
      <c r="B9188" t="str">
        <f>"115617"</f>
        <v>115617</v>
      </c>
      <c r="C9188" t="str">
        <f>"81525"</f>
        <v>81525</v>
      </c>
      <c r="D9188" t="s">
        <v>1252</v>
      </c>
      <c r="E9188">
        <v>17.91</v>
      </c>
      <c r="F9188">
        <v>20140501</v>
      </c>
      <c r="G9188" t="s">
        <v>601</v>
      </c>
      <c r="H9188" t="s">
        <v>563</v>
      </c>
      <c r="I9188" t="s">
        <v>21</v>
      </c>
    </row>
    <row r="9189" spans="1:9" x14ac:dyDescent="0.25">
      <c r="A9189">
        <v>20140508</v>
      </c>
      <c r="B9189" t="str">
        <f>"115618"</f>
        <v>115618</v>
      </c>
      <c r="C9189" t="str">
        <f>"87843"</f>
        <v>87843</v>
      </c>
      <c r="D9189" t="s">
        <v>4243</v>
      </c>
      <c r="E9189">
        <v>32.32</v>
      </c>
      <c r="F9189">
        <v>20140506</v>
      </c>
      <c r="G9189" t="s">
        <v>39</v>
      </c>
      <c r="H9189" t="s">
        <v>354</v>
      </c>
      <c r="I9189" t="s">
        <v>38</v>
      </c>
    </row>
    <row r="9190" spans="1:9" x14ac:dyDescent="0.25">
      <c r="A9190">
        <v>20140508</v>
      </c>
      <c r="B9190" t="str">
        <f>"115619"</f>
        <v>115619</v>
      </c>
      <c r="C9190" t="str">
        <f>"35817"</f>
        <v>35817</v>
      </c>
      <c r="D9190" t="s">
        <v>600</v>
      </c>
      <c r="E9190">
        <v>26.37</v>
      </c>
      <c r="F9190">
        <v>20140505</v>
      </c>
      <c r="G9190" t="s">
        <v>601</v>
      </c>
      <c r="H9190" t="s">
        <v>563</v>
      </c>
      <c r="I9190" t="s">
        <v>21</v>
      </c>
    </row>
    <row r="9191" spans="1:9" x14ac:dyDescent="0.25">
      <c r="A9191">
        <v>20140508</v>
      </c>
      <c r="B9191" t="str">
        <f>"115620"</f>
        <v>115620</v>
      </c>
      <c r="C9191" t="str">
        <f>"35865"</f>
        <v>35865</v>
      </c>
      <c r="D9191" t="s">
        <v>2206</v>
      </c>
      <c r="E9191" s="1">
        <v>1317.13</v>
      </c>
      <c r="F9191">
        <v>20140506</v>
      </c>
      <c r="G9191" t="s">
        <v>1408</v>
      </c>
      <c r="H9191" t="s">
        <v>656</v>
      </c>
      <c r="I9191" t="s">
        <v>12</v>
      </c>
    </row>
    <row r="9192" spans="1:9" x14ac:dyDescent="0.25">
      <c r="A9192">
        <v>20140508</v>
      </c>
      <c r="B9192" t="str">
        <f>"115621"</f>
        <v>115621</v>
      </c>
      <c r="C9192" t="str">
        <f>"83064"</f>
        <v>83064</v>
      </c>
      <c r="D9192" t="s">
        <v>1760</v>
      </c>
      <c r="E9192">
        <v>87.65</v>
      </c>
      <c r="F9192">
        <v>20140505</v>
      </c>
      <c r="G9192" t="s">
        <v>637</v>
      </c>
      <c r="H9192" t="s">
        <v>354</v>
      </c>
      <c r="I9192" t="s">
        <v>38</v>
      </c>
    </row>
    <row r="9193" spans="1:9" x14ac:dyDescent="0.25">
      <c r="A9193">
        <v>20140508</v>
      </c>
      <c r="B9193" t="str">
        <f>"115622"</f>
        <v>115622</v>
      </c>
      <c r="C9193" t="str">
        <f>"36960"</f>
        <v>36960</v>
      </c>
      <c r="D9193" t="s">
        <v>871</v>
      </c>
      <c r="E9193">
        <v>385</v>
      </c>
      <c r="F9193">
        <v>20140506</v>
      </c>
      <c r="G9193" t="s">
        <v>511</v>
      </c>
      <c r="H9193" t="s">
        <v>4244</v>
      </c>
      <c r="I9193" t="s">
        <v>21</v>
      </c>
    </row>
    <row r="9194" spans="1:9" x14ac:dyDescent="0.25">
      <c r="A9194">
        <v>20140508</v>
      </c>
      <c r="B9194" t="str">
        <f>"115623"</f>
        <v>115623</v>
      </c>
      <c r="C9194" t="str">
        <f>"37565"</f>
        <v>37565</v>
      </c>
      <c r="D9194" t="s">
        <v>609</v>
      </c>
      <c r="E9194">
        <v>150</v>
      </c>
      <c r="F9194">
        <v>20140501</v>
      </c>
      <c r="G9194" t="s">
        <v>473</v>
      </c>
      <c r="H9194" t="s">
        <v>610</v>
      </c>
      <c r="I9194" t="s">
        <v>21</v>
      </c>
    </row>
    <row r="9195" spans="1:9" x14ac:dyDescent="0.25">
      <c r="A9195">
        <v>20140508</v>
      </c>
      <c r="B9195" t="str">
        <f>"115623"</f>
        <v>115623</v>
      </c>
      <c r="C9195" t="str">
        <f>"37565"</f>
        <v>37565</v>
      </c>
      <c r="D9195" t="s">
        <v>609</v>
      </c>
      <c r="E9195">
        <v>504</v>
      </c>
      <c r="F9195">
        <v>20140501</v>
      </c>
      <c r="G9195" t="s">
        <v>473</v>
      </c>
      <c r="H9195" t="s">
        <v>4245</v>
      </c>
      <c r="I9195" t="s">
        <v>21</v>
      </c>
    </row>
    <row r="9196" spans="1:9" x14ac:dyDescent="0.25">
      <c r="A9196">
        <v>20140508</v>
      </c>
      <c r="B9196" t="str">
        <f>"115624"</f>
        <v>115624</v>
      </c>
      <c r="C9196" t="str">
        <f>"87845"</f>
        <v>87845</v>
      </c>
      <c r="D9196" t="s">
        <v>4246</v>
      </c>
      <c r="E9196">
        <v>146.47999999999999</v>
      </c>
      <c r="F9196">
        <v>20140506</v>
      </c>
      <c r="G9196" t="s">
        <v>3430</v>
      </c>
      <c r="H9196" t="s">
        <v>765</v>
      </c>
      <c r="I9196" t="s">
        <v>61</v>
      </c>
    </row>
    <row r="9197" spans="1:9" x14ac:dyDescent="0.25">
      <c r="A9197">
        <v>20140508</v>
      </c>
      <c r="B9197" t="str">
        <f>"115625"</f>
        <v>115625</v>
      </c>
      <c r="C9197" t="str">
        <f>"37900"</f>
        <v>37900</v>
      </c>
      <c r="D9197" t="s">
        <v>878</v>
      </c>
      <c r="E9197">
        <v>101.4</v>
      </c>
      <c r="F9197">
        <v>20140507</v>
      </c>
      <c r="G9197" t="s">
        <v>879</v>
      </c>
      <c r="H9197" t="s">
        <v>4247</v>
      </c>
      <c r="I9197" t="s">
        <v>21</v>
      </c>
    </row>
    <row r="9198" spans="1:9" x14ac:dyDescent="0.25">
      <c r="A9198">
        <v>20140508</v>
      </c>
      <c r="B9198" t="str">
        <f>"115626"</f>
        <v>115626</v>
      </c>
      <c r="C9198" t="str">
        <f>"38425"</f>
        <v>38425</v>
      </c>
      <c r="D9198" t="s">
        <v>4248</v>
      </c>
      <c r="E9198" s="1">
        <v>1450</v>
      </c>
      <c r="F9198">
        <v>20140501</v>
      </c>
      <c r="G9198" t="s">
        <v>340</v>
      </c>
      <c r="H9198" t="s">
        <v>4249</v>
      </c>
      <c r="I9198" t="s">
        <v>21</v>
      </c>
    </row>
    <row r="9199" spans="1:9" x14ac:dyDescent="0.25">
      <c r="A9199">
        <v>20140508</v>
      </c>
      <c r="B9199" t="str">
        <f>"115627"</f>
        <v>115627</v>
      </c>
      <c r="C9199" t="str">
        <f>"39190"</f>
        <v>39190</v>
      </c>
      <c r="D9199" t="s">
        <v>1100</v>
      </c>
      <c r="E9199" s="1">
        <v>1730.16</v>
      </c>
      <c r="F9199">
        <v>20140506</v>
      </c>
      <c r="G9199" t="s">
        <v>742</v>
      </c>
      <c r="H9199" t="s">
        <v>743</v>
      </c>
      <c r="I9199" t="s">
        <v>21</v>
      </c>
    </row>
    <row r="9200" spans="1:9" x14ac:dyDescent="0.25">
      <c r="A9200">
        <v>20140508</v>
      </c>
      <c r="B9200" t="str">
        <f>"115628"</f>
        <v>115628</v>
      </c>
      <c r="C9200" t="str">
        <f>"39315"</f>
        <v>39315</v>
      </c>
      <c r="D9200" t="s">
        <v>420</v>
      </c>
      <c r="E9200">
        <v>140.85</v>
      </c>
      <c r="F9200">
        <v>20140505</v>
      </c>
      <c r="G9200" t="s">
        <v>410</v>
      </c>
      <c r="H9200" t="s">
        <v>411</v>
      </c>
      <c r="I9200" t="s">
        <v>12</v>
      </c>
    </row>
    <row r="9201" spans="1:9" x14ac:dyDescent="0.25">
      <c r="A9201">
        <v>20140508</v>
      </c>
      <c r="B9201" t="str">
        <f>"115629"</f>
        <v>115629</v>
      </c>
      <c r="C9201" t="str">
        <f>"87405"</f>
        <v>87405</v>
      </c>
      <c r="D9201" t="s">
        <v>4250</v>
      </c>
      <c r="E9201" s="1">
        <v>25000</v>
      </c>
      <c r="F9201">
        <v>20140505</v>
      </c>
      <c r="G9201" t="s">
        <v>694</v>
      </c>
      <c r="H9201" t="s">
        <v>4251</v>
      </c>
      <c r="I9201" t="s">
        <v>21</v>
      </c>
    </row>
    <row r="9202" spans="1:9" x14ac:dyDescent="0.25">
      <c r="A9202">
        <v>20140508</v>
      </c>
      <c r="B9202" t="str">
        <f>"115630"</f>
        <v>115630</v>
      </c>
      <c r="C9202" t="str">
        <f>"82732"</f>
        <v>82732</v>
      </c>
      <c r="D9202" t="s">
        <v>1453</v>
      </c>
      <c r="E9202">
        <v>294</v>
      </c>
      <c r="F9202">
        <v>20140506</v>
      </c>
      <c r="G9202" t="s">
        <v>1454</v>
      </c>
      <c r="H9202" t="s">
        <v>1455</v>
      </c>
      <c r="I9202" t="s">
        <v>21</v>
      </c>
    </row>
    <row r="9203" spans="1:9" x14ac:dyDescent="0.25">
      <c r="A9203">
        <v>20140508</v>
      </c>
      <c r="B9203" t="str">
        <f>"115631"</f>
        <v>115631</v>
      </c>
      <c r="C9203" t="str">
        <f>"86928"</f>
        <v>86928</v>
      </c>
      <c r="D9203" t="s">
        <v>1457</v>
      </c>
      <c r="E9203">
        <v>702.81</v>
      </c>
      <c r="F9203">
        <v>20140506</v>
      </c>
      <c r="G9203" t="s">
        <v>3179</v>
      </c>
      <c r="H9203" t="s">
        <v>563</v>
      </c>
      <c r="I9203" t="s">
        <v>79</v>
      </c>
    </row>
    <row r="9204" spans="1:9" x14ac:dyDescent="0.25">
      <c r="A9204">
        <v>20140508</v>
      </c>
      <c r="B9204" t="str">
        <f>"115632"</f>
        <v>115632</v>
      </c>
      <c r="C9204" t="str">
        <f>"87841"</f>
        <v>87841</v>
      </c>
      <c r="D9204" t="s">
        <v>4252</v>
      </c>
      <c r="E9204">
        <v>65</v>
      </c>
      <c r="F9204">
        <v>20140501</v>
      </c>
      <c r="G9204" t="s">
        <v>1846</v>
      </c>
      <c r="H9204" t="s">
        <v>765</v>
      </c>
      <c r="I9204" t="s">
        <v>63</v>
      </c>
    </row>
    <row r="9205" spans="1:9" x14ac:dyDescent="0.25">
      <c r="A9205">
        <v>20140508</v>
      </c>
      <c r="B9205" t="str">
        <f>"115633"</f>
        <v>115633</v>
      </c>
      <c r="C9205" t="str">
        <f>"43195"</f>
        <v>43195</v>
      </c>
      <c r="D9205" t="s">
        <v>2001</v>
      </c>
      <c r="E9205">
        <v>647</v>
      </c>
      <c r="F9205">
        <v>20140501</v>
      </c>
      <c r="G9205" t="s">
        <v>2002</v>
      </c>
      <c r="H9205" t="s">
        <v>4253</v>
      </c>
      <c r="I9205" t="s">
        <v>21</v>
      </c>
    </row>
    <row r="9206" spans="1:9" x14ac:dyDescent="0.25">
      <c r="A9206">
        <v>20140508</v>
      </c>
      <c r="B9206" t="str">
        <f>"115634"</f>
        <v>115634</v>
      </c>
      <c r="C9206" t="str">
        <f>"83430"</f>
        <v>83430</v>
      </c>
      <c r="D9206" t="s">
        <v>423</v>
      </c>
      <c r="E9206">
        <v>43.65</v>
      </c>
      <c r="F9206">
        <v>20140505</v>
      </c>
      <c r="G9206" t="s">
        <v>410</v>
      </c>
      <c r="H9206" t="s">
        <v>411</v>
      </c>
      <c r="I9206" t="s">
        <v>12</v>
      </c>
    </row>
    <row r="9207" spans="1:9" x14ac:dyDescent="0.25">
      <c r="A9207">
        <v>20140508</v>
      </c>
      <c r="B9207" t="str">
        <f>"115635"</f>
        <v>115635</v>
      </c>
      <c r="C9207" t="str">
        <f>"44725"</f>
        <v>44725</v>
      </c>
      <c r="D9207" t="s">
        <v>1621</v>
      </c>
      <c r="E9207">
        <v>75.89</v>
      </c>
      <c r="F9207">
        <v>20140507</v>
      </c>
      <c r="G9207" t="s">
        <v>579</v>
      </c>
      <c r="H9207" t="s">
        <v>4254</v>
      </c>
      <c r="I9207" t="s">
        <v>21</v>
      </c>
    </row>
    <row r="9208" spans="1:9" x14ac:dyDescent="0.25">
      <c r="A9208">
        <v>20140508</v>
      </c>
      <c r="B9208" t="str">
        <f>"115635"</f>
        <v>115635</v>
      </c>
      <c r="C9208" t="str">
        <f>"44725"</f>
        <v>44725</v>
      </c>
      <c r="D9208" t="s">
        <v>1621</v>
      </c>
      <c r="E9208" s="1">
        <v>1630</v>
      </c>
      <c r="F9208">
        <v>20140507</v>
      </c>
      <c r="G9208" t="s">
        <v>935</v>
      </c>
      <c r="H9208" t="s">
        <v>4255</v>
      </c>
      <c r="I9208" t="s">
        <v>21</v>
      </c>
    </row>
    <row r="9209" spans="1:9" x14ac:dyDescent="0.25">
      <c r="A9209">
        <v>20140508</v>
      </c>
      <c r="B9209" t="str">
        <f>"115635"</f>
        <v>115635</v>
      </c>
      <c r="C9209" t="str">
        <f>"44725"</f>
        <v>44725</v>
      </c>
      <c r="D9209" t="s">
        <v>1621</v>
      </c>
      <c r="E9209">
        <v>210</v>
      </c>
      <c r="F9209">
        <v>20140507</v>
      </c>
      <c r="G9209" t="s">
        <v>4256</v>
      </c>
      <c r="H9209" t="s">
        <v>4255</v>
      </c>
      <c r="I9209" t="s">
        <v>66</v>
      </c>
    </row>
    <row r="9210" spans="1:9" x14ac:dyDescent="0.25">
      <c r="A9210">
        <v>20140508</v>
      </c>
      <c r="B9210" t="str">
        <f>"115635"</f>
        <v>115635</v>
      </c>
      <c r="C9210" t="str">
        <f>"44725"</f>
        <v>44725</v>
      </c>
      <c r="D9210" t="s">
        <v>1621</v>
      </c>
      <c r="E9210">
        <v>210</v>
      </c>
      <c r="F9210">
        <v>20140507</v>
      </c>
      <c r="G9210" t="s">
        <v>4257</v>
      </c>
      <c r="H9210" t="s">
        <v>4255</v>
      </c>
      <c r="I9210" t="s">
        <v>66</v>
      </c>
    </row>
    <row r="9211" spans="1:9" x14ac:dyDescent="0.25">
      <c r="A9211">
        <v>20140508</v>
      </c>
      <c r="B9211" t="str">
        <f>"115636"</f>
        <v>115636</v>
      </c>
      <c r="C9211" t="str">
        <f>"44875"</f>
        <v>44875</v>
      </c>
      <c r="D9211" t="s">
        <v>424</v>
      </c>
      <c r="E9211">
        <v>101.7</v>
      </c>
      <c r="F9211">
        <v>20140505</v>
      </c>
      <c r="G9211" t="s">
        <v>410</v>
      </c>
      <c r="H9211" t="s">
        <v>411</v>
      </c>
      <c r="I9211" t="s">
        <v>12</v>
      </c>
    </row>
    <row r="9212" spans="1:9" x14ac:dyDescent="0.25">
      <c r="A9212">
        <v>20140508</v>
      </c>
      <c r="B9212" t="str">
        <f>"115637"</f>
        <v>115637</v>
      </c>
      <c r="C9212" t="str">
        <f>"84445"</f>
        <v>84445</v>
      </c>
      <c r="D9212" t="s">
        <v>1472</v>
      </c>
      <c r="E9212">
        <v>55.35</v>
      </c>
      <c r="F9212">
        <v>20140506</v>
      </c>
      <c r="G9212" t="s">
        <v>562</v>
      </c>
      <c r="H9212" t="s">
        <v>563</v>
      </c>
      <c r="I9212" t="s">
        <v>21</v>
      </c>
    </row>
    <row r="9213" spans="1:9" x14ac:dyDescent="0.25">
      <c r="A9213">
        <v>20140508</v>
      </c>
      <c r="B9213" t="str">
        <f>"115638"</f>
        <v>115638</v>
      </c>
      <c r="C9213" t="str">
        <f>"45605"</f>
        <v>45605</v>
      </c>
      <c r="D9213" t="s">
        <v>1474</v>
      </c>
      <c r="E9213">
        <v>5.35</v>
      </c>
      <c r="F9213">
        <v>20140505</v>
      </c>
      <c r="G9213" t="s">
        <v>628</v>
      </c>
      <c r="H9213" t="s">
        <v>414</v>
      </c>
      <c r="I9213" t="s">
        <v>21</v>
      </c>
    </row>
    <row r="9214" spans="1:9" x14ac:dyDescent="0.25">
      <c r="A9214">
        <v>20140508</v>
      </c>
      <c r="B9214" t="str">
        <f>"115638"</f>
        <v>115638</v>
      </c>
      <c r="C9214" t="str">
        <f>"45605"</f>
        <v>45605</v>
      </c>
      <c r="D9214" t="s">
        <v>1474</v>
      </c>
      <c r="E9214">
        <v>17.8</v>
      </c>
      <c r="F9214">
        <v>20140505</v>
      </c>
      <c r="G9214" t="s">
        <v>628</v>
      </c>
      <c r="H9214" t="s">
        <v>414</v>
      </c>
      <c r="I9214" t="s">
        <v>21</v>
      </c>
    </row>
    <row r="9215" spans="1:9" x14ac:dyDescent="0.25">
      <c r="A9215">
        <v>20140508</v>
      </c>
      <c r="B9215" t="str">
        <f>"115638"</f>
        <v>115638</v>
      </c>
      <c r="C9215" t="str">
        <f>"45605"</f>
        <v>45605</v>
      </c>
      <c r="D9215" t="s">
        <v>1474</v>
      </c>
      <c r="E9215">
        <v>23.78</v>
      </c>
      <c r="F9215">
        <v>20140505</v>
      </c>
      <c r="G9215" t="s">
        <v>628</v>
      </c>
      <c r="H9215" t="s">
        <v>414</v>
      </c>
      <c r="I9215" t="s">
        <v>21</v>
      </c>
    </row>
    <row r="9216" spans="1:9" x14ac:dyDescent="0.25">
      <c r="A9216">
        <v>20140508</v>
      </c>
      <c r="B9216" t="str">
        <f>"115638"</f>
        <v>115638</v>
      </c>
      <c r="C9216" t="str">
        <f>"45605"</f>
        <v>45605</v>
      </c>
      <c r="D9216" t="s">
        <v>1474</v>
      </c>
      <c r="E9216">
        <v>1.47</v>
      </c>
      <c r="F9216">
        <v>20140507</v>
      </c>
      <c r="G9216" t="s">
        <v>631</v>
      </c>
      <c r="H9216" t="s">
        <v>414</v>
      </c>
      <c r="I9216" t="s">
        <v>21</v>
      </c>
    </row>
    <row r="9217" spans="1:9" x14ac:dyDescent="0.25">
      <c r="A9217">
        <v>20140508</v>
      </c>
      <c r="B9217" t="str">
        <f>"115638"</f>
        <v>115638</v>
      </c>
      <c r="C9217" t="str">
        <f>"45605"</f>
        <v>45605</v>
      </c>
      <c r="D9217" t="s">
        <v>1474</v>
      </c>
      <c r="E9217">
        <v>100.09</v>
      </c>
      <c r="F9217">
        <v>20140506</v>
      </c>
      <c r="G9217" t="s">
        <v>392</v>
      </c>
      <c r="H9217" t="s">
        <v>414</v>
      </c>
      <c r="I9217" t="s">
        <v>21</v>
      </c>
    </row>
    <row r="9218" spans="1:9" x14ac:dyDescent="0.25">
      <c r="A9218">
        <v>20140508</v>
      </c>
      <c r="B9218" t="str">
        <f t="shared" ref="B9218:B9223" si="547">"115639"</f>
        <v>115639</v>
      </c>
      <c r="C9218" t="str">
        <f t="shared" ref="C9218:C9223" si="548">"46500"</f>
        <v>46500</v>
      </c>
      <c r="D9218" t="s">
        <v>626</v>
      </c>
      <c r="E9218">
        <v>793</v>
      </c>
      <c r="F9218">
        <v>20140507</v>
      </c>
      <c r="G9218" t="s">
        <v>902</v>
      </c>
      <c r="H9218" t="s">
        <v>414</v>
      </c>
      <c r="I9218" t="s">
        <v>21</v>
      </c>
    </row>
    <row r="9219" spans="1:9" x14ac:dyDescent="0.25">
      <c r="A9219">
        <v>20140508</v>
      </c>
      <c r="B9219" t="str">
        <f t="shared" si="547"/>
        <v>115639</v>
      </c>
      <c r="C9219" t="str">
        <f t="shared" si="548"/>
        <v>46500</v>
      </c>
      <c r="D9219" t="s">
        <v>626</v>
      </c>
      <c r="E9219">
        <v>199.27</v>
      </c>
      <c r="F9219">
        <v>20140506</v>
      </c>
      <c r="G9219" t="s">
        <v>415</v>
      </c>
      <c r="H9219" t="s">
        <v>414</v>
      </c>
      <c r="I9219" t="s">
        <v>21</v>
      </c>
    </row>
    <row r="9220" spans="1:9" x14ac:dyDescent="0.25">
      <c r="A9220">
        <v>20140508</v>
      </c>
      <c r="B9220" t="str">
        <f t="shared" si="547"/>
        <v>115639</v>
      </c>
      <c r="C9220" t="str">
        <f t="shared" si="548"/>
        <v>46500</v>
      </c>
      <c r="D9220" t="s">
        <v>626</v>
      </c>
      <c r="E9220">
        <v>98.56</v>
      </c>
      <c r="F9220">
        <v>20140506</v>
      </c>
      <c r="G9220" t="s">
        <v>627</v>
      </c>
      <c r="H9220" t="s">
        <v>414</v>
      </c>
      <c r="I9220" t="s">
        <v>21</v>
      </c>
    </row>
    <row r="9221" spans="1:9" x14ac:dyDescent="0.25">
      <c r="A9221">
        <v>20140508</v>
      </c>
      <c r="B9221" t="str">
        <f t="shared" si="547"/>
        <v>115639</v>
      </c>
      <c r="C9221" t="str">
        <f t="shared" si="548"/>
        <v>46500</v>
      </c>
      <c r="D9221" t="s">
        <v>626</v>
      </c>
      <c r="E9221">
        <v>59.9</v>
      </c>
      <c r="F9221">
        <v>20140506</v>
      </c>
      <c r="G9221" t="s">
        <v>631</v>
      </c>
      <c r="H9221" t="s">
        <v>414</v>
      </c>
      <c r="I9221" t="s">
        <v>21</v>
      </c>
    </row>
    <row r="9222" spans="1:9" x14ac:dyDescent="0.25">
      <c r="A9222">
        <v>20140508</v>
      </c>
      <c r="B9222" t="str">
        <f t="shared" si="547"/>
        <v>115639</v>
      </c>
      <c r="C9222" t="str">
        <f t="shared" si="548"/>
        <v>46500</v>
      </c>
      <c r="D9222" t="s">
        <v>626</v>
      </c>
      <c r="E9222">
        <v>11.97</v>
      </c>
      <c r="F9222">
        <v>20140506</v>
      </c>
      <c r="G9222" t="s">
        <v>392</v>
      </c>
      <c r="H9222" t="s">
        <v>414</v>
      </c>
      <c r="I9222" t="s">
        <v>21</v>
      </c>
    </row>
    <row r="9223" spans="1:9" x14ac:dyDescent="0.25">
      <c r="A9223">
        <v>20140508</v>
      </c>
      <c r="B9223" t="str">
        <f t="shared" si="547"/>
        <v>115639</v>
      </c>
      <c r="C9223" t="str">
        <f t="shared" si="548"/>
        <v>46500</v>
      </c>
      <c r="D9223" t="s">
        <v>626</v>
      </c>
      <c r="E9223" s="1">
        <v>2406.4</v>
      </c>
      <c r="F9223">
        <v>20140506</v>
      </c>
      <c r="G9223" t="s">
        <v>3820</v>
      </c>
      <c r="H9223" t="s">
        <v>414</v>
      </c>
      <c r="I9223" t="s">
        <v>21</v>
      </c>
    </row>
    <row r="9224" spans="1:9" x14ac:dyDescent="0.25">
      <c r="A9224">
        <v>20140508</v>
      </c>
      <c r="B9224" t="str">
        <f>"115640"</f>
        <v>115640</v>
      </c>
      <c r="C9224" t="str">
        <f>"48820"</f>
        <v>48820</v>
      </c>
      <c r="D9224" t="s">
        <v>1106</v>
      </c>
      <c r="E9224">
        <v>247.84</v>
      </c>
      <c r="F9224">
        <v>20140501</v>
      </c>
      <c r="G9224" t="s">
        <v>1020</v>
      </c>
      <c r="H9224" t="s">
        <v>354</v>
      </c>
      <c r="I9224" t="s">
        <v>21</v>
      </c>
    </row>
    <row r="9225" spans="1:9" x14ac:dyDescent="0.25">
      <c r="A9225">
        <v>20140508</v>
      </c>
      <c r="B9225" t="str">
        <f>"115641"</f>
        <v>115641</v>
      </c>
      <c r="C9225" t="str">
        <f>"84424"</f>
        <v>84424</v>
      </c>
      <c r="D9225" t="s">
        <v>1107</v>
      </c>
      <c r="E9225">
        <v>266.57</v>
      </c>
      <c r="F9225">
        <v>20140507</v>
      </c>
      <c r="G9225" t="s">
        <v>637</v>
      </c>
      <c r="H9225" t="s">
        <v>354</v>
      </c>
      <c r="I9225" t="s">
        <v>38</v>
      </c>
    </row>
    <row r="9226" spans="1:9" x14ac:dyDescent="0.25">
      <c r="A9226">
        <v>20140508</v>
      </c>
      <c r="B9226" t="str">
        <f>"115642"</f>
        <v>115642</v>
      </c>
      <c r="C9226" t="str">
        <f>"49555"</f>
        <v>49555</v>
      </c>
      <c r="D9226" t="s">
        <v>2388</v>
      </c>
      <c r="E9226">
        <v>475.8</v>
      </c>
      <c r="F9226">
        <v>20140507</v>
      </c>
      <c r="G9226" t="s">
        <v>828</v>
      </c>
      <c r="H9226" t="s">
        <v>4258</v>
      </c>
      <c r="I9226" t="s">
        <v>21</v>
      </c>
    </row>
    <row r="9227" spans="1:9" x14ac:dyDescent="0.25">
      <c r="A9227">
        <v>20140508</v>
      </c>
      <c r="B9227" t="str">
        <f>"115643"</f>
        <v>115643</v>
      </c>
      <c r="C9227" t="str">
        <f>"49650"</f>
        <v>49650</v>
      </c>
      <c r="D9227" t="s">
        <v>4159</v>
      </c>
      <c r="E9227">
        <v>85</v>
      </c>
      <c r="F9227">
        <v>20140501</v>
      </c>
      <c r="G9227" t="s">
        <v>4259</v>
      </c>
      <c r="H9227" t="s">
        <v>388</v>
      </c>
      <c r="I9227" t="s">
        <v>25</v>
      </c>
    </row>
    <row r="9228" spans="1:9" x14ac:dyDescent="0.25">
      <c r="A9228">
        <v>20140508</v>
      </c>
      <c r="B9228" t="str">
        <f>"115644"</f>
        <v>115644</v>
      </c>
      <c r="C9228" t="str">
        <f>"82192"</f>
        <v>82192</v>
      </c>
      <c r="D9228" t="s">
        <v>642</v>
      </c>
      <c r="E9228" s="1">
        <v>4818</v>
      </c>
      <c r="F9228">
        <v>20140506</v>
      </c>
      <c r="G9228" t="s">
        <v>643</v>
      </c>
      <c r="H9228" t="s">
        <v>488</v>
      </c>
      <c r="I9228" t="s">
        <v>21</v>
      </c>
    </row>
    <row r="9229" spans="1:9" x14ac:dyDescent="0.25">
      <c r="A9229">
        <v>20140508</v>
      </c>
      <c r="B9229" t="str">
        <f>"115645"</f>
        <v>115645</v>
      </c>
      <c r="C9229" t="str">
        <f>"85760"</f>
        <v>85760</v>
      </c>
      <c r="D9229" t="s">
        <v>1485</v>
      </c>
      <c r="E9229">
        <v>22.4</v>
      </c>
      <c r="F9229">
        <v>20140501</v>
      </c>
      <c r="G9229" t="s">
        <v>627</v>
      </c>
      <c r="H9229" t="s">
        <v>414</v>
      </c>
      <c r="I9229" t="s">
        <v>21</v>
      </c>
    </row>
    <row r="9230" spans="1:9" x14ac:dyDescent="0.25">
      <c r="A9230">
        <v>20140508</v>
      </c>
      <c r="B9230" t="str">
        <f>"115646"</f>
        <v>115646</v>
      </c>
      <c r="C9230" t="str">
        <f>"00375"</f>
        <v>00375</v>
      </c>
      <c r="D9230" t="s">
        <v>4260</v>
      </c>
      <c r="E9230" s="1">
        <v>2100</v>
      </c>
      <c r="F9230">
        <v>20140501</v>
      </c>
      <c r="G9230" t="s">
        <v>191</v>
      </c>
      <c r="H9230" t="s">
        <v>4261</v>
      </c>
      <c r="I9230" t="s">
        <v>25</v>
      </c>
    </row>
    <row r="9231" spans="1:9" x14ac:dyDescent="0.25">
      <c r="A9231">
        <v>20140508</v>
      </c>
      <c r="B9231" t="str">
        <f>"115646"</f>
        <v>115646</v>
      </c>
      <c r="C9231" t="str">
        <f>"00375"</f>
        <v>00375</v>
      </c>
      <c r="D9231" t="s">
        <v>4260</v>
      </c>
      <c r="E9231">
        <v>900</v>
      </c>
      <c r="F9231">
        <v>20140501</v>
      </c>
      <c r="G9231" t="s">
        <v>191</v>
      </c>
      <c r="H9231" t="s">
        <v>4261</v>
      </c>
      <c r="I9231" t="s">
        <v>25</v>
      </c>
    </row>
    <row r="9232" spans="1:9" x14ac:dyDescent="0.25">
      <c r="A9232">
        <v>20140508</v>
      </c>
      <c r="B9232" t="str">
        <f>"115646"</f>
        <v>115646</v>
      </c>
      <c r="C9232" t="str">
        <f>"00375"</f>
        <v>00375</v>
      </c>
      <c r="D9232" t="s">
        <v>4260</v>
      </c>
      <c r="E9232">
        <v>900</v>
      </c>
      <c r="F9232">
        <v>20140501</v>
      </c>
      <c r="G9232" t="s">
        <v>191</v>
      </c>
      <c r="H9232" t="s">
        <v>4261</v>
      </c>
      <c r="I9232" t="s">
        <v>25</v>
      </c>
    </row>
    <row r="9233" spans="1:9" x14ac:dyDescent="0.25">
      <c r="A9233">
        <v>20140508</v>
      </c>
      <c r="B9233" t="str">
        <f>"115647"</f>
        <v>115647</v>
      </c>
      <c r="C9233" t="str">
        <f>"84193"</f>
        <v>84193</v>
      </c>
      <c r="D9233" t="s">
        <v>1110</v>
      </c>
      <c r="E9233">
        <v>34.97</v>
      </c>
      <c r="F9233">
        <v>20140506</v>
      </c>
      <c r="G9233" t="s">
        <v>562</v>
      </c>
      <c r="H9233" t="s">
        <v>563</v>
      </c>
      <c r="I9233" t="s">
        <v>21</v>
      </c>
    </row>
    <row r="9234" spans="1:9" x14ac:dyDescent="0.25">
      <c r="A9234">
        <v>20140508</v>
      </c>
      <c r="B9234" t="str">
        <f>"115648"</f>
        <v>115648</v>
      </c>
      <c r="C9234" t="str">
        <f>"87626"</f>
        <v>87626</v>
      </c>
      <c r="D9234" t="s">
        <v>2864</v>
      </c>
      <c r="E9234">
        <v>280</v>
      </c>
      <c r="F9234">
        <v>20140507</v>
      </c>
      <c r="G9234" t="s">
        <v>186</v>
      </c>
      <c r="H9234" t="s">
        <v>4262</v>
      </c>
      <c r="I9234" t="s">
        <v>61</v>
      </c>
    </row>
    <row r="9235" spans="1:9" x14ac:dyDescent="0.25">
      <c r="A9235">
        <v>20140508</v>
      </c>
      <c r="B9235" t="str">
        <f>"115648"</f>
        <v>115648</v>
      </c>
      <c r="C9235" t="str">
        <f>"87626"</f>
        <v>87626</v>
      </c>
      <c r="D9235" t="s">
        <v>2864</v>
      </c>
      <c r="E9235">
        <v>280</v>
      </c>
      <c r="F9235">
        <v>20140507</v>
      </c>
      <c r="G9235" t="s">
        <v>1806</v>
      </c>
      <c r="H9235" t="s">
        <v>4263</v>
      </c>
      <c r="I9235" t="s">
        <v>21</v>
      </c>
    </row>
    <row r="9236" spans="1:9" x14ac:dyDescent="0.25">
      <c r="A9236">
        <v>20140508</v>
      </c>
      <c r="B9236" t="str">
        <f>"115648"</f>
        <v>115648</v>
      </c>
      <c r="C9236" t="str">
        <f>"87626"</f>
        <v>87626</v>
      </c>
      <c r="D9236" t="s">
        <v>2864</v>
      </c>
      <c r="E9236">
        <v>411.24</v>
      </c>
      <c r="F9236">
        <v>20140507</v>
      </c>
      <c r="G9236" t="s">
        <v>4264</v>
      </c>
      <c r="H9236" t="s">
        <v>4265</v>
      </c>
      <c r="I9236" t="s">
        <v>66</v>
      </c>
    </row>
    <row r="9237" spans="1:9" x14ac:dyDescent="0.25">
      <c r="A9237">
        <v>20140508</v>
      </c>
      <c r="B9237" t="str">
        <f>"115649"</f>
        <v>115649</v>
      </c>
      <c r="C9237" t="str">
        <f>"51550"</f>
        <v>51550</v>
      </c>
      <c r="D9237" t="s">
        <v>2868</v>
      </c>
      <c r="E9237">
        <v>17.38</v>
      </c>
      <c r="F9237">
        <v>20140506</v>
      </c>
      <c r="G9237" t="s">
        <v>1071</v>
      </c>
      <c r="H9237" t="s">
        <v>414</v>
      </c>
      <c r="I9237" t="s">
        <v>21</v>
      </c>
    </row>
    <row r="9238" spans="1:9" x14ac:dyDescent="0.25">
      <c r="A9238">
        <v>20140508</v>
      </c>
      <c r="B9238" t="str">
        <f>"115649"</f>
        <v>115649</v>
      </c>
      <c r="C9238" t="str">
        <f>"51550"</f>
        <v>51550</v>
      </c>
      <c r="D9238" t="s">
        <v>2868</v>
      </c>
      <c r="E9238">
        <v>71.53</v>
      </c>
      <c r="F9238">
        <v>20140506</v>
      </c>
      <c r="G9238" t="s">
        <v>2737</v>
      </c>
      <c r="H9238" t="s">
        <v>414</v>
      </c>
      <c r="I9238" t="s">
        <v>21</v>
      </c>
    </row>
    <row r="9239" spans="1:9" x14ac:dyDescent="0.25">
      <c r="A9239">
        <v>20140508</v>
      </c>
      <c r="B9239" t="str">
        <f>"115649"</f>
        <v>115649</v>
      </c>
      <c r="C9239" t="str">
        <f>"51550"</f>
        <v>51550</v>
      </c>
      <c r="D9239" t="s">
        <v>2868</v>
      </c>
      <c r="E9239">
        <v>19.07</v>
      </c>
      <c r="F9239">
        <v>20140506</v>
      </c>
      <c r="G9239" t="s">
        <v>2737</v>
      </c>
      <c r="H9239" t="s">
        <v>414</v>
      </c>
      <c r="I9239" t="s">
        <v>21</v>
      </c>
    </row>
    <row r="9240" spans="1:9" x14ac:dyDescent="0.25">
      <c r="A9240">
        <v>20140508</v>
      </c>
      <c r="B9240" t="str">
        <f>"115650"</f>
        <v>115650</v>
      </c>
      <c r="C9240" t="str">
        <f>"87847"</f>
        <v>87847</v>
      </c>
      <c r="D9240" t="s">
        <v>4266</v>
      </c>
      <c r="E9240" s="1">
        <v>5124.6000000000004</v>
      </c>
      <c r="F9240">
        <v>20140507</v>
      </c>
      <c r="G9240" t="s">
        <v>3647</v>
      </c>
      <c r="H9240" t="s">
        <v>4267</v>
      </c>
      <c r="I9240" t="s">
        <v>38</v>
      </c>
    </row>
    <row r="9241" spans="1:9" x14ac:dyDescent="0.25">
      <c r="A9241">
        <v>20140508</v>
      </c>
      <c r="B9241" t="str">
        <f>"115651"</f>
        <v>115651</v>
      </c>
      <c r="C9241" t="str">
        <f>"53300"</f>
        <v>53300</v>
      </c>
      <c r="D9241" t="s">
        <v>1491</v>
      </c>
      <c r="E9241">
        <v>-21.99</v>
      </c>
      <c r="F9241">
        <v>20140508</v>
      </c>
      <c r="G9241" t="s">
        <v>496</v>
      </c>
      <c r="H9241" t="s">
        <v>414</v>
      </c>
      <c r="I9241" t="s">
        <v>21</v>
      </c>
    </row>
    <row r="9242" spans="1:9" x14ac:dyDescent="0.25">
      <c r="A9242">
        <v>20140508</v>
      </c>
      <c r="B9242" t="str">
        <f>"115651"</f>
        <v>115651</v>
      </c>
      <c r="C9242" t="str">
        <f>"53300"</f>
        <v>53300</v>
      </c>
      <c r="D9242" t="s">
        <v>1491</v>
      </c>
      <c r="E9242">
        <v>11.99</v>
      </c>
      <c r="F9242">
        <v>20140506</v>
      </c>
      <c r="G9242" t="s">
        <v>484</v>
      </c>
      <c r="H9242" t="s">
        <v>414</v>
      </c>
      <c r="I9242" t="s">
        <v>21</v>
      </c>
    </row>
    <row r="9243" spans="1:9" x14ac:dyDescent="0.25">
      <c r="A9243">
        <v>20140508</v>
      </c>
      <c r="B9243" t="str">
        <f>"115651"</f>
        <v>115651</v>
      </c>
      <c r="C9243" t="str">
        <f>"53300"</f>
        <v>53300</v>
      </c>
      <c r="D9243" t="s">
        <v>1491</v>
      </c>
      <c r="E9243">
        <v>64.569999999999993</v>
      </c>
      <c r="F9243">
        <v>20140506</v>
      </c>
      <c r="G9243" t="s">
        <v>392</v>
      </c>
      <c r="H9243" t="s">
        <v>414</v>
      </c>
      <c r="I9243" t="s">
        <v>21</v>
      </c>
    </row>
    <row r="9244" spans="1:9" x14ac:dyDescent="0.25">
      <c r="A9244">
        <v>20140508</v>
      </c>
      <c r="B9244" t="str">
        <f>"115651"</f>
        <v>115651</v>
      </c>
      <c r="C9244" t="str">
        <f>"53300"</f>
        <v>53300</v>
      </c>
      <c r="D9244" t="s">
        <v>1491</v>
      </c>
      <c r="E9244">
        <v>2.4900000000000002</v>
      </c>
      <c r="F9244">
        <v>20140506</v>
      </c>
      <c r="G9244" t="s">
        <v>3820</v>
      </c>
      <c r="H9244" t="s">
        <v>414</v>
      </c>
      <c r="I9244" t="s">
        <v>21</v>
      </c>
    </row>
    <row r="9245" spans="1:9" x14ac:dyDescent="0.25">
      <c r="A9245">
        <v>20140508</v>
      </c>
      <c r="B9245" t="str">
        <f>"115652"</f>
        <v>115652</v>
      </c>
      <c r="C9245" t="str">
        <f>"53650"</f>
        <v>53650</v>
      </c>
      <c r="D9245" t="s">
        <v>1492</v>
      </c>
      <c r="E9245">
        <v>20.87</v>
      </c>
      <c r="F9245">
        <v>20140506</v>
      </c>
      <c r="G9245" t="s">
        <v>819</v>
      </c>
      <c r="H9245" t="s">
        <v>2506</v>
      </c>
      <c r="I9245" t="s">
        <v>63</v>
      </c>
    </row>
    <row r="9246" spans="1:9" x14ac:dyDescent="0.25">
      <c r="A9246">
        <v>20140508</v>
      </c>
      <c r="B9246" t="str">
        <f>"115652"</f>
        <v>115652</v>
      </c>
      <c r="C9246" t="str">
        <f>"53650"</f>
        <v>53650</v>
      </c>
      <c r="D9246" t="s">
        <v>1492</v>
      </c>
      <c r="E9246">
        <v>85.95</v>
      </c>
      <c r="F9246">
        <v>20140507</v>
      </c>
      <c r="G9246" t="s">
        <v>1943</v>
      </c>
      <c r="H9246" t="s">
        <v>2506</v>
      </c>
      <c r="I9246" t="s">
        <v>21</v>
      </c>
    </row>
    <row r="9247" spans="1:9" x14ac:dyDescent="0.25">
      <c r="A9247">
        <v>20140508</v>
      </c>
      <c r="B9247" t="str">
        <f>"115652"</f>
        <v>115652</v>
      </c>
      <c r="C9247" t="str">
        <f>"53650"</f>
        <v>53650</v>
      </c>
      <c r="D9247" t="s">
        <v>1492</v>
      </c>
      <c r="E9247">
        <v>25.84</v>
      </c>
      <c r="F9247">
        <v>20140506</v>
      </c>
      <c r="G9247" t="s">
        <v>837</v>
      </c>
      <c r="H9247" t="s">
        <v>4268</v>
      </c>
      <c r="I9247" t="s">
        <v>21</v>
      </c>
    </row>
    <row r="9248" spans="1:9" x14ac:dyDescent="0.25">
      <c r="A9248">
        <v>20140508</v>
      </c>
      <c r="B9248" t="str">
        <f>"115653"</f>
        <v>115653</v>
      </c>
      <c r="C9248" t="str">
        <f>"82978"</f>
        <v>82978</v>
      </c>
      <c r="D9248" t="s">
        <v>2245</v>
      </c>
      <c r="E9248">
        <v>57.08</v>
      </c>
      <c r="F9248">
        <v>20140507</v>
      </c>
      <c r="G9248" t="s">
        <v>834</v>
      </c>
      <c r="H9248" t="s">
        <v>4269</v>
      </c>
      <c r="I9248" t="s">
        <v>21</v>
      </c>
    </row>
    <row r="9249" spans="1:9" x14ac:dyDescent="0.25">
      <c r="A9249">
        <v>20140508</v>
      </c>
      <c r="B9249" t="str">
        <f>"115653"</f>
        <v>115653</v>
      </c>
      <c r="C9249" t="str">
        <f>"82978"</f>
        <v>82978</v>
      </c>
      <c r="D9249" t="s">
        <v>2245</v>
      </c>
      <c r="E9249">
        <v>15.96</v>
      </c>
      <c r="F9249">
        <v>20140507</v>
      </c>
      <c r="G9249" t="s">
        <v>837</v>
      </c>
      <c r="H9249" t="s">
        <v>4270</v>
      </c>
      <c r="I9249" t="s">
        <v>21</v>
      </c>
    </row>
    <row r="9250" spans="1:9" x14ac:dyDescent="0.25">
      <c r="A9250">
        <v>20140508</v>
      </c>
      <c r="B9250" t="str">
        <f>"115653"</f>
        <v>115653</v>
      </c>
      <c r="C9250" t="str">
        <f>"82978"</f>
        <v>82978</v>
      </c>
      <c r="D9250" t="s">
        <v>2245</v>
      </c>
      <c r="E9250">
        <v>656</v>
      </c>
      <c r="F9250">
        <v>20140502</v>
      </c>
      <c r="G9250" t="s">
        <v>840</v>
      </c>
      <c r="H9250" t="s">
        <v>4271</v>
      </c>
      <c r="I9250" t="s">
        <v>21</v>
      </c>
    </row>
    <row r="9251" spans="1:9" x14ac:dyDescent="0.25">
      <c r="A9251">
        <v>20140508</v>
      </c>
      <c r="B9251" t="str">
        <f>"115653"</f>
        <v>115653</v>
      </c>
      <c r="C9251" t="str">
        <f>"82978"</f>
        <v>82978</v>
      </c>
      <c r="D9251" t="s">
        <v>2245</v>
      </c>
      <c r="E9251">
        <v>349.57</v>
      </c>
      <c r="F9251">
        <v>20140502</v>
      </c>
      <c r="G9251" t="s">
        <v>2642</v>
      </c>
      <c r="H9251" t="s">
        <v>4272</v>
      </c>
      <c r="I9251" t="s">
        <v>38</v>
      </c>
    </row>
    <row r="9252" spans="1:9" x14ac:dyDescent="0.25">
      <c r="A9252">
        <v>20140508</v>
      </c>
      <c r="B9252" t="str">
        <f>"115654"</f>
        <v>115654</v>
      </c>
      <c r="C9252" t="str">
        <f>"81981"</f>
        <v>81981</v>
      </c>
      <c r="D9252" t="s">
        <v>4273</v>
      </c>
      <c r="E9252">
        <v>882</v>
      </c>
      <c r="F9252">
        <v>20140502</v>
      </c>
      <c r="G9252" t="s">
        <v>3029</v>
      </c>
      <c r="H9252" t="s">
        <v>4274</v>
      </c>
      <c r="I9252" t="s">
        <v>21</v>
      </c>
    </row>
    <row r="9253" spans="1:9" x14ac:dyDescent="0.25">
      <c r="A9253">
        <v>20140508</v>
      </c>
      <c r="B9253" t="str">
        <f>"115655"</f>
        <v>115655</v>
      </c>
      <c r="C9253" t="str">
        <f>"55675"</f>
        <v>55675</v>
      </c>
      <c r="D9253" t="s">
        <v>1114</v>
      </c>
      <c r="E9253">
        <v>55</v>
      </c>
      <c r="F9253">
        <v>20140501</v>
      </c>
      <c r="G9253" t="s">
        <v>506</v>
      </c>
      <c r="H9253" t="s">
        <v>414</v>
      </c>
      <c r="I9253" t="s">
        <v>21</v>
      </c>
    </row>
    <row r="9254" spans="1:9" x14ac:dyDescent="0.25">
      <c r="A9254">
        <v>20140508</v>
      </c>
      <c r="B9254" t="str">
        <f>"115655"</f>
        <v>115655</v>
      </c>
      <c r="C9254" t="str">
        <f>"55675"</f>
        <v>55675</v>
      </c>
      <c r="D9254" t="s">
        <v>1114</v>
      </c>
      <c r="E9254">
        <v>55</v>
      </c>
      <c r="F9254">
        <v>20140501</v>
      </c>
      <c r="G9254" t="s">
        <v>506</v>
      </c>
      <c r="H9254" t="s">
        <v>414</v>
      </c>
      <c r="I9254" t="s">
        <v>21</v>
      </c>
    </row>
    <row r="9255" spans="1:9" x14ac:dyDescent="0.25">
      <c r="A9255">
        <v>20140508</v>
      </c>
      <c r="B9255" t="str">
        <f>"115656"</f>
        <v>115656</v>
      </c>
      <c r="C9255" t="str">
        <f>"81514"</f>
        <v>81514</v>
      </c>
      <c r="D9255" t="s">
        <v>4275</v>
      </c>
      <c r="E9255">
        <v>45</v>
      </c>
      <c r="F9255">
        <v>20140502</v>
      </c>
      <c r="G9255" t="s">
        <v>932</v>
      </c>
      <c r="H9255" t="s">
        <v>4276</v>
      </c>
      <c r="I9255" t="s">
        <v>77</v>
      </c>
    </row>
    <row r="9256" spans="1:9" x14ac:dyDescent="0.25">
      <c r="A9256">
        <v>20140508</v>
      </c>
      <c r="B9256" t="str">
        <f>"115657"</f>
        <v>115657</v>
      </c>
      <c r="C9256" t="str">
        <f>"83263"</f>
        <v>83263</v>
      </c>
      <c r="D9256" t="s">
        <v>2876</v>
      </c>
      <c r="E9256">
        <v>36.450000000000003</v>
      </c>
      <c r="F9256">
        <v>20140505</v>
      </c>
      <c r="G9256" t="s">
        <v>410</v>
      </c>
      <c r="H9256" t="s">
        <v>411</v>
      </c>
      <c r="I9256" t="s">
        <v>12</v>
      </c>
    </row>
    <row r="9257" spans="1:9" x14ac:dyDescent="0.25">
      <c r="A9257">
        <v>20140508</v>
      </c>
      <c r="B9257" t="str">
        <f>"115658"</f>
        <v>115658</v>
      </c>
      <c r="C9257" t="str">
        <f>"58458"</f>
        <v>58458</v>
      </c>
      <c r="D9257" t="s">
        <v>369</v>
      </c>
      <c r="E9257">
        <v>3.88</v>
      </c>
      <c r="F9257">
        <v>20140505</v>
      </c>
      <c r="G9257" t="s">
        <v>39</v>
      </c>
      <c r="H9257" t="s">
        <v>354</v>
      </c>
      <c r="I9257" t="s">
        <v>38</v>
      </c>
    </row>
    <row r="9258" spans="1:9" x14ac:dyDescent="0.25">
      <c r="A9258">
        <v>20140508</v>
      </c>
      <c r="B9258" t="str">
        <f>"115659"</f>
        <v>115659</v>
      </c>
      <c r="C9258" t="str">
        <f>"58490"</f>
        <v>58490</v>
      </c>
      <c r="D9258" t="s">
        <v>1278</v>
      </c>
      <c r="E9258">
        <v>25.63</v>
      </c>
      <c r="F9258">
        <v>20140506</v>
      </c>
      <c r="G9258" t="s">
        <v>119</v>
      </c>
      <c r="H9258" t="s">
        <v>354</v>
      </c>
      <c r="I9258" t="s">
        <v>38</v>
      </c>
    </row>
    <row r="9259" spans="1:9" x14ac:dyDescent="0.25">
      <c r="A9259">
        <v>20140508</v>
      </c>
      <c r="B9259" t="str">
        <f>"115660"</f>
        <v>115660</v>
      </c>
      <c r="C9259" t="str">
        <f>"58570"</f>
        <v>58570</v>
      </c>
      <c r="D9259" t="s">
        <v>655</v>
      </c>
      <c r="E9259">
        <v>55</v>
      </c>
      <c r="F9259">
        <v>20140501</v>
      </c>
      <c r="G9259" t="s">
        <v>340</v>
      </c>
      <c r="H9259" t="s">
        <v>4277</v>
      </c>
      <c r="I9259" t="s">
        <v>21</v>
      </c>
    </row>
    <row r="9260" spans="1:9" x14ac:dyDescent="0.25">
      <c r="A9260">
        <v>20140508</v>
      </c>
      <c r="B9260" t="str">
        <f>"115660"</f>
        <v>115660</v>
      </c>
      <c r="C9260" t="str">
        <f>"58570"</f>
        <v>58570</v>
      </c>
      <c r="D9260" t="s">
        <v>655</v>
      </c>
      <c r="E9260">
        <v>200</v>
      </c>
      <c r="F9260">
        <v>20140501</v>
      </c>
      <c r="G9260" t="s">
        <v>340</v>
      </c>
      <c r="H9260" t="s">
        <v>3944</v>
      </c>
      <c r="I9260" t="s">
        <v>21</v>
      </c>
    </row>
    <row r="9261" spans="1:9" x14ac:dyDescent="0.25">
      <c r="A9261">
        <v>20140508</v>
      </c>
      <c r="B9261" t="str">
        <f>"115660"</f>
        <v>115660</v>
      </c>
      <c r="C9261" t="str">
        <f>"58570"</f>
        <v>58570</v>
      </c>
      <c r="D9261" t="s">
        <v>655</v>
      </c>
      <c r="E9261">
        <v>208</v>
      </c>
      <c r="F9261">
        <v>20140501</v>
      </c>
      <c r="G9261" t="s">
        <v>340</v>
      </c>
      <c r="H9261" t="s">
        <v>3944</v>
      </c>
      <c r="I9261" t="s">
        <v>21</v>
      </c>
    </row>
    <row r="9262" spans="1:9" x14ac:dyDescent="0.25">
      <c r="A9262">
        <v>20140508</v>
      </c>
      <c r="B9262" t="str">
        <f>"115661"</f>
        <v>115661</v>
      </c>
      <c r="C9262" t="str">
        <f>"58675"</f>
        <v>58675</v>
      </c>
      <c r="D9262" t="s">
        <v>657</v>
      </c>
      <c r="E9262" s="1">
        <v>2595.17</v>
      </c>
      <c r="F9262">
        <v>20140506</v>
      </c>
      <c r="G9262" t="s">
        <v>498</v>
      </c>
      <c r="H9262" t="s">
        <v>499</v>
      </c>
      <c r="I9262" t="s">
        <v>21</v>
      </c>
    </row>
    <row r="9263" spans="1:9" x14ac:dyDescent="0.25">
      <c r="A9263">
        <v>20140508</v>
      </c>
      <c r="B9263" t="str">
        <f>"115662"</f>
        <v>115662</v>
      </c>
      <c r="C9263" t="str">
        <f>"59500"</f>
        <v>59500</v>
      </c>
      <c r="D9263" t="s">
        <v>670</v>
      </c>
      <c r="E9263">
        <v>95.96</v>
      </c>
      <c r="F9263">
        <v>20140502</v>
      </c>
      <c r="G9263" t="s">
        <v>2809</v>
      </c>
      <c r="H9263" t="s">
        <v>4278</v>
      </c>
      <c r="I9263" t="s">
        <v>21</v>
      </c>
    </row>
    <row r="9264" spans="1:9" x14ac:dyDescent="0.25">
      <c r="A9264">
        <v>20140508</v>
      </c>
      <c r="B9264" t="str">
        <f>"115663"</f>
        <v>115663</v>
      </c>
      <c r="C9264" t="str">
        <f>"86796"</f>
        <v>86796</v>
      </c>
      <c r="D9264" t="s">
        <v>938</v>
      </c>
      <c r="E9264">
        <v>200</v>
      </c>
      <c r="F9264">
        <v>20140507</v>
      </c>
      <c r="G9264" t="s">
        <v>4279</v>
      </c>
      <c r="H9264" t="s">
        <v>4280</v>
      </c>
      <c r="I9264" t="s">
        <v>21</v>
      </c>
    </row>
    <row r="9265" spans="1:9" x14ac:dyDescent="0.25">
      <c r="A9265">
        <v>20140508</v>
      </c>
      <c r="B9265" t="str">
        <f>"115664"</f>
        <v>115664</v>
      </c>
      <c r="C9265" t="str">
        <f>"86795"</f>
        <v>86795</v>
      </c>
      <c r="D9265" t="s">
        <v>430</v>
      </c>
      <c r="E9265">
        <v>29.7</v>
      </c>
      <c r="F9265">
        <v>20140505</v>
      </c>
      <c r="G9265" t="s">
        <v>410</v>
      </c>
      <c r="H9265" t="s">
        <v>411</v>
      </c>
      <c r="I9265" t="s">
        <v>12</v>
      </c>
    </row>
    <row r="9266" spans="1:9" x14ac:dyDescent="0.25">
      <c r="A9266">
        <v>20140508</v>
      </c>
      <c r="B9266" t="str">
        <f>"115665"</f>
        <v>115665</v>
      </c>
      <c r="C9266" t="str">
        <f>"81901"</f>
        <v>81901</v>
      </c>
      <c r="D9266" t="s">
        <v>2267</v>
      </c>
      <c r="E9266">
        <v>64.8</v>
      </c>
      <c r="F9266">
        <v>20140506</v>
      </c>
      <c r="G9266" t="s">
        <v>1170</v>
      </c>
      <c r="H9266" t="s">
        <v>365</v>
      </c>
      <c r="I9266" t="s">
        <v>21</v>
      </c>
    </row>
    <row r="9267" spans="1:9" x14ac:dyDescent="0.25">
      <c r="A9267">
        <v>20140508</v>
      </c>
      <c r="B9267" t="str">
        <f>"115666"</f>
        <v>115666</v>
      </c>
      <c r="C9267" t="str">
        <f>"83194"</f>
        <v>83194</v>
      </c>
      <c r="D9267" t="s">
        <v>4281</v>
      </c>
      <c r="E9267">
        <v>92.64</v>
      </c>
      <c r="F9267">
        <v>20140505</v>
      </c>
      <c r="G9267" t="s">
        <v>1759</v>
      </c>
      <c r="H9267" t="s">
        <v>921</v>
      </c>
      <c r="I9267" t="s">
        <v>61</v>
      </c>
    </row>
    <row r="9268" spans="1:9" x14ac:dyDescent="0.25">
      <c r="A9268">
        <v>20140508</v>
      </c>
      <c r="B9268" t="str">
        <f>"115667"</f>
        <v>115667</v>
      </c>
      <c r="C9268" t="str">
        <f>"84891"</f>
        <v>84891</v>
      </c>
      <c r="D9268" t="s">
        <v>2747</v>
      </c>
      <c r="E9268">
        <v>24.3</v>
      </c>
      <c r="F9268">
        <v>20140505</v>
      </c>
      <c r="G9268" t="s">
        <v>410</v>
      </c>
      <c r="H9268" t="s">
        <v>411</v>
      </c>
      <c r="I9268" t="s">
        <v>12</v>
      </c>
    </row>
    <row r="9269" spans="1:9" x14ac:dyDescent="0.25">
      <c r="A9269">
        <v>20140508</v>
      </c>
      <c r="B9269" t="str">
        <f>"115668"</f>
        <v>115668</v>
      </c>
      <c r="C9269" t="str">
        <f>"00032"</f>
        <v>00032</v>
      </c>
      <c r="D9269" t="s">
        <v>109</v>
      </c>
      <c r="E9269">
        <v>537.5</v>
      </c>
      <c r="F9269">
        <v>20140505</v>
      </c>
      <c r="G9269" t="s">
        <v>2579</v>
      </c>
      <c r="H9269" t="s">
        <v>2757</v>
      </c>
      <c r="I9269" t="s">
        <v>58</v>
      </c>
    </row>
    <row r="9270" spans="1:9" x14ac:dyDescent="0.25">
      <c r="A9270">
        <v>20140508</v>
      </c>
      <c r="B9270" t="str">
        <f>"115669"</f>
        <v>115669</v>
      </c>
      <c r="C9270" t="str">
        <f>"86383"</f>
        <v>86383</v>
      </c>
      <c r="D9270" t="s">
        <v>4282</v>
      </c>
      <c r="E9270">
        <v>910</v>
      </c>
      <c r="F9270">
        <v>20140501</v>
      </c>
      <c r="G9270" t="s">
        <v>866</v>
      </c>
      <c r="H9270" t="s">
        <v>1838</v>
      </c>
      <c r="I9270" t="s">
        <v>25</v>
      </c>
    </row>
    <row r="9271" spans="1:9" x14ac:dyDescent="0.25">
      <c r="A9271">
        <v>20140508</v>
      </c>
      <c r="B9271" t="str">
        <f>"115670"</f>
        <v>115670</v>
      </c>
      <c r="C9271" t="str">
        <f>"84214"</f>
        <v>84214</v>
      </c>
      <c r="D9271" t="s">
        <v>431</v>
      </c>
      <c r="E9271">
        <v>40.5</v>
      </c>
      <c r="F9271">
        <v>20140505</v>
      </c>
      <c r="G9271" t="s">
        <v>410</v>
      </c>
      <c r="H9271" t="s">
        <v>411</v>
      </c>
      <c r="I9271" t="s">
        <v>12</v>
      </c>
    </row>
    <row r="9272" spans="1:9" x14ac:dyDescent="0.25">
      <c r="A9272">
        <v>20140508</v>
      </c>
      <c r="B9272" t="str">
        <f>"115671"</f>
        <v>115671</v>
      </c>
      <c r="C9272" t="str">
        <f>"83617"</f>
        <v>83617</v>
      </c>
      <c r="D9272" t="s">
        <v>1289</v>
      </c>
      <c r="E9272">
        <v>392.45</v>
      </c>
      <c r="F9272">
        <v>20140507</v>
      </c>
      <c r="G9272" t="s">
        <v>892</v>
      </c>
      <c r="H9272" t="s">
        <v>563</v>
      </c>
      <c r="I9272" t="s">
        <v>79</v>
      </c>
    </row>
    <row r="9273" spans="1:9" x14ac:dyDescent="0.25">
      <c r="A9273">
        <v>20140508</v>
      </c>
      <c r="B9273" t="str">
        <f>"115672"</f>
        <v>115672</v>
      </c>
      <c r="C9273" t="str">
        <f>"85248"</f>
        <v>85248</v>
      </c>
      <c r="D9273" t="s">
        <v>2970</v>
      </c>
      <c r="E9273">
        <v>168</v>
      </c>
      <c r="F9273">
        <v>20140505</v>
      </c>
      <c r="G9273" t="s">
        <v>4283</v>
      </c>
      <c r="H9273" t="s">
        <v>4284</v>
      </c>
      <c r="I9273" t="s">
        <v>25</v>
      </c>
    </row>
    <row r="9274" spans="1:9" x14ac:dyDescent="0.25">
      <c r="A9274">
        <v>20140508</v>
      </c>
      <c r="B9274" t="str">
        <f>"115673"</f>
        <v>115673</v>
      </c>
      <c r="C9274" t="str">
        <f>"81933"</f>
        <v>81933</v>
      </c>
      <c r="D9274" t="s">
        <v>432</v>
      </c>
      <c r="E9274">
        <v>40.049999999999997</v>
      </c>
      <c r="F9274">
        <v>20140505</v>
      </c>
      <c r="G9274" t="s">
        <v>410</v>
      </c>
      <c r="H9274" t="s">
        <v>411</v>
      </c>
      <c r="I9274" t="s">
        <v>12</v>
      </c>
    </row>
    <row r="9275" spans="1:9" x14ac:dyDescent="0.25">
      <c r="A9275">
        <v>20140508</v>
      </c>
      <c r="B9275" t="str">
        <f>"115674"</f>
        <v>115674</v>
      </c>
      <c r="C9275" t="str">
        <f>"62450"</f>
        <v>62450</v>
      </c>
      <c r="D9275" t="s">
        <v>683</v>
      </c>
      <c r="E9275">
        <v>101</v>
      </c>
      <c r="F9275">
        <v>20140502</v>
      </c>
      <c r="G9275" t="s">
        <v>861</v>
      </c>
      <c r="H9275" t="s">
        <v>4285</v>
      </c>
      <c r="I9275" t="s">
        <v>21</v>
      </c>
    </row>
    <row r="9276" spans="1:9" x14ac:dyDescent="0.25">
      <c r="A9276">
        <v>20140508</v>
      </c>
      <c r="B9276" t="str">
        <f>"115675"</f>
        <v>115675</v>
      </c>
      <c r="C9276" t="str">
        <f>"62900"</f>
        <v>62900</v>
      </c>
      <c r="D9276" t="s">
        <v>1293</v>
      </c>
      <c r="E9276">
        <v>80.8</v>
      </c>
      <c r="F9276">
        <v>20140502</v>
      </c>
      <c r="G9276" t="s">
        <v>4093</v>
      </c>
      <c r="H9276" t="s">
        <v>4286</v>
      </c>
      <c r="I9276" t="s">
        <v>21</v>
      </c>
    </row>
    <row r="9277" spans="1:9" x14ac:dyDescent="0.25">
      <c r="A9277">
        <v>20140508</v>
      </c>
      <c r="B9277" t="str">
        <f>"115676"</f>
        <v>115676</v>
      </c>
      <c r="C9277" t="str">
        <f>"87848"</f>
        <v>87848</v>
      </c>
      <c r="D9277" t="s">
        <v>1293</v>
      </c>
      <c r="E9277">
        <v>224</v>
      </c>
      <c r="F9277">
        <v>20140507</v>
      </c>
      <c r="G9277" t="s">
        <v>580</v>
      </c>
      <c r="H9277" t="s">
        <v>2691</v>
      </c>
      <c r="I9277" t="s">
        <v>21</v>
      </c>
    </row>
    <row r="9278" spans="1:9" x14ac:dyDescent="0.25">
      <c r="A9278">
        <v>20140508</v>
      </c>
      <c r="B9278" t="str">
        <f>"115677"</f>
        <v>115677</v>
      </c>
      <c r="C9278" t="str">
        <f>"87848"</f>
        <v>87848</v>
      </c>
      <c r="D9278" t="s">
        <v>1293</v>
      </c>
      <c r="E9278">
        <v>201</v>
      </c>
      <c r="F9278">
        <v>20140507</v>
      </c>
      <c r="G9278" t="s">
        <v>214</v>
      </c>
      <c r="H9278" t="s">
        <v>2691</v>
      </c>
      <c r="I9278" t="s">
        <v>38</v>
      </c>
    </row>
    <row r="9279" spans="1:9" x14ac:dyDescent="0.25">
      <c r="A9279">
        <v>20140508</v>
      </c>
      <c r="B9279" t="str">
        <f>"115678"</f>
        <v>115678</v>
      </c>
      <c r="C9279" t="str">
        <f>"87772"</f>
        <v>87772</v>
      </c>
      <c r="D9279" t="s">
        <v>3883</v>
      </c>
      <c r="E9279" s="1">
        <v>2247.1999999999998</v>
      </c>
      <c r="F9279">
        <v>20140507</v>
      </c>
      <c r="G9279" t="s">
        <v>3820</v>
      </c>
      <c r="H9279" t="s">
        <v>4287</v>
      </c>
      <c r="I9279" t="s">
        <v>21</v>
      </c>
    </row>
    <row r="9280" spans="1:9" x14ac:dyDescent="0.25">
      <c r="A9280">
        <v>20140508</v>
      </c>
      <c r="B9280" t="str">
        <f>"115679"</f>
        <v>115679</v>
      </c>
      <c r="C9280" t="str">
        <f>"81726"</f>
        <v>81726</v>
      </c>
      <c r="D9280" t="s">
        <v>3954</v>
      </c>
      <c r="E9280">
        <v>115.2</v>
      </c>
      <c r="F9280">
        <v>20140507</v>
      </c>
      <c r="G9280" t="s">
        <v>1846</v>
      </c>
      <c r="H9280" t="s">
        <v>765</v>
      </c>
      <c r="I9280" t="s">
        <v>63</v>
      </c>
    </row>
    <row r="9281" spans="1:9" x14ac:dyDescent="0.25">
      <c r="A9281">
        <v>20140508</v>
      </c>
      <c r="B9281" t="str">
        <f>"115680"</f>
        <v>115680</v>
      </c>
      <c r="C9281" t="str">
        <f>"68960"</f>
        <v>68960</v>
      </c>
      <c r="D9281" t="s">
        <v>689</v>
      </c>
      <c r="E9281">
        <v>700</v>
      </c>
      <c r="F9281">
        <v>20140507</v>
      </c>
      <c r="G9281" t="s">
        <v>48</v>
      </c>
      <c r="H9281" t="s">
        <v>4288</v>
      </c>
      <c r="I9281" t="s">
        <v>25</v>
      </c>
    </row>
    <row r="9282" spans="1:9" x14ac:dyDescent="0.25">
      <c r="A9282">
        <v>20140508</v>
      </c>
      <c r="B9282" t="str">
        <f>"115681"</f>
        <v>115681</v>
      </c>
      <c r="C9282" t="str">
        <f>"81886"</f>
        <v>81886</v>
      </c>
      <c r="D9282" t="s">
        <v>1527</v>
      </c>
      <c r="E9282" s="1">
        <v>1900</v>
      </c>
      <c r="F9282">
        <v>20140501</v>
      </c>
      <c r="G9282" t="s">
        <v>746</v>
      </c>
      <c r="H9282" t="s">
        <v>555</v>
      </c>
      <c r="I9282" t="s">
        <v>21</v>
      </c>
    </row>
    <row r="9283" spans="1:9" x14ac:dyDescent="0.25">
      <c r="A9283">
        <v>20140508</v>
      </c>
      <c r="B9283" t="str">
        <f>"115682"</f>
        <v>115682</v>
      </c>
      <c r="C9283" t="str">
        <f>"84606"</f>
        <v>84606</v>
      </c>
      <c r="D9283" t="s">
        <v>4289</v>
      </c>
      <c r="E9283">
        <v>375</v>
      </c>
      <c r="F9283">
        <v>20140507</v>
      </c>
      <c r="G9283" t="s">
        <v>3099</v>
      </c>
      <c r="H9283" t="s">
        <v>4290</v>
      </c>
      <c r="I9283" t="s">
        <v>61</v>
      </c>
    </row>
    <row r="9284" spans="1:9" x14ac:dyDescent="0.25">
      <c r="A9284">
        <v>20140508</v>
      </c>
      <c r="B9284" t="str">
        <f>"115683"</f>
        <v>115683</v>
      </c>
      <c r="C9284" t="str">
        <f>"00391"</f>
        <v>00391</v>
      </c>
      <c r="D9284" t="s">
        <v>2894</v>
      </c>
      <c r="E9284">
        <v>195</v>
      </c>
      <c r="F9284">
        <v>20140507</v>
      </c>
      <c r="G9284" t="s">
        <v>1145</v>
      </c>
      <c r="H9284" t="s">
        <v>4167</v>
      </c>
      <c r="I9284" t="s">
        <v>73</v>
      </c>
    </row>
    <row r="9285" spans="1:9" x14ac:dyDescent="0.25">
      <c r="A9285">
        <v>20140508</v>
      </c>
      <c r="B9285" t="str">
        <f>"115683"</f>
        <v>115683</v>
      </c>
      <c r="C9285" t="str">
        <f>"00391"</f>
        <v>00391</v>
      </c>
      <c r="D9285" t="s">
        <v>2894</v>
      </c>
      <c r="E9285">
        <v>100</v>
      </c>
      <c r="F9285">
        <v>20140507</v>
      </c>
      <c r="G9285" t="s">
        <v>1145</v>
      </c>
      <c r="H9285" t="s">
        <v>1677</v>
      </c>
      <c r="I9285" t="s">
        <v>73</v>
      </c>
    </row>
    <row r="9286" spans="1:9" x14ac:dyDescent="0.25">
      <c r="A9286">
        <v>20140508</v>
      </c>
      <c r="B9286" t="str">
        <f>"115684"</f>
        <v>115684</v>
      </c>
      <c r="C9286" t="str">
        <f>"69780"</f>
        <v>69780</v>
      </c>
      <c r="D9286" t="s">
        <v>1939</v>
      </c>
      <c r="E9286">
        <v>40.93</v>
      </c>
      <c r="F9286">
        <v>20140507</v>
      </c>
      <c r="G9286" t="s">
        <v>1924</v>
      </c>
      <c r="H9286" t="s">
        <v>4291</v>
      </c>
      <c r="I9286" t="s">
        <v>21</v>
      </c>
    </row>
    <row r="9287" spans="1:9" x14ac:dyDescent="0.25">
      <c r="A9287">
        <v>20140508</v>
      </c>
      <c r="B9287" t="str">
        <f>"115685"</f>
        <v>115685</v>
      </c>
      <c r="C9287" t="str">
        <f>"70775"</f>
        <v>70775</v>
      </c>
      <c r="D9287" t="s">
        <v>4292</v>
      </c>
      <c r="E9287">
        <v>100</v>
      </c>
      <c r="F9287">
        <v>20140506</v>
      </c>
      <c r="G9287" t="s">
        <v>1153</v>
      </c>
      <c r="H9287" t="s">
        <v>388</v>
      </c>
      <c r="I9287" t="s">
        <v>61</v>
      </c>
    </row>
    <row r="9288" spans="1:9" x14ac:dyDescent="0.25">
      <c r="A9288">
        <v>20140508</v>
      </c>
      <c r="B9288" t="str">
        <f>"115685"</f>
        <v>115685</v>
      </c>
      <c r="C9288" t="str">
        <f>"70775"</f>
        <v>70775</v>
      </c>
      <c r="D9288" t="s">
        <v>4292</v>
      </c>
      <c r="E9288">
        <v>100</v>
      </c>
      <c r="F9288">
        <v>20140507</v>
      </c>
      <c r="G9288" t="s">
        <v>1153</v>
      </c>
      <c r="H9288" t="s">
        <v>388</v>
      </c>
      <c r="I9288" t="s">
        <v>61</v>
      </c>
    </row>
    <row r="9289" spans="1:9" x14ac:dyDescent="0.25">
      <c r="A9289">
        <v>20140508</v>
      </c>
      <c r="B9289" t="str">
        <f>"115686"</f>
        <v>115686</v>
      </c>
      <c r="C9289" t="str">
        <f>"87800"</f>
        <v>87800</v>
      </c>
      <c r="D9289" t="s">
        <v>4293</v>
      </c>
      <c r="E9289">
        <v>760</v>
      </c>
      <c r="F9289">
        <v>20140502</v>
      </c>
      <c r="G9289" t="s">
        <v>2663</v>
      </c>
      <c r="H9289" t="s">
        <v>4294</v>
      </c>
      <c r="I9289" t="s">
        <v>21</v>
      </c>
    </row>
    <row r="9290" spans="1:9" x14ac:dyDescent="0.25">
      <c r="A9290">
        <v>20140508</v>
      </c>
      <c r="B9290" t="str">
        <f>"115686"</f>
        <v>115686</v>
      </c>
      <c r="C9290" t="str">
        <f>"87800"</f>
        <v>87800</v>
      </c>
      <c r="D9290" t="s">
        <v>4293</v>
      </c>
      <c r="E9290">
        <v>-760</v>
      </c>
      <c r="F9290">
        <v>20140515</v>
      </c>
      <c r="G9290" t="s">
        <v>2663</v>
      </c>
      <c r="H9290" t="s">
        <v>4295</v>
      </c>
      <c r="I9290" t="s">
        <v>21</v>
      </c>
    </row>
    <row r="9291" spans="1:9" x14ac:dyDescent="0.25">
      <c r="A9291">
        <v>20140508</v>
      </c>
      <c r="B9291" t="str">
        <f>"115687"</f>
        <v>115687</v>
      </c>
      <c r="C9291" t="str">
        <f>"87846"</f>
        <v>87846</v>
      </c>
      <c r="D9291" t="s">
        <v>4296</v>
      </c>
      <c r="E9291">
        <v>75</v>
      </c>
      <c r="F9291">
        <v>20140506</v>
      </c>
      <c r="G9291" t="s">
        <v>3430</v>
      </c>
      <c r="H9291" t="s">
        <v>765</v>
      </c>
      <c r="I9291" t="s">
        <v>61</v>
      </c>
    </row>
    <row r="9292" spans="1:9" x14ac:dyDescent="0.25">
      <c r="A9292">
        <v>20140508</v>
      </c>
      <c r="B9292" t="str">
        <f>"115688"</f>
        <v>115688</v>
      </c>
      <c r="C9292" t="str">
        <f>"86085"</f>
        <v>86085</v>
      </c>
      <c r="D9292" t="s">
        <v>703</v>
      </c>
      <c r="E9292">
        <v>76</v>
      </c>
      <c r="F9292">
        <v>20140506</v>
      </c>
      <c r="G9292" t="s">
        <v>704</v>
      </c>
      <c r="H9292" t="s">
        <v>1535</v>
      </c>
      <c r="I9292" t="s">
        <v>21</v>
      </c>
    </row>
    <row r="9293" spans="1:9" x14ac:dyDescent="0.25">
      <c r="A9293">
        <v>20140508</v>
      </c>
      <c r="B9293" t="str">
        <f t="shared" ref="B9293:B9300" si="549">"115689"</f>
        <v>115689</v>
      </c>
      <c r="C9293" t="str">
        <f t="shared" ref="C9293:C9300" si="550">"82502"</f>
        <v>82502</v>
      </c>
      <c r="D9293" t="s">
        <v>706</v>
      </c>
      <c r="E9293">
        <v>40</v>
      </c>
      <c r="F9293">
        <v>20140501</v>
      </c>
      <c r="G9293" t="s">
        <v>340</v>
      </c>
      <c r="H9293" t="s">
        <v>525</v>
      </c>
      <c r="I9293" t="s">
        <v>21</v>
      </c>
    </row>
    <row r="9294" spans="1:9" x14ac:dyDescent="0.25">
      <c r="A9294">
        <v>20140508</v>
      </c>
      <c r="B9294" t="str">
        <f t="shared" si="549"/>
        <v>115689</v>
      </c>
      <c r="C9294" t="str">
        <f t="shared" si="550"/>
        <v>82502</v>
      </c>
      <c r="D9294" t="s">
        <v>706</v>
      </c>
      <c r="E9294">
        <v>17.5</v>
      </c>
      <c r="F9294">
        <v>20140501</v>
      </c>
      <c r="G9294" t="s">
        <v>340</v>
      </c>
      <c r="H9294" t="s">
        <v>525</v>
      </c>
      <c r="I9294" t="s">
        <v>21</v>
      </c>
    </row>
    <row r="9295" spans="1:9" x14ac:dyDescent="0.25">
      <c r="A9295">
        <v>20140508</v>
      </c>
      <c r="B9295" t="str">
        <f t="shared" si="549"/>
        <v>115689</v>
      </c>
      <c r="C9295" t="str">
        <f t="shared" si="550"/>
        <v>82502</v>
      </c>
      <c r="D9295" t="s">
        <v>706</v>
      </c>
      <c r="E9295">
        <v>7.5</v>
      </c>
      <c r="F9295">
        <v>20140501</v>
      </c>
      <c r="G9295" t="s">
        <v>340</v>
      </c>
      <c r="H9295" t="s">
        <v>525</v>
      </c>
      <c r="I9295" t="s">
        <v>21</v>
      </c>
    </row>
    <row r="9296" spans="1:9" x14ac:dyDescent="0.25">
      <c r="A9296">
        <v>20140508</v>
      </c>
      <c r="B9296" t="str">
        <f t="shared" si="549"/>
        <v>115689</v>
      </c>
      <c r="C9296" t="str">
        <f t="shared" si="550"/>
        <v>82502</v>
      </c>
      <c r="D9296" t="s">
        <v>706</v>
      </c>
      <c r="E9296">
        <v>155</v>
      </c>
      <c r="F9296">
        <v>20140501</v>
      </c>
      <c r="G9296" t="s">
        <v>340</v>
      </c>
      <c r="H9296" t="s">
        <v>525</v>
      </c>
      <c r="I9296" t="s">
        <v>21</v>
      </c>
    </row>
    <row r="9297" spans="1:9" x14ac:dyDescent="0.25">
      <c r="A9297">
        <v>20140508</v>
      </c>
      <c r="B9297" t="str">
        <f t="shared" si="549"/>
        <v>115689</v>
      </c>
      <c r="C9297" t="str">
        <f t="shared" si="550"/>
        <v>82502</v>
      </c>
      <c r="D9297" t="s">
        <v>706</v>
      </c>
      <c r="E9297">
        <v>25</v>
      </c>
      <c r="F9297">
        <v>20140501</v>
      </c>
      <c r="G9297" t="s">
        <v>340</v>
      </c>
      <c r="H9297" t="s">
        <v>525</v>
      </c>
      <c r="I9297" t="s">
        <v>21</v>
      </c>
    </row>
    <row r="9298" spans="1:9" x14ac:dyDescent="0.25">
      <c r="A9298">
        <v>20140508</v>
      </c>
      <c r="B9298" t="str">
        <f t="shared" si="549"/>
        <v>115689</v>
      </c>
      <c r="C9298" t="str">
        <f t="shared" si="550"/>
        <v>82502</v>
      </c>
      <c r="D9298" t="s">
        <v>706</v>
      </c>
      <c r="E9298">
        <v>100</v>
      </c>
      <c r="F9298">
        <v>20140501</v>
      </c>
      <c r="G9298" t="s">
        <v>340</v>
      </c>
      <c r="H9298" t="s">
        <v>525</v>
      </c>
      <c r="I9298" t="s">
        <v>21</v>
      </c>
    </row>
    <row r="9299" spans="1:9" x14ac:dyDescent="0.25">
      <c r="A9299">
        <v>20140508</v>
      </c>
      <c r="B9299" t="str">
        <f t="shared" si="549"/>
        <v>115689</v>
      </c>
      <c r="C9299" t="str">
        <f t="shared" si="550"/>
        <v>82502</v>
      </c>
      <c r="D9299" t="s">
        <v>706</v>
      </c>
      <c r="E9299">
        <v>7.5</v>
      </c>
      <c r="F9299">
        <v>20140501</v>
      </c>
      <c r="G9299" t="s">
        <v>340</v>
      </c>
      <c r="H9299" t="s">
        <v>525</v>
      </c>
      <c r="I9299" t="s">
        <v>21</v>
      </c>
    </row>
    <row r="9300" spans="1:9" x14ac:dyDescent="0.25">
      <c r="A9300">
        <v>20140508</v>
      </c>
      <c r="B9300" t="str">
        <f t="shared" si="549"/>
        <v>115689</v>
      </c>
      <c r="C9300" t="str">
        <f t="shared" si="550"/>
        <v>82502</v>
      </c>
      <c r="D9300" t="s">
        <v>706</v>
      </c>
      <c r="E9300">
        <v>7.5</v>
      </c>
      <c r="F9300">
        <v>20140507</v>
      </c>
      <c r="G9300" t="s">
        <v>413</v>
      </c>
      <c r="H9300" t="s">
        <v>707</v>
      </c>
      <c r="I9300" t="s">
        <v>21</v>
      </c>
    </row>
    <row r="9301" spans="1:9" x14ac:dyDescent="0.25">
      <c r="A9301">
        <v>20140508</v>
      </c>
      <c r="B9301" t="str">
        <f>"115690"</f>
        <v>115690</v>
      </c>
      <c r="C9301" t="str">
        <f>"74338"</f>
        <v>74338</v>
      </c>
      <c r="D9301" t="s">
        <v>2773</v>
      </c>
      <c r="E9301">
        <v>14</v>
      </c>
      <c r="F9301">
        <v>20140505</v>
      </c>
      <c r="G9301" t="s">
        <v>39</v>
      </c>
      <c r="H9301" t="s">
        <v>4297</v>
      </c>
      <c r="I9301" t="s">
        <v>38</v>
      </c>
    </row>
    <row r="9302" spans="1:9" x14ac:dyDescent="0.25">
      <c r="A9302">
        <v>20140508</v>
      </c>
      <c r="B9302" t="str">
        <f>"115691"</f>
        <v>115691</v>
      </c>
      <c r="C9302" t="str">
        <f>"85763"</f>
        <v>85763</v>
      </c>
      <c r="D9302" t="s">
        <v>3792</v>
      </c>
      <c r="E9302">
        <v>900</v>
      </c>
      <c r="F9302">
        <v>20140506</v>
      </c>
      <c r="G9302" t="s">
        <v>746</v>
      </c>
      <c r="H9302" t="s">
        <v>555</v>
      </c>
      <c r="I9302" t="s">
        <v>21</v>
      </c>
    </row>
    <row r="9303" spans="1:9" x14ac:dyDescent="0.25">
      <c r="A9303">
        <v>20140508</v>
      </c>
      <c r="B9303" t="str">
        <f>"115691"</f>
        <v>115691</v>
      </c>
      <c r="C9303" t="str">
        <f>"85763"</f>
        <v>85763</v>
      </c>
      <c r="D9303" t="s">
        <v>3792</v>
      </c>
      <c r="E9303">
        <v>480</v>
      </c>
      <c r="F9303">
        <v>20140506</v>
      </c>
      <c r="G9303" t="s">
        <v>746</v>
      </c>
      <c r="H9303" t="s">
        <v>555</v>
      </c>
      <c r="I9303" t="s">
        <v>21</v>
      </c>
    </row>
    <row r="9304" spans="1:9" x14ac:dyDescent="0.25">
      <c r="A9304">
        <v>20140508</v>
      </c>
      <c r="B9304" t="str">
        <f>"115692"</f>
        <v>115692</v>
      </c>
      <c r="C9304" t="str">
        <f>"87616"</f>
        <v>87616</v>
      </c>
      <c r="D9304" t="s">
        <v>711</v>
      </c>
      <c r="E9304">
        <v>300</v>
      </c>
      <c r="F9304">
        <v>20140506</v>
      </c>
      <c r="G9304" t="s">
        <v>712</v>
      </c>
      <c r="H9304" t="s">
        <v>3144</v>
      </c>
      <c r="I9304" t="s">
        <v>21</v>
      </c>
    </row>
    <row r="9305" spans="1:9" x14ac:dyDescent="0.25">
      <c r="A9305">
        <v>20140508</v>
      </c>
      <c r="B9305" t="str">
        <f>"115693"</f>
        <v>115693</v>
      </c>
      <c r="C9305" t="str">
        <f>"87813"</f>
        <v>87813</v>
      </c>
      <c r="D9305" t="s">
        <v>4298</v>
      </c>
      <c r="E9305">
        <v>11</v>
      </c>
      <c r="F9305">
        <v>20140507</v>
      </c>
      <c r="G9305" t="s">
        <v>837</v>
      </c>
      <c r="H9305" t="s">
        <v>4299</v>
      </c>
      <c r="I9305" t="s">
        <v>21</v>
      </c>
    </row>
    <row r="9306" spans="1:9" x14ac:dyDescent="0.25">
      <c r="A9306">
        <v>20140508</v>
      </c>
      <c r="B9306" t="str">
        <f>"115693"</f>
        <v>115693</v>
      </c>
      <c r="C9306" t="str">
        <f>"87813"</f>
        <v>87813</v>
      </c>
      <c r="D9306" t="s">
        <v>4298</v>
      </c>
      <c r="E9306">
        <v>861</v>
      </c>
      <c r="F9306">
        <v>20140507</v>
      </c>
      <c r="G9306" t="s">
        <v>840</v>
      </c>
      <c r="H9306" t="s">
        <v>4300</v>
      </c>
      <c r="I9306" t="s">
        <v>21</v>
      </c>
    </row>
    <row r="9307" spans="1:9" x14ac:dyDescent="0.25">
      <c r="A9307">
        <v>20140508</v>
      </c>
      <c r="B9307" t="str">
        <f t="shared" ref="B9307:B9312" si="551">"115694"</f>
        <v>115694</v>
      </c>
      <c r="C9307" t="str">
        <f t="shared" ref="C9307:C9312" si="552">"75600"</f>
        <v>75600</v>
      </c>
      <c r="D9307" t="s">
        <v>714</v>
      </c>
      <c r="E9307">
        <v>39.85</v>
      </c>
      <c r="F9307">
        <v>20140507</v>
      </c>
      <c r="G9307" t="s">
        <v>498</v>
      </c>
      <c r="H9307" t="s">
        <v>499</v>
      </c>
      <c r="I9307" t="s">
        <v>21</v>
      </c>
    </row>
    <row r="9308" spans="1:9" x14ac:dyDescent="0.25">
      <c r="A9308">
        <v>20140508</v>
      </c>
      <c r="B9308" t="str">
        <f t="shared" si="551"/>
        <v>115694</v>
      </c>
      <c r="C9308" t="str">
        <f t="shared" si="552"/>
        <v>75600</v>
      </c>
      <c r="D9308" t="s">
        <v>714</v>
      </c>
      <c r="E9308">
        <v>115.38</v>
      </c>
      <c r="F9308">
        <v>20140507</v>
      </c>
      <c r="G9308" t="s">
        <v>498</v>
      </c>
      <c r="H9308" t="s">
        <v>499</v>
      </c>
      <c r="I9308" t="s">
        <v>21</v>
      </c>
    </row>
    <row r="9309" spans="1:9" x14ac:dyDescent="0.25">
      <c r="A9309">
        <v>20140508</v>
      </c>
      <c r="B9309" t="str">
        <f t="shared" si="551"/>
        <v>115694</v>
      </c>
      <c r="C9309" t="str">
        <f t="shared" si="552"/>
        <v>75600</v>
      </c>
      <c r="D9309" t="s">
        <v>714</v>
      </c>
      <c r="E9309">
        <v>13.22</v>
      </c>
      <c r="F9309">
        <v>20140507</v>
      </c>
      <c r="G9309" t="s">
        <v>498</v>
      </c>
      <c r="H9309" t="s">
        <v>499</v>
      </c>
      <c r="I9309" t="s">
        <v>21</v>
      </c>
    </row>
    <row r="9310" spans="1:9" x14ac:dyDescent="0.25">
      <c r="A9310">
        <v>20140508</v>
      </c>
      <c r="B9310" t="str">
        <f t="shared" si="551"/>
        <v>115694</v>
      </c>
      <c r="C9310" t="str">
        <f t="shared" si="552"/>
        <v>75600</v>
      </c>
      <c r="D9310" t="s">
        <v>714</v>
      </c>
      <c r="E9310">
        <v>74.98</v>
      </c>
      <c r="F9310">
        <v>20140507</v>
      </c>
      <c r="G9310" t="s">
        <v>498</v>
      </c>
      <c r="H9310" t="s">
        <v>499</v>
      </c>
      <c r="I9310" t="s">
        <v>21</v>
      </c>
    </row>
    <row r="9311" spans="1:9" x14ac:dyDescent="0.25">
      <c r="A9311">
        <v>20140508</v>
      </c>
      <c r="B9311" t="str">
        <f t="shared" si="551"/>
        <v>115694</v>
      </c>
      <c r="C9311" t="str">
        <f t="shared" si="552"/>
        <v>75600</v>
      </c>
      <c r="D9311" t="s">
        <v>714</v>
      </c>
      <c r="E9311">
        <v>6.78</v>
      </c>
      <c r="F9311">
        <v>20140507</v>
      </c>
      <c r="G9311" t="s">
        <v>498</v>
      </c>
      <c r="H9311" t="s">
        <v>499</v>
      </c>
      <c r="I9311" t="s">
        <v>21</v>
      </c>
    </row>
    <row r="9312" spans="1:9" x14ac:dyDescent="0.25">
      <c r="A9312">
        <v>20140508</v>
      </c>
      <c r="B9312" t="str">
        <f t="shared" si="551"/>
        <v>115694</v>
      </c>
      <c r="C9312" t="str">
        <f t="shared" si="552"/>
        <v>75600</v>
      </c>
      <c r="D9312" t="s">
        <v>714</v>
      </c>
      <c r="E9312">
        <v>155</v>
      </c>
      <c r="F9312">
        <v>20140507</v>
      </c>
      <c r="G9312" t="s">
        <v>498</v>
      </c>
      <c r="H9312" t="s">
        <v>499</v>
      </c>
      <c r="I9312" t="s">
        <v>21</v>
      </c>
    </row>
    <row r="9313" spans="1:9" x14ac:dyDescent="0.25">
      <c r="A9313">
        <v>20140508</v>
      </c>
      <c r="B9313" t="str">
        <f>"115695"</f>
        <v>115695</v>
      </c>
      <c r="C9313" t="str">
        <f>"69310"</f>
        <v>69310</v>
      </c>
      <c r="D9313" t="s">
        <v>716</v>
      </c>
      <c r="E9313">
        <v>69.290000000000006</v>
      </c>
      <c r="F9313">
        <v>20140505</v>
      </c>
      <c r="G9313" t="s">
        <v>718</v>
      </c>
      <c r="H9313" t="s">
        <v>488</v>
      </c>
      <c r="I9313" t="s">
        <v>21</v>
      </c>
    </row>
    <row r="9314" spans="1:9" x14ac:dyDescent="0.25">
      <c r="A9314">
        <v>20140508</v>
      </c>
      <c r="B9314" t="str">
        <f>"115696"</f>
        <v>115696</v>
      </c>
      <c r="C9314" t="str">
        <f>"87189"</f>
        <v>87189</v>
      </c>
      <c r="D9314" t="s">
        <v>730</v>
      </c>
      <c r="E9314">
        <v>974.96</v>
      </c>
      <c r="F9314">
        <v>20140506</v>
      </c>
      <c r="G9314" t="s">
        <v>580</v>
      </c>
      <c r="H9314" t="s">
        <v>4301</v>
      </c>
      <c r="I9314" t="s">
        <v>21</v>
      </c>
    </row>
    <row r="9315" spans="1:9" x14ac:dyDescent="0.25">
      <c r="A9315">
        <v>20140508</v>
      </c>
      <c r="B9315" t="str">
        <f>"115696"</f>
        <v>115696</v>
      </c>
      <c r="C9315" t="str">
        <f>"87189"</f>
        <v>87189</v>
      </c>
      <c r="D9315" t="s">
        <v>730</v>
      </c>
      <c r="E9315">
        <v>308</v>
      </c>
      <c r="F9315">
        <v>20140501</v>
      </c>
      <c r="G9315" t="s">
        <v>473</v>
      </c>
      <c r="H9315" t="s">
        <v>3606</v>
      </c>
      <c r="I9315" t="s">
        <v>21</v>
      </c>
    </row>
    <row r="9316" spans="1:9" x14ac:dyDescent="0.25">
      <c r="A9316">
        <v>20140508</v>
      </c>
      <c r="B9316" t="str">
        <f>"115696"</f>
        <v>115696</v>
      </c>
      <c r="C9316" t="str">
        <f>"87189"</f>
        <v>87189</v>
      </c>
      <c r="D9316" t="s">
        <v>730</v>
      </c>
      <c r="E9316">
        <v>527.80999999999995</v>
      </c>
      <c r="F9316">
        <v>20140501</v>
      </c>
      <c r="G9316" t="s">
        <v>473</v>
      </c>
      <c r="H9316" t="s">
        <v>3606</v>
      </c>
      <c r="I9316" t="s">
        <v>21</v>
      </c>
    </row>
    <row r="9317" spans="1:9" x14ac:dyDescent="0.25">
      <c r="A9317">
        <v>20140508</v>
      </c>
      <c r="B9317" t="str">
        <f>"115696"</f>
        <v>115696</v>
      </c>
      <c r="C9317" t="str">
        <f>"87189"</f>
        <v>87189</v>
      </c>
      <c r="D9317" t="s">
        <v>730</v>
      </c>
      <c r="E9317">
        <v>314.23</v>
      </c>
      <c r="F9317">
        <v>20140506</v>
      </c>
      <c r="G9317" t="s">
        <v>482</v>
      </c>
      <c r="H9317" t="s">
        <v>4302</v>
      </c>
      <c r="I9317" t="s">
        <v>21</v>
      </c>
    </row>
    <row r="9318" spans="1:9" x14ac:dyDescent="0.25">
      <c r="A9318">
        <v>20140508</v>
      </c>
      <c r="B9318" t="str">
        <f>"115697"</f>
        <v>115697</v>
      </c>
      <c r="C9318" t="str">
        <f>"81358"</f>
        <v>81358</v>
      </c>
      <c r="D9318" t="s">
        <v>736</v>
      </c>
      <c r="E9318">
        <v>318.56</v>
      </c>
      <c r="F9318">
        <v>20140506</v>
      </c>
      <c r="G9318" t="s">
        <v>737</v>
      </c>
      <c r="H9318" t="s">
        <v>738</v>
      </c>
      <c r="I9318" t="s">
        <v>21</v>
      </c>
    </row>
    <row r="9319" spans="1:9" x14ac:dyDescent="0.25">
      <c r="A9319">
        <v>20140508</v>
      </c>
      <c r="B9319" t="str">
        <f>"115698"</f>
        <v>115698</v>
      </c>
      <c r="C9319" t="str">
        <f>"81358"</f>
        <v>81358</v>
      </c>
      <c r="D9319" t="s">
        <v>736</v>
      </c>
      <c r="E9319">
        <v>78.760000000000005</v>
      </c>
      <c r="F9319">
        <v>20140506</v>
      </c>
      <c r="G9319" t="s">
        <v>737</v>
      </c>
      <c r="H9319" t="s">
        <v>738</v>
      </c>
      <c r="I9319" t="s">
        <v>21</v>
      </c>
    </row>
    <row r="9320" spans="1:9" x14ac:dyDescent="0.25">
      <c r="A9320">
        <v>20140508</v>
      </c>
      <c r="B9320" t="str">
        <f>"115699"</f>
        <v>115699</v>
      </c>
      <c r="C9320" t="str">
        <f>"76775"</f>
        <v>76775</v>
      </c>
      <c r="D9320" t="s">
        <v>2308</v>
      </c>
      <c r="E9320">
        <v>397.53</v>
      </c>
      <c r="F9320">
        <v>20140506</v>
      </c>
      <c r="G9320" t="s">
        <v>621</v>
      </c>
      <c r="H9320" t="s">
        <v>3975</v>
      </c>
      <c r="I9320" t="s">
        <v>21</v>
      </c>
    </row>
    <row r="9321" spans="1:9" x14ac:dyDescent="0.25">
      <c r="A9321">
        <v>20140508</v>
      </c>
      <c r="B9321" t="str">
        <f>"115700"</f>
        <v>115700</v>
      </c>
      <c r="C9321" t="str">
        <f>"81098"</f>
        <v>81098</v>
      </c>
      <c r="D9321" t="s">
        <v>4303</v>
      </c>
      <c r="E9321">
        <v>200</v>
      </c>
      <c r="F9321">
        <v>20140501</v>
      </c>
      <c r="G9321" t="s">
        <v>41</v>
      </c>
      <c r="H9321" t="s">
        <v>1838</v>
      </c>
      <c r="I9321" t="s">
        <v>38</v>
      </c>
    </row>
    <row r="9322" spans="1:9" x14ac:dyDescent="0.25">
      <c r="A9322">
        <v>20140508</v>
      </c>
      <c r="B9322" t="str">
        <f>"115701"</f>
        <v>115701</v>
      </c>
      <c r="C9322" t="str">
        <f>"87842"</f>
        <v>87842</v>
      </c>
      <c r="D9322" t="s">
        <v>4304</v>
      </c>
      <c r="E9322">
        <v>400</v>
      </c>
      <c r="F9322">
        <v>20140502</v>
      </c>
      <c r="G9322" t="s">
        <v>982</v>
      </c>
      <c r="H9322" t="s">
        <v>4305</v>
      </c>
      <c r="I9322" t="s">
        <v>21</v>
      </c>
    </row>
    <row r="9323" spans="1:9" x14ac:dyDescent="0.25">
      <c r="A9323">
        <v>20140508</v>
      </c>
      <c r="B9323" t="str">
        <f>"115702"</f>
        <v>115702</v>
      </c>
      <c r="C9323" t="str">
        <f>"86467"</f>
        <v>86467</v>
      </c>
      <c r="D9323" t="s">
        <v>4306</v>
      </c>
      <c r="E9323">
        <v>32.85</v>
      </c>
      <c r="F9323">
        <v>20140505</v>
      </c>
      <c r="G9323" t="s">
        <v>410</v>
      </c>
      <c r="H9323" t="s">
        <v>411</v>
      </c>
      <c r="I9323" t="s">
        <v>12</v>
      </c>
    </row>
    <row r="9324" spans="1:9" x14ac:dyDescent="0.25">
      <c r="A9324">
        <v>20140508</v>
      </c>
      <c r="B9324" t="str">
        <f>"115703"</f>
        <v>115703</v>
      </c>
      <c r="C9324" t="str">
        <f>"76904"</f>
        <v>76904</v>
      </c>
      <c r="D9324" t="s">
        <v>1323</v>
      </c>
      <c r="E9324" s="1">
        <v>5900</v>
      </c>
      <c r="F9324">
        <v>20140507</v>
      </c>
      <c r="G9324" t="s">
        <v>174</v>
      </c>
      <c r="H9324" t="s">
        <v>4307</v>
      </c>
      <c r="I9324" t="s">
        <v>25</v>
      </c>
    </row>
    <row r="9325" spans="1:9" x14ac:dyDescent="0.25">
      <c r="A9325">
        <v>20140508</v>
      </c>
      <c r="B9325" t="str">
        <f>"115704"</f>
        <v>115704</v>
      </c>
      <c r="C9325" t="str">
        <f>"76915"</f>
        <v>76915</v>
      </c>
      <c r="D9325" t="s">
        <v>1324</v>
      </c>
      <c r="E9325">
        <v>753.2</v>
      </c>
      <c r="F9325">
        <v>20140506</v>
      </c>
      <c r="G9325" t="s">
        <v>413</v>
      </c>
      <c r="H9325" t="s">
        <v>414</v>
      </c>
      <c r="I9325" t="s">
        <v>21</v>
      </c>
    </row>
    <row r="9326" spans="1:9" x14ac:dyDescent="0.25">
      <c r="A9326">
        <v>20140508</v>
      </c>
      <c r="B9326" t="str">
        <f>"115705"</f>
        <v>115705</v>
      </c>
      <c r="C9326" t="str">
        <f>"77173"</f>
        <v>77173</v>
      </c>
      <c r="D9326" t="s">
        <v>741</v>
      </c>
      <c r="E9326">
        <v>53</v>
      </c>
      <c r="F9326">
        <v>20140506</v>
      </c>
      <c r="G9326" t="s">
        <v>742</v>
      </c>
      <c r="H9326" t="s">
        <v>743</v>
      </c>
      <c r="I9326" t="s">
        <v>21</v>
      </c>
    </row>
    <row r="9327" spans="1:9" x14ac:dyDescent="0.25">
      <c r="A9327">
        <v>20140508</v>
      </c>
      <c r="B9327" t="str">
        <f>"115705"</f>
        <v>115705</v>
      </c>
      <c r="C9327" t="str">
        <f>"77173"</f>
        <v>77173</v>
      </c>
      <c r="D9327" t="s">
        <v>741</v>
      </c>
      <c r="E9327">
        <v>73.5</v>
      </c>
      <c r="F9327">
        <v>20140506</v>
      </c>
      <c r="G9327" t="s">
        <v>742</v>
      </c>
      <c r="H9327" t="s">
        <v>743</v>
      </c>
      <c r="I9327" t="s">
        <v>21</v>
      </c>
    </row>
    <row r="9328" spans="1:9" x14ac:dyDescent="0.25">
      <c r="A9328">
        <v>20140508</v>
      </c>
      <c r="B9328" t="str">
        <f>"115705"</f>
        <v>115705</v>
      </c>
      <c r="C9328" t="str">
        <f>"77173"</f>
        <v>77173</v>
      </c>
      <c r="D9328" t="s">
        <v>741</v>
      </c>
      <c r="E9328" s="1">
        <v>4527.88</v>
      </c>
      <c r="F9328">
        <v>20140506</v>
      </c>
      <c r="G9328" t="s">
        <v>742</v>
      </c>
      <c r="H9328" t="s">
        <v>743</v>
      </c>
      <c r="I9328" t="s">
        <v>21</v>
      </c>
    </row>
    <row r="9329" spans="1:9" x14ac:dyDescent="0.25">
      <c r="A9329">
        <v>20140508</v>
      </c>
      <c r="B9329" t="str">
        <f>"115705"</f>
        <v>115705</v>
      </c>
      <c r="C9329" t="str">
        <f>"77173"</f>
        <v>77173</v>
      </c>
      <c r="D9329" t="s">
        <v>741</v>
      </c>
      <c r="E9329" s="1">
        <v>3313.8</v>
      </c>
      <c r="F9329">
        <v>20140506</v>
      </c>
      <c r="G9329" t="s">
        <v>742</v>
      </c>
      <c r="H9329" t="s">
        <v>743</v>
      </c>
      <c r="I9329" t="s">
        <v>21</v>
      </c>
    </row>
    <row r="9330" spans="1:9" x14ac:dyDescent="0.25">
      <c r="A9330">
        <v>20140508</v>
      </c>
      <c r="B9330" t="str">
        <f>"115706"</f>
        <v>115706</v>
      </c>
      <c r="C9330" t="str">
        <f>"86887"</f>
        <v>86887</v>
      </c>
      <c r="D9330" t="s">
        <v>4308</v>
      </c>
      <c r="E9330">
        <v>175</v>
      </c>
      <c r="F9330">
        <v>20140505</v>
      </c>
      <c r="G9330" t="s">
        <v>1578</v>
      </c>
      <c r="H9330" t="s">
        <v>4309</v>
      </c>
      <c r="I9330" t="s">
        <v>21</v>
      </c>
    </row>
    <row r="9331" spans="1:9" x14ac:dyDescent="0.25">
      <c r="A9331">
        <v>20140508</v>
      </c>
      <c r="B9331" t="str">
        <f>"115707"</f>
        <v>115707</v>
      </c>
      <c r="C9331" t="str">
        <f>"77705"</f>
        <v>77705</v>
      </c>
      <c r="D9331" t="s">
        <v>2312</v>
      </c>
      <c r="E9331">
        <v>451.35</v>
      </c>
      <c r="F9331">
        <v>20140505</v>
      </c>
      <c r="G9331" t="s">
        <v>417</v>
      </c>
      <c r="H9331" t="s">
        <v>4310</v>
      </c>
      <c r="I9331" t="s">
        <v>21</v>
      </c>
    </row>
    <row r="9332" spans="1:9" x14ac:dyDescent="0.25">
      <c r="A9332">
        <v>20140508</v>
      </c>
      <c r="B9332" t="str">
        <f>"115708"</f>
        <v>115708</v>
      </c>
      <c r="C9332" t="str">
        <f>"87844"</f>
        <v>87844</v>
      </c>
      <c r="D9332" t="s">
        <v>4311</v>
      </c>
      <c r="E9332">
        <v>173.36</v>
      </c>
      <c r="F9332">
        <v>20140506</v>
      </c>
      <c r="G9332" t="s">
        <v>3430</v>
      </c>
      <c r="H9332" t="s">
        <v>765</v>
      </c>
      <c r="I9332" t="s">
        <v>61</v>
      </c>
    </row>
    <row r="9333" spans="1:9" x14ac:dyDescent="0.25">
      <c r="A9333">
        <v>20140508</v>
      </c>
      <c r="B9333" t="str">
        <f>"115709"</f>
        <v>115709</v>
      </c>
      <c r="C9333" t="str">
        <f>"79400"</f>
        <v>79400</v>
      </c>
      <c r="D9333" t="s">
        <v>1328</v>
      </c>
      <c r="E9333">
        <v>738</v>
      </c>
      <c r="F9333">
        <v>20140506</v>
      </c>
      <c r="G9333" t="s">
        <v>340</v>
      </c>
      <c r="H9333" t="s">
        <v>656</v>
      </c>
      <c r="I9333" t="s">
        <v>21</v>
      </c>
    </row>
    <row r="9334" spans="1:9" x14ac:dyDescent="0.25">
      <c r="A9334">
        <v>20140508</v>
      </c>
      <c r="B9334" t="str">
        <f>"115709"</f>
        <v>115709</v>
      </c>
      <c r="C9334" t="str">
        <f>"79400"</f>
        <v>79400</v>
      </c>
      <c r="D9334" t="s">
        <v>1328</v>
      </c>
      <c r="E9334" s="1">
        <v>37701.160000000003</v>
      </c>
      <c r="F9334">
        <v>20140506</v>
      </c>
      <c r="G9334" t="s">
        <v>1329</v>
      </c>
      <c r="H9334" t="s">
        <v>1330</v>
      </c>
      <c r="I9334" t="s">
        <v>21</v>
      </c>
    </row>
    <row r="9335" spans="1:9" x14ac:dyDescent="0.25">
      <c r="A9335">
        <v>20140508</v>
      </c>
      <c r="B9335" t="str">
        <f>"115709"</f>
        <v>115709</v>
      </c>
      <c r="C9335" t="str">
        <f>"79400"</f>
        <v>79400</v>
      </c>
      <c r="D9335" t="s">
        <v>1328</v>
      </c>
      <c r="E9335">
        <v>137.43</v>
      </c>
      <c r="F9335">
        <v>20140506</v>
      </c>
      <c r="G9335" t="s">
        <v>498</v>
      </c>
      <c r="H9335" t="s">
        <v>499</v>
      </c>
      <c r="I9335" t="s">
        <v>21</v>
      </c>
    </row>
    <row r="9336" spans="1:9" x14ac:dyDescent="0.25">
      <c r="A9336">
        <v>20140508</v>
      </c>
      <c r="B9336" t="str">
        <f>"115709"</f>
        <v>115709</v>
      </c>
      <c r="C9336" t="str">
        <f>"79400"</f>
        <v>79400</v>
      </c>
      <c r="D9336" t="s">
        <v>1328</v>
      </c>
      <c r="E9336">
        <v>48</v>
      </c>
      <c r="F9336">
        <v>20140506</v>
      </c>
      <c r="G9336" t="s">
        <v>496</v>
      </c>
      <c r="H9336" t="s">
        <v>4312</v>
      </c>
      <c r="I9336" t="s">
        <v>21</v>
      </c>
    </row>
    <row r="9337" spans="1:9" x14ac:dyDescent="0.25">
      <c r="A9337">
        <v>20140508</v>
      </c>
      <c r="B9337" t="str">
        <f>"115710"</f>
        <v>115710</v>
      </c>
      <c r="C9337" t="str">
        <f>"84996"</f>
        <v>84996</v>
      </c>
      <c r="D9337" t="s">
        <v>1953</v>
      </c>
      <c r="E9337">
        <v>81.63</v>
      </c>
      <c r="F9337">
        <v>20140505</v>
      </c>
      <c r="G9337" t="s">
        <v>1112</v>
      </c>
      <c r="H9337" t="s">
        <v>365</v>
      </c>
      <c r="I9337" t="s">
        <v>66</v>
      </c>
    </row>
    <row r="9338" spans="1:9" x14ac:dyDescent="0.25">
      <c r="A9338">
        <v>20140508</v>
      </c>
      <c r="B9338" t="str">
        <f>"115711"</f>
        <v>115711</v>
      </c>
      <c r="C9338" t="str">
        <f>"79625"</f>
        <v>79625</v>
      </c>
      <c r="D9338" t="s">
        <v>1331</v>
      </c>
      <c r="E9338">
        <v>25.74</v>
      </c>
      <c r="F9338">
        <v>20140505</v>
      </c>
      <c r="G9338" t="s">
        <v>39</v>
      </c>
      <c r="H9338" t="s">
        <v>354</v>
      </c>
      <c r="I9338" t="s">
        <v>38</v>
      </c>
    </row>
    <row r="9339" spans="1:9" x14ac:dyDescent="0.25">
      <c r="A9339">
        <v>20140508</v>
      </c>
      <c r="B9339" t="str">
        <f>"115712"</f>
        <v>115712</v>
      </c>
      <c r="C9339" t="str">
        <f>"19200"</f>
        <v>19200</v>
      </c>
      <c r="D9339" t="s">
        <v>436</v>
      </c>
      <c r="E9339">
        <v>32.4</v>
      </c>
      <c r="F9339">
        <v>20140505</v>
      </c>
      <c r="G9339" t="s">
        <v>410</v>
      </c>
      <c r="H9339" t="s">
        <v>411</v>
      </c>
      <c r="I9339" t="s">
        <v>12</v>
      </c>
    </row>
    <row r="9340" spans="1:9" x14ac:dyDescent="0.25">
      <c r="A9340">
        <v>20140508</v>
      </c>
      <c r="B9340" t="str">
        <f t="shared" ref="B9340:B9364" si="553">"115713"</f>
        <v>115713</v>
      </c>
      <c r="C9340" t="str">
        <f t="shared" ref="C9340:C9364" si="554">"80825"</f>
        <v>80825</v>
      </c>
      <c r="D9340" t="s">
        <v>747</v>
      </c>
      <c r="E9340">
        <v>139.19</v>
      </c>
      <c r="F9340">
        <v>20140506</v>
      </c>
      <c r="G9340" t="s">
        <v>989</v>
      </c>
      <c r="H9340" t="s">
        <v>749</v>
      </c>
      <c r="I9340" t="s">
        <v>61</v>
      </c>
    </row>
    <row r="9341" spans="1:9" x14ac:dyDescent="0.25">
      <c r="A9341">
        <v>20140508</v>
      </c>
      <c r="B9341" t="str">
        <f t="shared" si="553"/>
        <v>115713</v>
      </c>
      <c r="C9341" t="str">
        <f t="shared" si="554"/>
        <v>80825</v>
      </c>
      <c r="D9341" t="s">
        <v>747</v>
      </c>
      <c r="E9341">
        <v>139.19</v>
      </c>
      <c r="F9341">
        <v>20140506</v>
      </c>
      <c r="G9341" t="s">
        <v>989</v>
      </c>
      <c r="H9341" t="s">
        <v>749</v>
      </c>
      <c r="I9341" t="s">
        <v>61</v>
      </c>
    </row>
    <row r="9342" spans="1:9" x14ac:dyDescent="0.25">
      <c r="A9342">
        <v>20140508</v>
      </c>
      <c r="B9342" t="str">
        <f t="shared" si="553"/>
        <v>115713</v>
      </c>
      <c r="C9342" t="str">
        <f t="shared" si="554"/>
        <v>80825</v>
      </c>
      <c r="D9342" t="s">
        <v>747</v>
      </c>
      <c r="E9342" s="1">
        <v>2093.38</v>
      </c>
      <c r="F9342">
        <v>20140506</v>
      </c>
      <c r="G9342" t="s">
        <v>748</v>
      </c>
      <c r="H9342" t="s">
        <v>749</v>
      </c>
      <c r="I9342" t="s">
        <v>21</v>
      </c>
    </row>
    <row r="9343" spans="1:9" x14ac:dyDescent="0.25">
      <c r="A9343">
        <v>20140508</v>
      </c>
      <c r="B9343" t="str">
        <f t="shared" si="553"/>
        <v>115713</v>
      </c>
      <c r="C9343" t="str">
        <f t="shared" si="554"/>
        <v>80825</v>
      </c>
      <c r="D9343" t="s">
        <v>747</v>
      </c>
      <c r="E9343">
        <v>244.74</v>
      </c>
      <c r="F9343">
        <v>20140506</v>
      </c>
      <c r="G9343" t="s">
        <v>748</v>
      </c>
      <c r="H9343" t="s">
        <v>760</v>
      </c>
      <c r="I9343" t="s">
        <v>21</v>
      </c>
    </row>
    <row r="9344" spans="1:9" x14ac:dyDescent="0.25">
      <c r="A9344">
        <v>20140508</v>
      </c>
      <c r="B9344" t="str">
        <f t="shared" si="553"/>
        <v>115713</v>
      </c>
      <c r="C9344" t="str">
        <f t="shared" si="554"/>
        <v>80825</v>
      </c>
      <c r="D9344" t="s">
        <v>747</v>
      </c>
      <c r="E9344">
        <v>196.46</v>
      </c>
      <c r="F9344">
        <v>20140506</v>
      </c>
      <c r="G9344" t="s">
        <v>1551</v>
      </c>
      <c r="H9344" t="s">
        <v>749</v>
      </c>
      <c r="I9344" t="s">
        <v>21</v>
      </c>
    </row>
    <row r="9345" spans="1:9" x14ac:dyDescent="0.25">
      <c r="A9345">
        <v>20140508</v>
      </c>
      <c r="B9345" t="str">
        <f t="shared" si="553"/>
        <v>115713</v>
      </c>
      <c r="C9345" t="str">
        <f t="shared" si="554"/>
        <v>80825</v>
      </c>
      <c r="D9345" t="s">
        <v>747</v>
      </c>
      <c r="E9345">
        <v>670.6</v>
      </c>
      <c r="F9345">
        <v>20140506</v>
      </c>
      <c r="G9345" t="s">
        <v>750</v>
      </c>
      <c r="H9345" t="s">
        <v>749</v>
      </c>
      <c r="I9345" t="s">
        <v>21</v>
      </c>
    </row>
    <row r="9346" spans="1:9" x14ac:dyDescent="0.25">
      <c r="A9346">
        <v>20140508</v>
      </c>
      <c r="B9346" t="str">
        <f t="shared" si="553"/>
        <v>115713</v>
      </c>
      <c r="C9346" t="str">
        <f t="shared" si="554"/>
        <v>80825</v>
      </c>
      <c r="D9346" t="s">
        <v>747</v>
      </c>
      <c r="E9346">
        <v>670.6</v>
      </c>
      <c r="F9346">
        <v>20140506</v>
      </c>
      <c r="G9346" t="s">
        <v>750</v>
      </c>
      <c r="H9346" t="s">
        <v>749</v>
      </c>
      <c r="I9346" t="s">
        <v>21</v>
      </c>
    </row>
    <row r="9347" spans="1:9" x14ac:dyDescent="0.25">
      <c r="A9347">
        <v>20140508</v>
      </c>
      <c r="B9347" t="str">
        <f t="shared" si="553"/>
        <v>115713</v>
      </c>
      <c r="C9347" t="str">
        <f t="shared" si="554"/>
        <v>80825</v>
      </c>
      <c r="D9347" t="s">
        <v>747</v>
      </c>
      <c r="E9347">
        <v>670.6</v>
      </c>
      <c r="F9347">
        <v>20140506</v>
      </c>
      <c r="G9347" t="s">
        <v>752</v>
      </c>
      <c r="H9347" t="s">
        <v>749</v>
      </c>
      <c r="I9347" t="s">
        <v>21</v>
      </c>
    </row>
    <row r="9348" spans="1:9" x14ac:dyDescent="0.25">
      <c r="A9348">
        <v>20140508</v>
      </c>
      <c r="B9348" t="str">
        <f t="shared" si="553"/>
        <v>115713</v>
      </c>
      <c r="C9348" t="str">
        <f t="shared" si="554"/>
        <v>80825</v>
      </c>
      <c r="D9348" t="s">
        <v>747</v>
      </c>
      <c r="E9348">
        <v>582.95000000000005</v>
      </c>
      <c r="F9348">
        <v>20140506</v>
      </c>
      <c r="G9348" t="s">
        <v>753</v>
      </c>
      <c r="H9348" t="s">
        <v>749</v>
      </c>
      <c r="I9348" t="s">
        <v>21</v>
      </c>
    </row>
    <row r="9349" spans="1:9" x14ac:dyDescent="0.25">
      <c r="A9349">
        <v>20140508</v>
      </c>
      <c r="B9349" t="str">
        <f t="shared" si="553"/>
        <v>115713</v>
      </c>
      <c r="C9349" t="str">
        <f t="shared" si="554"/>
        <v>80825</v>
      </c>
      <c r="D9349" t="s">
        <v>747</v>
      </c>
      <c r="E9349">
        <v>582.95000000000005</v>
      </c>
      <c r="F9349">
        <v>20140506</v>
      </c>
      <c r="G9349" t="s">
        <v>753</v>
      </c>
      <c r="H9349" t="s">
        <v>749</v>
      </c>
      <c r="I9349" t="s">
        <v>21</v>
      </c>
    </row>
    <row r="9350" spans="1:9" x14ac:dyDescent="0.25">
      <c r="A9350">
        <v>20140508</v>
      </c>
      <c r="B9350" t="str">
        <f t="shared" si="553"/>
        <v>115713</v>
      </c>
      <c r="C9350" t="str">
        <f t="shared" si="554"/>
        <v>80825</v>
      </c>
      <c r="D9350" t="s">
        <v>747</v>
      </c>
      <c r="E9350">
        <v>582.95000000000005</v>
      </c>
      <c r="F9350">
        <v>20140506</v>
      </c>
      <c r="G9350" t="s">
        <v>754</v>
      </c>
      <c r="H9350" t="s">
        <v>749</v>
      </c>
      <c r="I9350" t="s">
        <v>21</v>
      </c>
    </row>
    <row r="9351" spans="1:9" x14ac:dyDescent="0.25">
      <c r="A9351">
        <v>20140508</v>
      </c>
      <c r="B9351" t="str">
        <f t="shared" si="553"/>
        <v>115713</v>
      </c>
      <c r="C9351" t="str">
        <f t="shared" si="554"/>
        <v>80825</v>
      </c>
      <c r="D9351" t="s">
        <v>747</v>
      </c>
      <c r="E9351">
        <v>582.95000000000005</v>
      </c>
      <c r="F9351">
        <v>20140506</v>
      </c>
      <c r="G9351" t="s">
        <v>754</v>
      </c>
      <c r="H9351" t="s">
        <v>749</v>
      </c>
      <c r="I9351" t="s">
        <v>21</v>
      </c>
    </row>
    <row r="9352" spans="1:9" x14ac:dyDescent="0.25">
      <c r="A9352">
        <v>20140508</v>
      </c>
      <c r="B9352" t="str">
        <f t="shared" si="553"/>
        <v>115713</v>
      </c>
      <c r="C9352" t="str">
        <f t="shared" si="554"/>
        <v>80825</v>
      </c>
      <c r="D9352" t="s">
        <v>747</v>
      </c>
      <c r="E9352">
        <v>582.95000000000005</v>
      </c>
      <c r="F9352">
        <v>20140506</v>
      </c>
      <c r="G9352" t="s">
        <v>990</v>
      </c>
      <c r="H9352" t="s">
        <v>749</v>
      </c>
      <c r="I9352" t="s">
        <v>21</v>
      </c>
    </row>
    <row r="9353" spans="1:9" x14ac:dyDescent="0.25">
      <c r="A9353">
        <v>20140508</v>
      </c>
      <c r="B9353" t="str">
        <f t="shared" si="553"/>
        <v>115713</v>
      </c>
      <c r="C9353" t="str">
        <f t="shared" si="554"/>
        <v>80825</v>
      </c>
      <c r="D9353" t="s">
        <v>747</v>
      </c>
      <c r="E9353">
        <v>582.95000000000005</v>
      </c>
      <c r="F9353">
        <v>20140506</v>
      </c>
      <c r="G9353" t="s">
        <v>990</v>
      </c>
      <c r="H9353" t="s">
        <v>749</v>
      </c>
      <c r="I9353" t="s">
        <v>21</v>
      </c>
    </row>
    <row r="9354" spans="1:9" x14ac:dyDescent="0.25">
      <c r="A9354">
        <v>20140508</v>
      </c>
      <c r="B9354" t="str">
        <f t="shared" si="553"/>
        <v>115713</v>
      </c>
      <c r="C9354" t="str">
        <f t="shared" si="554"/>
        <v>80825</v>
      </c>
      <c r="D9354" t="s">
        <v>747</v>
      </c>
      <c r="E9354">
        <v>582.95000000000005</v>
      </c>
      <c r="F9354">
        <v>20140506</v>
      </c>
      <c r="G9354" t="s">
        <v>755</v>
      </c>
      <c r="H9354" t="s">
        <v>749</v>
      </c>
      <c r="I9354" t="s">
        <v>21</v>
      </c>
    </row>
    <row r="9355" spans="1:9" x14ac:dyDescent="0.25">
      <c r="A9355">
        <v>20140508</v>
      </c>
      <c r="B9355" t="str">
        <f t="shared" si="553"/>
        <v>115713</v>
      </c>
      <c r="C9355" t="str">
        <f t="shared" si="554"/>
        <v>80825</v>
      </c>
      <c r="D9355" t="s">
        <v>747</v>
      </c>
      <c r="E9355">
        <v>582.95000000000005</v>
      </c>
      <c r="F9355">
        <v>20140506</v>
      </c>
      <c r="G9355" t="s">
        <v>756</v>
      </c>
      <c r="H9355" t="s">
        <v>749</v>
      </c>
      <c r="I9355" t="s">
        <v>21</v>
      </c>
    </row>
    <row r="9356" spans="1:9" x14ac:dyDescent="0.25">
      <c r="A9356">
        <v>20140508</v>
      </c>
      <c r="B9356" t="str">
        <f t="shared" si="553"/>
        <v>115713</v>
      </c>
      <c r="C9356" t="str">
        <f t="shared" si="554"/>
        <v>80825</v>
      </c>
      <c r="D9356" t="s">
        <v>747</v>
      </c>
      <c r="E9356">
        <v>582.95000000000005</v>
      </c>
      <c r="F9356">
        <v>20140506</v>
      </c>
      <c r="G9356" t="s">
        <v>756</v>
      </c>
      <c r="H9356" t="s">
        <v>749</v>
      </c>
      <c r="I9356" t="s">
        <v>21</v>
      </c>
    </row>
    <row r="9357" spans="1:9" x14ac:dyDescent="0.25">
      <c r="A9357">
        <v>20140508</v>
      </c>
      <c r="B9357" t="str">
        <f t="shared" si="553"/>
        <v>115713</v>
      </c>
      <c r="C9357" t="str">
        <f t="shared" si="554"/>
        <v>80825</v>
      </c>
      <c r="D9357" t="s">
        <v>747</v>
      </c>
      <c r="E9357">
        <v>65.48</v>
      </c>
      <c r="F9357">
        <v>20140506</v>
      </c>
      <c r="G9357" t="s">
        <v>1175</v>
      </c>
      <c r="H9357" t="s">
        <v>749</v>
      </c>
      <c r="I9357" t="s">
        <v>21</v>
      </c>
    </row>
    <row r="9358" spans="1:9" x14ac:dyDescent="0.25">
      <c r="A9358">
        <v>20140508</v>
      </c>
      <c r="B9358" t="str">
        <f t="shared" si="553"/>
        <v>115713</v>
      </c>
      <c r="C9358" t="str">
        <f t="shared" si="554"/>
        <v>80825</v>
      </c>
      <c r="D9358" t="s">
        <v>747</v>
      </c>
      <c r="E9358">
        <v>133.91</v>
      </c>
      <c r="F9358">
        <v>20140506</v>
      </c>
      <c r="G9358" t="s">
        <v>1175</v>
      </c>
      <c r="H9358" t="s">
        <v>749</v>
      </c>
      <c r="I9358" t="s">
        <v>21</v>
      </c>
    </row>
    <row r="9359" spans="1:9" x14ac:dyDescent="0.25">
      <c r="A9359">
        <v>20140508</v>
      </c>
      <c r="B9359" t="str">
        <f t="shared" si="553"/>
        <v>115713</v>
      </c>
      <c r="C9359" t="str">
        <f t="shared" si="554"/>
        <v>80825</v>
      </c>
      <c r="D9359" t="s">
        <v>747</v>
      </c>
      <c r="E9359">
        <v>82.75</v>
      </c>
      <c r="F9359">
        <v>20140506</v>
      </c>
      <c r="G9359" t="s">
        <v>758</v>
      </c>
      <c r="H9359" t="s">
        <v>749</v>
      </c>
      <c r="I9359" t="s">
        <v>21</v>
      </c>
    </row>
    <row r="9360" spans="1:9" x14ac:dyDescent="0.25">
      <c r="A9360">
        <v>20140508</v>
      </c>
      <c r="B9360" t="str">
        <f t="shared" si="553"/>
        <v>115713</v>
      </c>
      <c r="C9360" t="str">
        <f t="shared" si="554"/>
        <v>80825</v>
      </c>
      <c r="D9360" t="s">
        <v>747</v>
      </c>
      <c r="E9360">
        <v>65.48</v>
      </c>
      <c r="F9360">
        <v>20140506</v>
      </c>
      <c r="G9360" t="s">
        <v>544</v>
      </c>
      <c r="H9360" t="s">
        <v>749</v>
      </c>
      <c r="I9360" t="s">
        <v>21</v>
      </c>
    </row>
    <row r="9361" spans="1:9" x14ac:dyDescent="0.25">
      <c r="A9361">
        <v>20140508</v>
      </c>
      <c r="B9361" t="str">
        <f t="shared" si="553"/>
        <v>115713</v>
      </c>
      <c r="C9361" t="str">
        <f t="shared" si="554"/>
        <v>80825</v>
      </c>
      <c r="D9361" t="s">
        <v>747</v>
      </c>
      <c r="E9361">
        <v>133.9</v>
      </c>
      <c r="F9361">
        <v>20140506</v>
      </c>
      <c r="G9361" t="s">
        <v>544</v>
      </c>
      <c r="H9361" t="s">
        <v>749</v>
      </c>
      <c r="I9361" t="s">
        <v>21</v>
      </c>
    </row>
    <row r="9362" spans="1:9" x14ac:dyDescent="0.25">
      <c r="A9362">
        <v>20140508</v>
      </c>
      <c r="B9362" t="str">
        <f t="shared" si="553"/>
        <v>115713</v>
      </c>
      <c r="C9362" t="str">
        <f t="shared" si="554"/>
        <v>80825</v>
      </c>
      <c r="D9362" t="s">
        <v>747</v>
      </c>
      <c r="E9362">
        <v>65.5</v>
      </c>
      <c r="F9362">
        <v>20140506</v>
      </c>
      <c r="G9362" t="s">
        <v>545</v>
      </c>
      <c r="H9362" t="s">
        <v>749</v>
      </c>
      <c r="I9362" t="s">
        <v>21</v>
      </c>
    </row>
    <row r="9363" spans="1:9" x14ac:dyDescent="0.25">
      <c r="A9363">
        <v>20140508</v>
      </c>
      <c r="B9363" t="str">
        <f t="shared" si="553"/>
        <v>115713</v>
      </c>
      <c r="C9363" t="str">
        <f t="shared" si="554"/>
        <v>80825</v>
      </c>
      <c r="D9363" t="s">
        <v>747</v>
      </c>
      <c r="E9363">
        <v>133.9</v>
      </c>
      <c r="F9363">
        <v>20140506</v>
      </c>
      <c r="G9363" t="s">
        <v>545</v>
      </c>
      <c r="H9363" t="s">
        <v>749</v>
      </c>
      <c r="I9363" t="s">
        <v>21</v>
      </c>
    </row>
    <row r="9364" spans="1:9" x14ac:dyDescent="0.25">
      <c r="A9364">
        <v>20140508</v>
      </c>
      <c r="B9364" t="str">
        <f t="shared" si="553"/>
        <v>115713</v>
      </c>
      <c r="C9364" t="str">
        <f t="shared" si="554"/>
        <v>80825</v>
      </c>
      <c r="D9364" t="s">
        <v>747</v>
      </c>
      <c r="E9364">
        <v>196.46</v>
      </c>
      <c r="F9364">
        <v>20140506</v>
      </c>
      <c r="G9364" t="s">
        <v>759</v>
      </c>
      <c r="H9364" t="s">
        <v>749</v>
      </c>
      <c r="I9364" t="s">
        <v>12</v>
      </c>
    </row>
    <row r="9365" spans="1:9" x14ac:dyDescent="0.25">
      <c r="A9365">
        <v>20140508</v>
      </c>
      <c r="B9365" t="str">
        <f>"115714"</f>
        <v>115714</v>
      </c>
      <c r="C9365" t="str">
        <f>"84132"</f>
        <v>84132</v>
      </c>
      <c r="D9365" t="s">
        <v>1695</v>
      </c>
      <c r="E9365">
        <v>87.03</v>
      </c>
      <c r="F9365">
        <v>20140505</v>
      </c>
      <c r="G9365" t="s">
        <v>1696</v>
      </c>
      <c r="H9365" t="s">
        <v>563</v>
      </c>
      <c r="I9365" t="s">
        <v>21</v>
      </c>
    </row>
    <row r="9366" spans="1:9" x14ac:dyDescent="0.25">
      <c r="A9366">
        <v>20140508</v>
      </c>
      <c r="B9366" t="str">
        <f>"115714"</f>
        <v>115714</v>
      </c>
      <c r="C9366" t="str">
        <f>"84132"</f>
        <v>84132</v>
      </c>
      <c r="D9366" t="s">
        <v>1695</v>
      </c>
      <c r="E9366">
        <v>61.34</v>
      </c>
      <c r="F9366">
        <v>20140506</v>
      </c>
      <c r="G9366" t="s">
        <v>1696</v>
      </c>
      <c r="H9366" t="s">
        <v>563</v>
      </c>
      <c r="I9366" t="s">
        <v>21</v>
      </c>
    </row>
    <row r="9367" spans="1:9" x14ac:dyDescent="0.25">
      <c r="A9367">
        <v>20140508</v>
      </c>
      <c r="B9367" t="str">
        <f>"115714"</f>
        <v>115714</v>
      </c>
      <c r="C9367" t="str">
        <f>"84132"</f>
        <v>84132</v>
      </c>
      <c r="D9367" t="s">
        <v>1695</v>
      </c>
      <c r="E9367">
        <v>63.95</v>
      </c>
      <c r="F9367">
        <v>20140506</v>
      </c>
      <c r="G9367" t="s">
        <v>1696</v>
      </c>
      <c r="H9367" t="s">
        <v>563</v>
      </c>
      <c r="I9367" t="s">
        <v>21</v>
      </c>
    </row>
    <row r="9368" spans="1:9" x14ac:dyDescent="0.25">
      <c r="A9368">
        <v>20140515</v>
      </c>
      <c r="B9368" t="str">
        <f>"115715"</f>
        <v>115715</v>
      </c>
      <c r="C9368" t="str">
        <f>"00954"</f>
        <v>00954</v>
      </c>
      <c r="D9368" t="s">
        <v>445</v>
      </c>
      <c r="E9368">
        <v>104</v>
      </c>
      <c r="F9368">
        <v>20140514</v>
      </c>
      <c r="G9368" t="s">
        <v>496</v>
      </c>
      <c r="H9368" t="s">
        <v>3898</v>
      </c>
      <c r="I9368" t="s">
        <v>21</v>
      </c>
    </row>
    <row r="9369" spans="1:9" x14ac:dyDescent="0.25">
      <c r="A9369">
        <v>20140515</v>
      </c>
      <c r="B9369" t="str">
        <f>"115716"</f>
        <v>115716</v>
      </c>
      <c r="C9369" t="str">
        <f>"86517"</f>
        <v>86517</v>
      </c>
      <c r="D9369" t="s">
        <v>2101</v>
      </c>
      <c r="E9369" s="1">
        <v>2210.75</v>
      </c>
      <c r="F9369">
        <v>20140513</v>
      </c>
      <c r="G9369" t="s">
        <v>404</v>
      </c>
      <c r="H9369" t="s">
        <v>2102</v>
      </c>
      <c r="I9369" t="s">
        <v>12</v>
      </c>
    </row>
    <row r="9370" spans="1:9" x14ac:dyDescent="0.25">
      <c r="A9370">
        <v>20140515</v>
      </c>
      <c r="B9370" t="str">
        <f>"115717"</f>
        <v>115717</v>
      </c>
      <c r="C9370" t="str">
        <f>"01840"</f>
        <v>01840</v>
      </c>
      <c r="D9370" t="s">
        <v>3096</v>
      </c>
      <c r="E9370">
        <v>138</v>
      </c>
      <c r="F9370">
        <v>20140508</v>
      </c>
      <c r="G9370" t="s">
        <v>367</v>
      </c>
      <c r="H9370" t="s">
        <v>1009</v>
      </c>
      <c r="I9370" t="s">
        <v>21</v>
      </c>
    </row>
    <row r="9371" spans="1:9" x14ac:dyDescent="0.25">
      <c r="A9371">
        <v>20140515</v>
      </c>
      <c r="B9371" t="str">
        <f t="shared" ref="B9371:B9384" si="555">"115718"</f>
        <v>115718</v>
      </c>
      <c r="C9371" t="str">
        <f t="shared" ref="C9371:C9384" si="556">"52460"</f>
        <v>52460</v>
      </c>
      <c r="D9371" t="s">
        <v>452</v>
      </c>
      <c r="E9371">
        <v>418.19</v>
      </c>
      <c r="F9371">
        <v>20140513</v>
      </c>
      <c r="G9371" t="s">
        <v>453</v>
      </c>
      <c r="H9371" t="s">
        <v>454</v>
      </c>
      <c r="I9371" t="s">
        <v>21</v>
      </c>
    </row>
    <row r="9372" spans="1:9" x14ac:dyDescent="0.25">
      <c r="A9372">
        <v>20140515</v>
      </c>
      <c r="B9372" t="str">
        <f t="shared" si="555"/>
        <v>115718</v>
      </c>
      <c r="C9372" t="str">
        <f t="shared" si="556"/>
        <v>52460</v>
      </c>
      <c r="D9372" t="s">
        <v>452</v>
      </c>
      <c r="E9372" s="1">
        <v>2327.75</v>
      </c>
      <c r="F9372">
        <v>20140513</v>
      </c>
      <c r="G9372" t="s">
        <v>455</v>
      </c>
      <c r="H9372" t="s">
        <v>454</v>
      </c>
      <c r="I9372" t="s">
        <v>21</v>
      </c>
    </row>
    <row r="9373" spans="1:9" x14ac:dyDescent="0.25">
      <c r="A9373">
        <v>20140515</v>
      </c>
      <c r="B9373" t="str">
        <f t="shared" si="555"/>
        <v>115718</v>
      </c>
      <c r="C9373" t="str">
        <f t="shared" si="556"/>
        <v>52460</v>
      </c>
      <c r="D9373" t="s">
        <v>452</v>
      </c>
      <c r="E9373" s="1">
        <v>1149.4000000000001</v>
      </c>
      <c r="F9373">
        <v>20140513</v>
      </c>
      <c r="G9373" t="s">
        <v>456</v>
      </c>
      <c r="H9373" t="s">
        <v>454</v>
      </c>
      <c r="I9373" t="s">
        <v>21</v>
      </c>
    </row>
    <row r="9374" spans="1:9" x14ac:dyDescent="0.25">
      <c r="A9374">
        <v>20140515</v>
      </c>
      <c r="B9374" t="str">
        <f t="shared" si="555"/>
        <v>115718</v>
      </c>
      <c r="C9374" t="str">
        <f t="shared" si="556"/>
        <v>52460</v>
      </c>
      <c r="D9374" t="s">
        <v>452</v>
      </c>
      <c r="E9374" s="1">
        <v>1046.8399999999999</v>
      </c>
      <c r="F9374">
        <v>20140513</v>
      </c>
      <c r="G9374" t="s">
        <v>457</v>
      </c>
      <c r="H9374" t="s">
        <v>454</v>
      </c>
      <c r="I9374" t="s">
        <v>21</v>
      </c>
    </row>
    <row r="9375" spans="1:9" x14ac:dyDescent="0.25">
      <c r="A9375">
        <v>20140515</v>
      </c>
      <c r="B9375" t="str">
        <f t="shared" si="555"/>
        <v>115718</v>
      </c>
      <c r="C9375" t="str">
        <f t="shared" si="556"/>
        <v>52460</v>
      </c>
      <c r="D9375" t="s">
        <v>452</v>
      </c>
      <c r="E9375">
        <v>917.97</v>
      </c>
      <c r="F9375">
        <v>20140513</v>
      </c>
      <c r="G9375" t="s">
        <v>458</v>
      </c>
      <c r="H9375" t="s">
        <v>454</v>
      </c>
      <c r="I9375" t="s">
        <v>21</v>
      </c>
    </row>
    <row r="9376" spans="1:9" x14ac:dyDescent="0.25">
      <c r="A9376">
        <v>20140515</v>
      </c>
      <c r="B9376" t="str">
        <f t="shared" si="555"/>
        <v>115718</v>
      </c>
      <c r="C9376" t="str">
        <f t="shared" si="556"/>
        <v>52460</v>
      </c>
      <c r="D9376" t="s">
        <v>452</v>
      </c>
      <c r="E9376" s="1">
        <v>1046.8399999999999</v>
      </c>
      <c r="F9376">
        <v>20140513</v>
      </c>
      <c r="G9376" t="s">
        <v>459</v>
      </c>
      <c r="H9376" t="s">
        <v>454</v>
      </c>
      <c r="I9376" t="s">
        <v>21</v>
      </c>
    </row>
    <row r="9377" spans="1:9" x14ac:dyDescent="0.25">
      <c r="A9377">
        <v>20140515</v>
      </c>
      <c r="B9377" t="str">
        <f t="shared" si="555"/>
        <v>115718</v>
      </c>
      <c r="C9377" t="str">
        <f t="shared" si="556"/>
        <v>52460</v>
      </c>
      <c r="D9377" t="s">
        <v>452</v>
      </c>
      <c r="E9377">
        <v>975.84</v>
      </c>
      <c r="F9377">
        <v>20140513</v>
      </c>
      <c r="G9377" t="s">
        <v>460</v>
      </c>
      <c r="H9377" t="s">
        <v>454</v>
      </c>
      <c r="I9377" t="s">
        <v>21</v>
      </c>
    </row>
    <row r="9378" spans="1:9" x14ac:dyDescent="0.25">
      <c r="A9378">
        <v>20140515</v>
      </c>
      <c r="B9378" t="str">
        <f t="shared" si="555"/>
        <v>115718</v>
      </c>
      <c r="C9378" t="str">
        <f t="shared" si="556"/>
        <v>52460</v>
      </c>
      <c r="D9378" t="s">
        <v>452</v>
      </c>
      <c r="E9378">
        <v>602.36</v>
      </c>
      <c r="F9378">
        <v>20140513</v>
      </c>
      <c r="G9378" t="s">
        <v>461</v>
      </c>
      <c r="H9378" t="s">
        <v>454</v>
      </c>
      <c r="I9378" t="s">
        <v>21</v>
      </c>
    </row>
    <row r="9379" spans="1:9" x14ac:dyDescent="0.25">
      <c r="A9379">
        <v>20140515</v>
      </c>
      <c r="B9379" t="str">
        <f t="shared" si="555"/>
        <v>115718</v>
      </c>
      <c r="C9379" t="str">
        <f t="shared" si="556"/>
        <v>52460</v>
      </c>
      <c r="D9379" t="s">
        <v>452</v>
      </c>
      <c r="E9379" s="1">
        <v>1046.8399999999999</v>
      </c>
      <c r="F9379">
        <v>20140513</v>
      </c>
      <c r="G9379" t="s">
        <v>462</v>
      </c>
      <c r="H9379" t="s">
        <v>454</v>
      </c>
      <c r="I9379" t="s">
        <v>21</v>
      </c>
    </row>
    <row r="9380" spans="1:9" x14ac:dyDescent="0.25">
      <c r="A9380">
        <v>20140515</v>
      </c>
      <c r="B9380" t="str">
        <f t="shared" si="555"/>
        <v>115718</v>
      </c>
      <c r="C9380" t="str">
        <f t="shared" si="556"/>
        <v>52460</v>
      </c>
      <c r="D9380" t="s">
        <v>452</v>
      </c>
      <c r="E9380">
        <v>276.18</v>
      </c>
      <c r="F9380">
        <v>20140513</v>
      </c>
      <c r="G9380" t="s">
        <v>463</v>
      </c>
      <c r="H9380" t="s">
        <v>454</v>
      </c>
      <c r="I9380" t="s">
        <v>21</v>
      </c>
    </row>
    <row r="9381" spans="1:9" x14ac:dyDescent="0.25">
      <c r="A9381">
        <v>20140515</v>
      </c>
      <c r="B9381" t="str">
        <f t="shared" si="555"/>
        <v>115718</v>
      </c>
      <c r="C9381" t="str">
        <f t="shared" si="556"/>
        <v>52460</v>
      </c>
      <c r="D9381" t="s">
        <v>452</v>
      </c>
      <c r="E9381">
        <v>418.19</v>
      </c>
      <c r="F9381">
        <v>20140513</v>
      </c>
      <c r="G9381" t="s">
        <v>464</v>
      </c>
      <c r="H9381" t="s">
        <v>454</v>
      </c>
      <c r="I9381" t="s">
        <v>21</v>
      </c>
    </row>
    <row r="9382" spans="1:9" x14ac:dyDescent="0.25">
      <c r="A9382">
        <v>20140515</v>
      </c>
      <c r="B9382" t="str">
        <f t="shared" si="555"/>
        <v>115718</v>
      </c>
      <c r="C9382" t="str">
        <f t="shared" si="556"/>
        <v>52460</v>
      </c>
      <c r="D9382" t="s">
        <v>452</v>
      </c>
      <c r="E9382">
        <v>465.55</v>
      </c>
      <c r="F9382">
        <v>20140513</v>
      </c>
      <c r="G9382" t="s">
        <v>465</v>
      </c>
      <c r="H9382" t="s">
        <v>454</v>
      </c>
      <c r="I9382" t="s">
        <v>21</v>
      </c>
    </row>
    <row r="9383" spans="1:9" x14ac:dyDescent="0.25">
      <c r="A9383">
        <v>20140515</v>
      </c>
      <c r="B9383" t="str">
        <f t="shared" si="555"/>
        <v>115718</v>
      </c>
      <c r="C9383" t="str">
        <f t="shared" si="556"/>
        <v>52460</v>
      </c>
      <c r="D9383" t="s">
        <v>452</v>
      </c>
      <c r="E9383">
        <v>701.7</v>
      </c>
      <c r="F9383">
        <v>20140513</v>
      </c>
      <c r="G9383" t="s">
        <v>466</v>
      </c>
      <c r="H9383" t="s">
        <v>454</v>
      </c>
      <c r="I9383" t="s">
        <v>21</v>
      </c>
    </row>
    <row r="9384" spans="1:9" x14ac:dyDescent="0.25">
      <c r="A9384">
        <v>20140515</v>
      </c>
      <c r="B9384" t="str">
        <f t="shared" si="555"/>
        <v>115718</v>
      </c>
      <c r="C9384" t="str">
        <f t="shared" si="556"/>
        <v>52460</v>
      </c>
      <c r="D9384" t="s">
        <v>452</v>
      </c>
      <c r="E9384">
        <v>276.18</v>
      </c>
      <c r="F9384">
        <v>20140513</v>
      </c>
      <c r="G9384" t="s">
        <v>467</v>
      </c>
      <c r="H9384" t="s">
        <v>454</v>
      </c>
      <c r="I9384" t="s">
        <v>21</v>
      </c>
    </row>
    <row r="9385" spans="1:9" x14ac:dyDescent="0.25">
      <c r="A9385">
        <v>20140515</v>
      </c>
      <c r="B9385" t="str">
        <f>"115719"</f>
        <v>115719</v>
      </c>
      <c r="C9385" t="str">
        <f>"87466"</f>
        <v>87466</v>
      </c>
      <c r="D9385" t="s">
        <v>468</v>
      </c>
      <c r="E9385">
        <v>290</v>
      </c>
      <c r="F9385">
        <v>20140514</v>
      </c>
      <c r="G9385" t="s">
        <v>469</v>
      </c>
      <c r="H9385" t="s">
        <v>501</v>
      </c>
      <c r="I9385" t="s">
        <v>21</v>
      </c>
    </row>
    <row r="9386" spans="1:9" x14ac:dyDescent="0.25">
      <c r="A9386">
        <v>20140515</v>
      </c>
      <c r="B9386" t="str">
        <f>"115720"</f>
        <v>115720</v>
      </c>
      <c r="C9386" t="str">
        <f>"05800"</f>
        <v>05800</v>
      </c>
      <c r="D9386" t="s">
        <v>998</v>
      </c>
      <c r="E9386">
        <v>833</v>
      </c>
      <c r="F9386">
        <v>20140509</v>
      </c>
      <c r="G9386" t="s">
        <v>1554</v>
      </c>
      <c r="H9386" t="s">
        <v>4313</v>
      </c>
      <c r="I9386" t="s">
        <v>38</v>
      </c>
    </row>
    <row r="9387" spans="1:9" x14ac:dyDescent="0.25">
      <c r="A9387">
        <v>20140515</v>
      </c>
      <c r="B9387" t="str">
        <f t="shared" ref="B9387:B9398" si="557">"115721"</f>
        <v>115721</v>
      </c>
      <c r="C9387" t="str">
        <f t="shared" ref="C9387:C9398" si="558">"84047"</f>
        <v>84047</v>
      </c>
      <c r="D9387" t="s">
        <v>472</v>
      </c>
      <c r="E9387">
        <v>315.14999999999998</v>
      </c>
      <c r="F9387">
        <v>20140513</v>
      </c>
      <c r="G9387" t="s">
        <v>473</v>
      </c>
      <c r="H9387" t="s">
        <v>474</v>
      </c>
      <c r="I9387" t="s">
        <v>21</v>
      </c>
    </row>
    <row r="9388" spans="1:9" x14ac:dyDescent="0.25">
      <c r="A9388">
        <v>20140515</v>
      </c>
      <c r="B9388" t="str">
        <f t="shared" si="557"/>
        <v>115721</v>
      </c>
      <c r="C9388" t="str">
        <f t="shared" si="558"/>
        <v>84047</v>
      </c>
      <c r="D9388" t="s">
        <v>472</v>
      </c>
      <c r="E9388">
        <v>183.15</v>
      </c>
      <c r="F9388">
        <v>20140513</v>
      </c>
      <c r="G9388" t="s">
        <v>475</v>
      </c>
      <c r="H9388" t="s">
        <v>474</v>
      </c>
      <c r="I9388" t="s">
        <v>21</v>
      </c>
    </row>
    <row r="9389" spans="1:9" x14ac:dyDescent="0.25">
      <c r="A9389">
        <v>20140515</v>
      </c>
      <c r="B9389" t="str">
        <f t="shared" si="557"/>
        <v>115721</v>
      </c>
      <c r="C9389" t="str">
        <f t="shared" si="558"/>
        <v>84047</v>
      </c>
      <c r="D9389" t="s">
        <v>472</v>
      </c>
      <c r="E9389">
        <v>183.15</v>
      </c>
      <c r="F9389">
        <v>20140513</v>
      </c>
      <c r="G9389" t="s">
        <v>476</v>
      </c>
      <c r="H9389" t="s">
        <v>474</v>
      </c>
      <c r="I9389" t="s">
        <v>21</v>
      </c>
    </row>
    <row r="9390" spans="1:9" x14ac:dyDescent="0.25">
      <c r="A9390">
        <v>20140515</v>
      </c>
      <c r="B9390" t="str">
        <f t="shared" si="557"/>
        <v>115721</v>
      </c>
      <c r="C9390" t="str">
        <f t="shared" si="558"/>
        <v>84047</v>
      </c>
      <c r="D9390" t="s">
        <v>472</v>
      </c>
      <c r="E9390">
        <v>183.15</v>
      </c>
      <c r="F9390">
        <v>20140513</v>
      </c>
      <c r="G9390" t="s">
        <v>477</v>
      </c>
      <c r="H9390" t="s">
        <v>474</v>
      </c>
      <c r="I9390" t="s">
        <v>21</v>
      </c>
    </row>
    <row r="9391" spans="1:9" x14ac:dyDescent="0.25">
      <c r="A9391">
        <v>20140515</v>
      </c>
      <c r="B9391" t="str">
        <f t="shared" si="557"/>
        <v>115721</v>
      </c>
      <c r="C9391" t="str">
        <f t="shared" si="558"/>
        <v>84047</v>
      </c>
      <c r="D9391" t="s">
        <v>472</v>
      </c>
      <c r="E9391">
        <v>188.65</v>
      </c>
      <c r="F9391">
        <v>20140513</v>
      </c>
      <c r="G9391" t="s">
        <v>478</v>
      </c>
      <c r="H9391" t="s">
        <v>474</v>
      </c>
      <c r="I9391" t="s">
        <v>21</v>
      </c>
    </row>
    <row r="9392" spans="1:9" x14ac:dyDescent="0.25">
      <c r="A9392">
        <v>20140515</v>
      </c>
      <c r="B9392" t="str">
        <f t="shared" si="557"/>
        <v>115721</v>
      </c>
      <c r="C9392" t="str">
        <f t="shared" si="558"/>
        <v>84047</v>
      </c>
      <c r="D9392" t="s">
        <v>472</v>
      </c>
      <c r="E9392">
        <v>183.15</v>
      </c>
      <c r="F9392">
        <v>20140513</v>
      </c>
      <c r="G9392" t="s">
        <v>479</v>
      </c>
      <c r="H9392" t="s">
        <v>474</v>
      </c>
      <c r="I9392" t="s">
        <v>21</v>
      </c>
    </row>
    <row r="9393" spans="1:9" x14ac:dyDescent="0.25">
      <c r="A9393">
        <v>20140515</v>
      </c>
      <c r="B9393" t="str">
        <f t="shared" si="557"/>
        <v>115721</v>
      </c>
      <c r="C9393" t="str">
        <f t="shared" si="558"/>
        <v>84047</v>
      </c>
      <c r="D9393" t="s">
        <v>472</v>
      </c>
      <c r="E9393">
        <v>183.15</v>
      </c>
      <c r="F9393">
        <v>20140513</v>
      </c>
      <c r="G9393" t="s">
        <v>480</v>
      </c>
      <c r="H9393" t="s">
        <v>474</v>
      </c>
      <c r="I9393" t="s">
        <v>21</v>
      </c>
    </row>
    <row r="9394" spans="1:9" x14ac:dyDescent="0.25">
      <c r="A9394">
        <v>20140515</v>
      </c>
      <c r="B9394" t="str">
        <f t="shared" si="557"/>
        <v>115721</v>
      </c>
      <c r="C9394" t="str">
        <f t="shared" si="558"/>
        <v>84047</v>
      </c>
      <c r="D9394" t="s">
        <v>472</v>
      </c>
      <c r="E9394">
        <v>183.15</v>
      </c>
      <c r="F9394">
        <v>20140513</v>
      </c>
      <c r="G9394" t="s">
        <v>481</v>
      </c>
      <c r="H9394" t="s">
        <v>474</v>
      </c>
      <c r="I9394" t="s">
        <v>21</v>
      </c>
    </row>
    <row r="9395" spans="1:9" x14ac:dyDescent="0.25">
      <c r="A9395">
        <v>20140515</v>
      </c>
      <c r="B9395" t="str">
        <f t="shared" si="557"/>
        <v>115721</v>
      </c>
      <c r="C9395" t="str">
        <f t="shared" si="558"/>
        <v>84047</v>
      </c>
      <c r="D9395" t="s">
        <v>472</v>
      </c>
      <c r="E9395">
        <v>106.15</v>
      </c>
      <c r="F9395">
        <v>20140513</v>
      </c>
      <c r="G9395" t="s">
        <v>482</v>
      </c>
      <c r="H9395" t="s">
        <v>474</v>
      </c>
      <c r="I9395" t="s">
        <v>21</v>
      </c>
    </row>
    <row r="9396" spans="1:9" x14ac:dyDescent="0.25">
      <c r="A9396">
        <v>20140515</v>
      </c>
      <c r="B9396" t="str">
        <f t="shared" si="557"/>
        <v>115721</v>
      </c>
      <c r="C9396" t="str">
        <f t="shared" si="558"/>
        <v>84047</v>
      </c>
      <c r="D9396" t="s">
        <v>472</v>
      </c>
      <c r="E9396">
        <v>183.15</v>
      </c>
      <c r="F9396">
        <v>20140513</v>
      </c>
      <c r="G9396" t="s">
        <v>483</v>
      </c>
      <c r="H9396" t="s">
        <v>474</v>
      </c>
      <c r="I9396" t="s">
        <v>21</v>
      </c>
    </row>
    <row r="9397" spans="1:9" x14ac:dyDescent="0.25">
      <c r="A9397">
        <v>20140515</v>
      </c>
      <c r="B9397" t="str">
        <f t="shared" si="557"/>
        <v>115721</v>
      </c>
      <c r="C9397" t="str">
        <f t="shared" si="558"/>
        <v>84047</v>
      </c>
      <c r="D9397" t="s">
        <v>472</v>
      </c>
      <c r="E9397">
        <v>217.25</v>
      </c>
      <c r="F9397">
        <v>20140513</v>
      </c>
      <c r="G9397" t="s">
        <v>484</v>
      </c>
      <c r="H9397" t="s">
        <v>474</v>
      </c>
      <c r="I9397" t="s">
        <v>21</v>
      </c>
    </row>
    <row r="9398" spans="1:9" x14ac:dyDescent="0.25">
      <c r="A9398">
        <v>20140515</v>
      </c>
      <c r="B9398" t="str">
        <f t="shared" si="557"/>
        <v>115721</v>
      </c>
      <c r="C9398" t="str">
        <f t="shared" si="558"/>
        <v>84047</v>
      </c>
      <c r="D9398" t="s">
        <v>472</v>
      </c>
      <c r="E9398">
        <v>150.15</v>
      </c>
      <c r="F9398">
        <v>20140513</v>
      </c>
      <c r="G9398" t="s">
        <v>485</v>
      </c>
      <c r="H9398" t="s">
        <v>474</v>
      </c>
      <c r="I9398" t="s">
        <v>21</v>
      </c>
    </row>
    <row r="9399" spans="1:9" x14ac:dyDescent="0.25">
      <c r="A9399">
        <v>20140515</v>
      </c>
      <c r="B9399" t="str">
        <f>"115722"</f>
        <v>115722</v>
      </c>
      <c r="C9399" t="str">
        <f>"00500"</f>
        <v>00500</v>
      </c>
      <c r="D9399" t="s">
        <v>486</v>
      </c>
      <c r="E9399" s="1">
        <v>7016.46</v>
      </c>
      <c r="F9399">
        <v>20140513</v>
      </c>
      <c r="G9399" t="s">
        <v>487</v>
      </c>
      <c r="H9399" t="s">
        <v>488</v>
      </c>
      <c r="I9399" t="s">
        <v>21</v>
      </c>
    </row>
    <row r="9400" spans="1:9" x14ac:dyDescent="0.25">
      <c r="A9400">
        <v>20140515</v>
      </c>
      <c r="B9400" t="str">
        <f>"115723"</f>
        <v>115723</v>
      </c>
      <c r="C9400" t="str">
        <f>"00255"</f>
        <v>00255</v>
      </c>
      <c r="D9400" t="s">
        <v>489</v>
      </c>
      <c r="E9400">
        <v>509.51</v>
      </c>
      <c r="F9400">
        <v>20140513</v>
      </c>
      <c r="G9400" t="s">
        <v>491</v>
      </c>
      <c r="H9400" t="s">
        <v>488</v>
      </c>
      <c r="I9400" t="s">
        <v>21</v>
      </c>
    </row>
    <row r="9401" spans="1:9" x14ac:dyDescent="0.25">
      <c r="A9401">
        <v>20140515</v>
      </c>
      <c r="B9401" t="str">
        <f>"115723"</f>
        <v>115723</v>
      </c>
      <c r="C9401" t="str">
        <f>"00255"</f>
        <v>00255</v>
      </c>
      <c r="D9401" t="s">
        <v>489</v>
      </c>
      <c r="E9401">
        <v>446.52</v>
      </c>
      <c r="F9401">
        <v>20140513</v>
      </c>
      <c r="G9401" t="s">
        <v>493</v>
      </c>
      <c r="H9401" t="s">
        <v>488</v>
      </c>
      <c r="I9401" t="s">
        <v>21</v>
      </c>
    </row>
    <row r="9402" spans="1:9" x14ac:dyDescent="0.25">
      <c r="A9402">
        <v>20140515</v>
      </c>
      <c r="B9402" t="str">
        <f>"115723"</f>
        <v>115723</v>
      </c>
      <c r="C9402" t="str">
        <f>"00255"</f>
        <v>00255</v>
      </c>
      <c r="D9402" t="s">
        <v>489</v>
      </c>
      <c r="E9402">
        <v>39.799999999999997</v>
      </c>
      <c r="F9402">
        <v>20140513</v>
      </c>
      <c r="G9402" t="s">
        <v>771</v>
      </c>
      <c r="H9402" t="s">
        <v>488</v>
      </c>
      <c r="I9402" t="s">
        <v>21</v>
      </c>
    </row>
    <row r="9403" spans="1:9" x14ac:dyDescent="0.25">
      <c r="A9403">
        <v>20140515</v>
      </c>
      <c r="B9403" t="str">
        <f>"115723"</f>
        <v>115723</v>
      </c>
      <c r="C9403" t="str">
        <f>"00255"</f>
        <v>00255</v>
      </c>
      <c r="D9403" t="s">
        <v>489</v>
      </c>
      <c r="E9403">
        <v>84.38</v>
      </c>
      <c r="F9403">
        <v>20140514</v>
      </c>
      <c r="G9403" t="s">
        <v>771</v>
      </c>
      <c r="H9403" t="s">
        <v>488</v>
      </c>
      <c r="I9403" t="s">
        <v>21</v>
      </c>
    </row>
    <row r="9404" spans="1:9" x14ac:dyDescent="0.25">
      <c r="A9404">
        <v>20140515</v>
      </c>
      <c r="B9404" t="str">
        <f>"115723"</f>
        <v>115723</v>
      </c>
      <c r="C9404" t="str">
        <f>"00255"</f>
        <v>00255</v>
      </c>
      <c r="D9404" t="s">
        <v>489</v>
      </c>
      <c r="E9404">
        <v>335.48</v>
      </c>
      <c r="F9404">
        <v>20140513</v>
      </c>
      <c r="G9404" t="s">
        <v>494</v>
      </c>
      <c r="H9404" t="s">
        <v>488</v>
      </c>
      <c r="I9404" t="s">
        <v>21</v>
      </c>
    </row>
    <row r="9405" spans="1:9" x14ac:dyDescent="0.25">
      <c r="A9405">
        <v>20140515</v>
      </c>
      <c r="B9405" t="str">
        <f>"115724"</f>
        <v>115724</v>
      </c>
      <c r="C9405" t="str">
        <f>"00042"</f>
        <v>00042</v>
      </c>
      <c r="D9405" t="s">
        <v>2617</v>
      </c>
      <c r="E9405" s="1">
        <v>1522.5</v>
      </c>
      <c r="F9405">
        <v>20140514</v>
      </c>
      <c r="G9405" t="s">
        <v>1193</v>
      </c>
      <c r="H9405" t="s">
        <v>4314</v>
      </c>
      <c r="I9405" t="s">
        <v>25</v>
      </c>
    </row>
    <row r="9406" spans="1:9" x14ac:dyDescent="0.25">
      <c r="A9406">
        <v>20140515</v>
      </c>
      <c r="B9406" t="str">
        <f>"115725"</f>
        <v>115725</v>
      </c>
      <c r="C9406" t="str">
        <f>"87555"</f>
        <v>87555</v>
      </c>
      <c r="D9406" t="s">
        <v>1560</v>
      </c>
      <c r="E9406">
        <v>29.7</v>
      </c>
      <c r="F9406">
        <v>20140513</v>
      </c>
      <c r="G9406" t="s">
        <v>562</v>
      </c>
      <c r="H9406" t="s">
        <v>563</v>
      </c>
      <c r="I9406" t="s">
        <v>21</v>
      </c>
    </row>
    <row r="9407" spans="1:9" x14ac:dyDescent="0.25">
      <c r="A9407">
        <v>20140515</v>
      </c>
      <c r="B9407" t="str">
        <f>"115726"</f>
        <v>115726</v>
      </c>
      <c r="C9407" t="str">
        <f>"81301"</f>
        <v>81301</v>
      </c>
      <c r="D9407" t="s">
        <v>779</v>
      </c>
      <c r="E9407">
        <v>43.74</v>
      </c>
      <c r="F9407">
        <v>20140513</v>
      </c>
      <c r="G9407" t="s">
        <v>892</v>
      </c>
      <c r="H9407" t="s">
        <v>563</v>
      </c>
      <c r="I9407" t="s">
        <v>79</v>
      </c>
    </row>
    <row r="9408" spans="1:9" x14ac:dyDescent="0.25">
      <c r="A9408">
        <v>20140515</v>
      </c>
      <c r="B9408" t="str">
        <f>"115727"</f>
        <v>115727</v>
      </c>
      <c r="C9408" t="str">
        <f>"83193"</f>
        <v>83193</v>
      </c>
      <c r="D9408" t="s">
        <v>1008</v>
      </c>
      <c r="E9408">
        <v>447.5</v>
      </c>
      <c r="F9408">
        <v>20140514</v>
      </c>
      <c r="G9408" t="s">
        <v>145</v>
      </c>
      <c r="H9408" t="s">
        <v>357</v>
      </c>
      <c r="I9408" t="s">
        <v>38</v>
      </c>
    </row>
    <row r="9409" spans="1:9" x14ac:dyDescent="0.25">
      <c r="A9409">
        <v>20140515</v>
      </c>
      <c r="B9409" t="str">
        <f>"115728"</f>
        <v>115728</v>
      </c>
      <c r="C9409" t="str">
        <f>"82560"</f>
        <v>82560</v>
      </c>
      <c r="D9409" t="s">
        <v>403</v>
      </c>
      <c r="E9409" s="1">
        <v>4077.49</v>
      </c>
      <c r="F9409">
        <v>20140513</v>
      </c>
      <c r="G9409" t="s">
        <v>404</v>
      </c>
      <c r="H9409" t="s">
        <v>405</v>
      </c>
      <c r="I9409" t="s">
        <v>12</v>
      </c>
    </row>
    <row r="9410" spans="1:9" x14ac:dyDescent="0.25">
      <c r="A9410">
        <v>20140515</v>
      </c>
      <c r="B9410" t="str">
        <f>"115729"</f>
        <v>115729</v>
      </c>
      <c r="C9410" t="str">
        <f>"11700"</f>
        <v>11700</v>
      </c>
      <c r="D9410" t="s">
        <v>3226</v>
      </c>
      <c r="E9410">
        <v>265</v>
      </c>
      <c r="F9410">
        <v>20140514</v>
      </c>
      <c r="G9410" t="s">
        <v>1071</v>
      </c>
      <c r="H9410" t="s">
        <v>4315</v>
      </c>
      <c r="I9410" t="s">
        <v>21</v>
      </c>
    </row>
    <row r="9411" spans="1:9" x14ac:dyDescent="0.25">
      <c r="A9411">
        <v>20140515</v>
      </c>
      <c r="B9411" t="str">
        <f>"115730"</f>
        <v>115730</v>
      </c>
      <c r="C9411" t="str">
        <f>"11851"</f>
        <v>11851</v>
      </c>
      <c r="D9411" t="s">
        <v>342</v>
      </c>
      <c r="E9411">
        <v>160</v>
      </c>
      <c r="F9411">
        <v>20140514</v>
      </c>
      <c r="G9411" t="s">
        <v>289</v>
      </c>
      <c r="H9411" t="s">
        <v>783</v>
      </c>
      <c r="I9411" t="s">
        <v>38</v>
      </c>
    </row>
    <row r="9412" spans="1:9" x14ac:dyDescent="0.25">
      <c r="A9412">
        <v>20140515</v>
      </c>
      <c r="B9412" t="str">
        <f>"115730"</f>
        <v>115730</v>
      </c>
      <c r="C9412" t="str">
        <f>"11851"</f>
        <v>11851</v>
      </c>
      <c r="D9412" t="s">
        <v>342</v>
      </c>
      <c r="E9412">
        <v>90</v>
      </c>
      <c r="F9412">
        <v>20140514</v>
      </c>
      <c r="G9412" t="s">
        <v>119</v>
      </c>
      <c r="H9412" t="s">
        <v>1029</v>
      </c>
      <c r="I9412" t="s">
        <v>38</v>
      </c>
    </row>
    <row r="9413" spans="1:9" x14ac:dyDescent="0.25">
      <c r="A9413">
        <v>20140515</v>
      </c>
      <c r="B9413" t="str">
        <f>"115731"</f>
        <v>115731</v>
      </c>
      <c r="C9413" t="str">
        <f>"11805"</f>
        <v>11805</v>
      </c>
      <c r="D9413" t="s">
        <v>1358</v>
      </c>
      <c r="E9413" s="1">
        <v>5726.27</v>
      </c>
      <c r="F9413">
        <v>20140513</v>
      </c>
      <c r="G9413" t="s">
        <v>404</v>
      </c>
      <c r="H9413" t="s">
        <v>133</v>
      </c>
      <c r="I9413" t="s">
        <v>12</v>
      </c>
    </row>
    <row r="9414" spans="1:9" x14ac:dyDescent="0.25">
      <c r="A9414">
        <v>20140515</v>
      </c>
      <c r="B9414" t="str">
        <f>"115732"</f>
        <v>115732</v>
      </c>
      <c r="C9414" t="str">
        <f>"87859"</f>
        <v>87859</v>
      </c>
      <c r="D9414" t="s">
        <v>4316</v>
      </c>
      <c r="E9414" s="1">
        <v>1662.17</v>
      </c>
      <c r="F9414">
        <v>20140514</v>
      </c>
      <c r="G9414" t="s">
        <v>789</v>
      </c>
      <c r="H9414" t="s">
        <v>921</v>
      </c>
      <c r="I9414" t="s">
        <v>61</v>
      </c>
    </row>
    <row r="9415" spans="1:9" x14ac:dyDescent="0.25">
      <c r="A9415">
        <v>20140515</v>
      </c>
      <c r="B9415" t="str">
        <f>"115732"</f>
        <v>115732</v>
      </c>
      <c r="C9415" t="str">
        <f>"87859"</f>
        <v>87859</v>
      </c>
      <c r="D9415" t="s">
        <v>4316</v>
      </c>
      <c r="E9415" s="1">
        <v>2081.83</v>
      </c>
      <c r="F9415">
        <v>20140514</v>
      </c>
      <c r="G9415" t="s">
        <v>4317</v>
      </c>
      <c r="H9415" t="s">
        <v>921</v>
      </c>
      <c r="I9415" t="s">
        <v>61</v>
      </c>
    </row>
    <row r="9416" spans="1:9" x14ac:dyDescent="0.25">
      <c r="A9416">
        <v>20140515</v>
      </c>
      <c r="B9416" t="str">
        <f>"115733"</f>
        <v>115733</v>
      </c>
      <c r="C9416" t="str">
        <f>"87859"</f>
        <v>87859</v>
      </c>
      <c r="D9416" t="s">
        <v>4316</v>
      </c>
      <c r="E9416">
        <v>500</v>
      </c>
      <c r="F9416">
        <v>20140514</v>
      </c>
      <c r="G9416" t="s">
        <v>789</v>
      </c>
      <c r="H9416" t="s">
        <v>921</v>
      </c>
      <c r="I9416" t="s">
        <v>61</v>
      </c>
    </row>
    <row r="9417" spans="1:9" x14ac:dyDescent="0.25">
      <c r="A9417">
        <v>20140515</v>
      </c>
      <c r="B9417" t="str">
        <f>"115734"</f>
        <v>115734</v>
      </c>
      <c r="C9417" t="str">
        <f>"12140"</f>
        <v>12140</v>
      </c>
      <c r="D9417" t="s">
        <v>406</v>
      </c>
      <c r="E9417" s="1">
        <v>48686.400000000001</v>
      </c>
      <c r="F9417">
        <v>20140513</v>
      </c>
      <c r="G9417" t="s">
        <v>404</v>
      </c>
      <c r="H9417" t="s">
        <v>408</v>
      </c>
      <c r="I9417" t="s">
        <v>12</v>
      </c>
    </row>
    <row r="9418" spans="1:9" x14ac:dyDescent="0.25">
      <c r="A9418">
        <v>20140515</v>
      </c>
      <c r="B9418" t="str">
        <f>"115735"</f>
        <v>115735</v>
      </c>
      <c r="C9418" t="str">
        <f>"87695"</f>
        <v>87695</v>
      </c>
      <c r="D9418" t="s">
        <v>4113</v>
      </c>
      <c r="E9418" s="1">
        <v>4345</v>
      </c>
      <c r="F9418">
        <v>20140513</v>
      </c>
      <c r="G9418" t="s">
        <v>413</v>
      </c>
      <c r="H9418" t="s">
        <v>4318</v>
      </c>
      <c r="I9418" t="s">
        <v>21</v>
      </c>
    </row>
    <row r="9419" spans="1:9" x14ac:dyDescent="0.25">
      <c r="A9419">
        <v>20140515</v>
      </c>
      <c r="B9419" t="str">
        <f>"115736"</f>
        <v>115736</v>
      </c>
      <c r="C9419" t="str">
        <f>"87858"</f>
        <v>87858</v>
      </c>
      <c r="D9419" t="s">
        <v>4319</v>
      </c>
      <c r="E9419">
        <v>32.57</v>
      </c>
      <c r="F9419">
        <v>20140514</v>
      </c>
      <c r="G9419" t="s">
        <v>413</v>
      </c>
      <c r="H9419" t="s">
        <v>4320</v>
      </c>
      <c r="I9419" t="s">
        <v>21</v>
      </c>
    </row>
    <row r="9420" spans="1:9" x14ac:dyDescent="0.25">
      <c r="A9420">
        <v>20140515</v>
      </c>
      <c r="B9420" t="str">
        <f>"115737"</f>
        <v>115737</v>
      </c>
      <c r="C9420" t="str">
        <f>"12392"</f>
        <v>12392</v>
      </c>
      <c r="D9420" t="s">
        <v>1196</v>
      </c>
      <c r="E9420">
        <v>40.14</v>
      </c>
      <c r="F9420">
        <v>20140513</v>
      </c>
      <c r="G9420" t="s">
        <v>1960</v>
      </c>
      <c r="H9420" t="s">
        <v>563</v>
      </c>
      <c r="I9420" t="s">
        <v>21</v>
      </c>
    </row>
    <row r="9421" spans="1:9" x14ac:dyDescent="0.25">
      <c r="A9421">
        <v>20140515</v>
      </c>
      <c r="B9421" t="str">
        <f>"115738"</f>
        <v>115738</v>
      </c>
      <c r="C9421" t="str">
        <f>"86533"</f>
        <v>86533</v>
      </c>
      <c r="D9421" t="s">
        <v>505</v>
      </c>
      <c r="E9421">
        <v>170</v>
      </c>
      <c r="F9421">
        <v>20140514</v>
      </c>
      <c r="G9421" t="s">
        <v>2122</v>
      </c>
      <c r="H9421" t="s">
        <v>414</v>
      </c>
      <c r="I9421" t="s">
        <v>21</v>
      </c>
    </row>
    <row r="9422" spans="1:9" x14ac:dyDescent="0.25">
      <c r="A9422">
        <v>20140515</v>
      </c>
      <c r="B9422" t="str">
        <f>"115739"</f>
        <v>115739</v>
      </c>
      <c r="C9422" t="str">
        <f>"10075"</f>
        <v>10075</v>
      </c>
      <c r="D9422" t="s">
        <v>1199</v>
      </c>
      <c r="E9422" s="1">
        <v>1742</v>
      </c>
      <c r="F9422">
        <v>20140514</v>
      </c>
      <c r="G9422" t="s">
        <v>1200</v>
      </c>
      <c r="H9422" t="s">
        <v>4321</v>
      </c>
      <c r="I9422" t="s">
        <v>61</v>
      </c>
    </row>
    <row r="9423" spans="1:9" x14ac:dyDescent="0.25">
      <c r="A9423">
        <v>20140515</v>
      </c>
      <c r="B9423" t="str">
        <f>"115740"</f>
        <v>115740</v>
      </c>
      <c r="C9423" t="str">
        <f>"16500"</f>
        <v>16500</v>
      </c>
      <c r="D9423" t="s">
        <v>798</v>
      </c>
      <c r="E9423">
        <v>41</v>
      </c>
      <c r="F9423">
        <v>20140514</v>
      </c>
      <c r="G9423" t="s">
        <v>145</v>
      </c>
      <c r="H9423" t="s">
        <v>784</v>
      </c>
      <c r="I9423" t="s">
        <v>38</v>
      </c>
    </row>
    <row r="9424" spans="1:9" x14ac:dyDescent="0.25">
      <c r="A9424">
        <v>20140515</v>
      </c>
      <c r="B9424" t="str">
        <f>"115740"</f>
        <v>115740</v>
      </c>
      <c r="C9424" t="str">
        <f>"16500"</f>
        <v>16500</v>
      </c>
      <c r="D9424" t="s">
        <v>798</v>
      </c>
      <c r="E9424">
        <v>25</v>
      </c>
      <c r="F9424">
        <v>20140514</v>
      </c>
      <c r="G9424" t="s">
        <v>1193</v>
      </c>
      <c r="H9424" t="s">
        <v>4322</v>
      </c>
      <c r="I9424" t="s">
        <v>25</v>
      </c>
    </row>
    <row r="9425" spans="1:9" x14ac:dyDescent="0.25">
      <c r="A9425">
        <v>20140515</v>
      </c>
      <c r="B9425" t="str">
        <f>"115741"</f>
        <v>115741</v>
      </c>
      <c r="C9425" t="str">
        <f>"85759"</f>
        <v>85759</v>
      </c>
      <c r="D9425" t="s">
        <v>4051</v>
      </c>
      <c r="E9425" s="1">
        <v>20460</v>
      </c>
      <c r="F9425">
        <v>20140514</v>
      </c>
      <c r="G9425" t="s">
        <v>1900</v>
      </c>
      <c r="H9425" t="s">
        <v>4323</v>
      </c>
      <c r="I9425" t="s">
        <v>608</v>
      </c>
    </row>
    <row r="9426" spans="1:9" x14ac:dyDescent="0.25">
      <c r="A9426">
        <v>20140515</v>
      </c>
      <c r="B9426" t="str">
        <f>"115742"</f>
        <v>115742</v>
      </c>
      <c r="C9426" t="str">
        <f>"86912"</f>
        <v>86912</v>
      </c>
      <c r="D9426" t="s">
        <v>4324</v>
      </c>
      <c r="E9426" s="1">
        <v>1245</v>
      </c>
      <c r="F9426">
        <v>20140514</v>
      </c>
      <c r="G9426" t="s">
        <v>41</v>
      </c>
      <c r="H9426" t="s">
        <v>4325</v>
      </c>
      <c r="I9426" t="s">
        <v>38</v>
      </c>
    </row>
    <row r="9427" spans="1:9" x14ac:dyDescent="0.25">
      <c r="A9427">
        <v>20140515</v>
      </c>
      <c r="B9427" t="str">
        <f>"115743"</f>
        <v>115743</v>
      </c>
      <c r="C9427" t="str">
        <f>"87549"</f>
        <v>87549</v>
      </c>
      <c r="D9427" t="s">
        <v>1382</v>
      </c>
      <c r="E9427">
        <v>99.98</v>
      </c>
      <c r="F9427">
        <v>20140513</v>
      </c>
      <c r="G9427" t="s">
        <v>99</v>
      </c>
      <c r="H9427" t="s">
        <v>2633</v>
      </c>
      <c r="I9427" t="s">
        <v>21</v>
      </c>
    </row>
    <row r="9428" spans="1:9" x14ac:dyDescent="0.25">
      <c r="A9428">
        <v>20140515</v>
      </c>
      <c r="B9428" t="str">
        <f>"115744"</f>
        <v>115744</v>
      </c>
      <c r="C9428" t="str">
        <f>"83876"</f>
        <v>83876</v>
      </c>
      <c r="D9428" t="s">
        <v>1211</v>
      </c>
      <c r="E9428">
        <v>86.26</v>
      </c>
      <c r="F9428">
        <v>20140513</v>
      </c>
      <c r="G9428" t="s">
        <v>473</v>
      </c>
      <c r="H9428" t="s">
        <v>414</v>
      </c>
      <c r="I9428" t="s">
        <v>21</v>
      </c>
    </row>
    <row r="9429" spans="1:9" x14ac:dyDescent="0.25">
      <c r="A9429">
        <v>20140515</v>
      </c>
      <c r="B9429" t="str">
        <f>"115745"</f>
        <v>115745</v>
      </c>
      <c r="C9429" t="str">
        <f>"19178"</f>
        <v>19178</v>
      </c>
      <c r="D9429" t="s">
        <v>3281</v>
      </c>
      <c r="E9429">
        <v>158.9</v>
      </c>
      <c r="F9429">
        <v>20140509</v>
      </c>
      <c r="G9429" t="s">
        <v>637</v>
      </c>
      <c r="H9429" t="s">
        <v>4326</v>
      </c>
      <c r="I9429" t="s">
        <v>38</v>
      </c>
    </row>
    <row r="9430" spans="1:9" x14ac:dyDescent="0.25">
      <c r="A9430">
        <v>20140515</v>
      </c>
      <c r="B9430" t="str">
        <f>"115746"</f>
        <v>115746</v>
      </c>
      <c r="C9430" t="str">
        <f>"87150"</f>
        <v>87150</v>
      </c>
      <c r="D9430" t="s">
        <v>1386</v>
      </c>
      <c r="E9430" s="1">
        <v>1783.67</v>
      </c>
      <c r="F9430">
        <v>20140513</v>
      </c>
      <c r="G9430" t="s">
        <v>404</v>
      </c>
      <c r="H9430" t="s">
        <v>1387</v>
      </c>
      <c r="I9430" t="s">
        <v>12</v>
      </c>
    </row>
    <row r="9431" spans="1:9" x14ac:dyDescent="0.25">
      <c r="A9431">
        <v>20140515</v>
      </c>
      <c r="B9431" t="str">
        <f>"115746"</f>
        <v>115746</v>
      </c>
      <c r="C9431" t="str">
        <f>"87150"</f>
        <v>87150</v>
      </c>
      <c r="D9431" t="s">
        <v>1386</v>
      </c>
      <c r="E9431">
        <v>49.2</v>
      </c>
      <c r="F9431">
        <v>20140513</v>
      </c>
      <c r="G9431" t="s">
        <v>202</v>
      </c>
      <c r="H9431" t="s">
        <v>2917</v>
      </c>
      <c r="I9431" t="s">
        <v>12</v>
      </c>
    </row>
    <row r="9432" spans="1:9" x14ac:dyDescent="0.25">
      <c r="A9432">
        <v>20140515</v>
      </c>
      <c r="B9432" t="str">
        <f>"115747"</f>
        <v>115747</v>
      </c>
      <c r="C9432" t="str">
        <f>"21950"</f>
        <v>21950</v>
      </c>
      <c r="D9432" t="s">
        <v>35</v>
      </c>
      <c r="E9432">
        <v>32.5</v>
      </c>
      <c r="F9432">
        <v>20140508</v>
      </c>
      <c r="G9432" t="s">
        <v>39</v>
      </c>
      <c r="H9432" t="s">
        <v>357</v>
      </c>
      <c r="I9432" t="s">
        <v>38</v>
      </c>
    </row>
    <row r="9433" spans="1:9" x14ac:dyDescent="0.25">
      <c r="A9433">
        <v>20140515</v>
      </c>
      <c r="B9433" t="str">
        <f>"115748"</f>
        <v>115748</v>
      </c>
      <c r="C9433" t="str">
        <f>"22200"</f>
        <v>22200</v>
      </c>
      <c r="D9433" t="s">
        <v>519</v>
      </c>
      <c r="E9433">
        <v>51.75</v>
      </c>
      <c r="F9433">
        <v>20140514</v>
      </c>
      <c r="G9433" t="s">
        <v>737</v>
      </c>
      <c r="H9433" t="s">
        <v>3709</v>
      </c>
      <c r="I9433" t="s">
        <v>21</v>
      </c>
    </row>
    <row r="9434" spans="1:9" x14ac:dyDescent="0.25">
      <c r="A9434">
        <v>20140515</v>
      </c>
      <c r="B9434" t="str">
        <f>"115748"</f>
        <v>115748</v>
      </c>
      <c r="C9434" t="str">
        <f>"22200"</f>
        <v>22200</v>
      </c>
      <c r="D9434" t="s">
        <v>519</v>
      </c>
      <c r="E9434">
        <v>8.4</v>
      </c>
      <c r="F9434">
        <v>20140514</v>
      </c>
      <c r="G9434" t="s">
        <v>2145</v>
      </c>
      <c r="H9434" t="s">
        <v>3709</v>
      </c>
      <c r="I9434" t="s">
        <v>21</v>
      </c>
    </row>
    <row r="9435" spans="1:9" x14ac:dyDescent="0.25">
      <c r="A9435">
        <v>20140515</v>
      </c>
      <c r="B9435" t="str">
        <f>"115749"</f>
        <v>115749</v>
      </c>
      <c r="C9435" t="str">
        <f>"22200"</f>
        <v>22200</v>
      </c>
      <c r="D9435" t="s">
        <v>519</v>
      </c>
      <c r="E9435">
        <v>251.25</v>
      </c>
      <c r="F9435">
        <v>20140513</v>
      </c>
      <c r="G9435" t="s">
        <v>202</v>
      </c>
      <c r="H9435" t="s">
        <v>1394</v>
      </c>
      <c r="I9435" t="s">
        <v>12</v>
      </c>
    </row>
    <row r="9436" spans="1:9" x14ac:dyDescent="0.25">
      <c r="A9436">
        <v>20140515</v>
      </c>
      <c r="B9436" t="str">
        <f>"115750"</f>
        <v>115750</v>
      </c>
      <c r="C9436" t="str">
        <f>"22210"</f>
        <v>22210</v>
      </c>
      <c r="D9436" t="s">
        <v>4205</v>
      </c>
      <c r="E9436">
        <v>694</v>
      </c>
      <c r="F9436">
        <v>20140514</v>
      </c>
      <c r="G9436" t="s">
        <v>3900</v>
      </c>
      <c r="H9436" t="s">
        <v>4327</v>
      </c>
      <c r="I9436" t="s">
        <v>25</v>
      </c>
    </row>
    <row r="9437" spans="1:9" x14ac:dyDescent="0.25">
      <c r="A9437">
        <v>20140515</v>
      </c>
      <c r="B9437" t="str">
        <f>"115751"</f>
        <v>115751</v>
      </c>
      <c r="C9437" t="str">
        <f>"22220"</f>
        <v>22220</v>
      </c>
      <c r="D9437" t="s">
        <v>521</v>
      </c>
      <c r="E9437">
        <v>313.11</v>
      </c>
      <c r="F9437">
        <v>20140508</v>
      </c>
      <c r="G9437" t="s">
        <v>4328</v>
      </c>
      <c r="H9437" t="s">
        <v>4329</v>
      </c>
      <c r="I9437" t="s">
        <v>21</v>
      </c>
    </row>
    <row r="9438" spans="1:9" x14ac:dyDescent="0.25">
      <c r="A9438">
        <v>20140515</v>
      </c>
      <c r="B9438" t="str">
        <f>"115752"</f>
        <v>115752</v>
      </c>
      <c r="C9438" t="str">
        <f>"22500"</f>
        <v>22500</v>
      </c>
      <c r="D9438" t="s">
        <v>523</v>
      </c>
      <c r="E9438">
        <v>39.69</v>
      </c>
      <c r="F9438">
        <v>20140509</v>
      </c>
      <c r="G9438" t="s">
        <v>621</v>
      </c>
      <c r="H9438" t="s">
        <v>656</v>
      </c>
      <c r="I9438" t="s">
        <v>21</v>
      </c>
    </row>
    <row r="9439" spans="1:9" x14ac:dyDescent="0.25">
      <c r="A9439">
        <v>20140515</v>
      </c>
      <c r="B9439" t="str">
        <f>"115752"</f>
        <v>115752</v>
      </c>
      <c r="C9439" t="str">
        <f>"22500"</f>
        <v>22500</v>
      </c>
      <c r="D9439" t="s">
        <v>523</v>
      </c>
      <c r="E9439">
        <v>51.31</v>
      </c>
      <c r="F9439">
        <v>20140509</v>
      </c>
      <c r="G9439" t="s">
        <v>631</v>
      </c>
      <c r="H9439" t="s">
        <v>414</v>
      </c>
      <c r="I9439" t="s">
        <v>21</v>
      </c>
    </row>
    <row r="9440" spans="1:9" x14ac:dyDescent="0.25">
      <c r="A9440">
        <v>20140515</v>
      </c>
      <c r="B9440" t="str">
        <f>"115752"</f>
        <v>115752</v>
      </c>
      <c r="C9440" t="str">
        <f>"22500"</f>
        <v>22500</v>
      </c>
      <c r="D9440" t="s">
        <v>523</v>
      </c>
      <c r="E9440">
        <v>345.93</v>
      </c>
      <c r="F9440">
        <v>20140509</v>
      </c>
      <c r="G9440" t="s">
        <v>417</v>
      </c>
      <c r="H9440" t="s">
        <v>414</v>
      </c>
      <c r="I9440" t="s">
        <v>21</v>
      </c>
    </row>
    <row r="9441" spans="1:9" x14ac:dyDescent="0.25">
      <c r="A9441">
        <v>20140515</v>
      </c>
      <c r="B9441" t="str">
        <f>"115753"</f>
        <v>115753</v>
      </c>
      <c r="C9441" t="str">
        <f>"81026"</f>
        <v>81026</v>
      </c>
      <c r="D9441" t="s">
        <v>2923</v>
      </c>
      <c r="E9441">
        <v>667.68</v>
      </c>
      <c r="F9441">
        <v>20140514</v>
      </c>
      <c r="G9441" t="s">
        <v>1145</v>
      </c>
      <c r="H9441" t="s">
        <v>921</v>
      </c>
      <c r="I9441" t="s">
        <v>73</v>
      </c>
    </row>
    <row r="9442" spans="1:9" x14ac:dyDescent="0.25">
      <c r="A9442">
        <v>20140515</v>
      </c>
      <c r="B9442" t="str">
        <f>"115753"</f>
        <v>115753</v>
      </c>
      <c r="C9442" t="str">
        <f>"81026"</f>
        <v>81026</v>
      </c>
      <c r="D9442" t="s">
        <v>2923</v>
      </c>
      <c r="E9442">
        <v>-667.68</v>
      </c>
      <c r="F9442">
        <v>20140612</v>
      </c>
      <c r="G9442" t="s">
        <v>1145</v>
      </c>
      <c r="H9442" t="s">
        <v>4227</v>
      </c>
      <c r="I9442" t="s">
        <v>73</v>
      </c>
    </row>
    <row r="9443" spans="1:9" x14ac:dyDescent="0.25">
      <c r="A9443">
        <v>20140515</v>
      </c>
      <c r="B9443" t="str">
        <f>"115754"</f>
        <v>115754</v>
      </c>
      <c r="C9443" t="str">
        <f>"84291"</f>
        <v>84291</v>
      </c>
      <c r="D9443" t="s">
        <v>4330</v>
      </c>
      <c r="E9443">
        <v>213.84</v>
      </c>
      <c r="F9443">
        <v>20140508</v>
      </c>
      <c r="G9443" t="s">
        <v>1846</v>
      </c>
      <c r="H9443" t="s">
        <v>765</v>
      </c>
      <c r="I9443" t="s">
        <v>63</v>
      </c>
    </row>
    <row r="9444" spans="1:9" x14ac:dyDescent="0.25">
      <c r="A9444">
        <v>20140515</v>
      </c>
      <c r="B9444" t="str">
        <f>"115755"</f>
        <v>115755</v>
      </c>
      <c r="C9444" t="str">
        <f>"23827"</f>
        <v>23827</v>
      </c>
      <c r="D9444" t="s">
        <v>528</v>
      </c>
      <c r="E9444">
        <v>497.86</v>
      </c>
      <c r="F9444">
        <v>20140508</v>
      </c>
      <c r="G9444" t="s">
        <v>4331</v>
      </c>
      <c r="H9444" t="s">
        <v>501</v>
      </c>
      <c r="I9444" t="s">
        <v>38</v>
      </c>
    </row>
    <row r="9445" spans="1:9" x14ac:dyDescent="0.25">
      <c r="A9445">
        <v>20140515</v>
      </c>
      <c r="B9445" t="str">
        <f>"115755"</f>
        <v>115755</v>
      </c>
      <c r="C9445" t="str">
        <f>"23827"</f>
        <v>23827</v>
      </c>
      <c r="D9445" t="s">
        <v>528</v>
      </c>
      <c r="E9445">
        <v>135.66999999999999</v>
      </c>
      <c r="F9445">
        <v>20140514</v>
      </c>
      <c r="G9445" t="s">
        <v>150</v>
      </c>
      <c r="H9445" t="s">
        <v>4332</v>
      </c>
      <c r="I9445" t="s">
        <v>25</v>
      </c>
    </row>
    <row r="9446" spans="1:9" x14ac:dyDescent="0.25">
      <c r="A9446">
        <v>20140515</v>
      </c>
      <c r="B9446" t="str">
        <f>"115756"</f>
        <v>115756</v>
      </c>
      <c r="C9446" t="str">
        <f>"25516"</f>
        <v>25516</v>
      </c>
      <c r="D9446" t="s">
        <v>529</v>
      </c>
      <c r="E9446" s="1">
        <v>2589.92</v>
      </c>
      <c r="F9446">
        <v>20140513</v>
      </c>
      <c r="G9446" t="s">
        <v>331</v>
      </c>
      <c r="H9446" t="s">
        <v>4333</v>
      </c>
      <c r="I9446" t="s">
        <v>12</v>
      </c>
    </row>
    <row r="9447" spans="1:9" x14ac:dyDescent="0.25">
      <c r="A9447">
        <v>20140515</v>
      </c>
      <c r="B9447" t="str">
        <f>"115757"</f>
        <v>115757</v>
      </c>
      <c r="C9447" t="str">
        <f>"86922"</f>
        <v>86922</v>
      </c>
      <c r="D9447" t="s">
        <v>4334</v>
      </c>
      <c r="E9447">
        <v>693</v>
      </c>
      <c r="F9447">
        <v>20140509</v>
      </c>
      <c r="G9447" t="s">
        <v>48</v>
      </c>
      <c r="H9447" t="s">
        <v>1207</v>
      </c>
      <c r="I9447" t="s">
        <v>25</v>
      </c>
    </row>
    <row r="9448" spans="1:9" x14ac:dyDescent="0.25">
      <c r="A9448">
        <v>20140515</v>
      </c>
      <c r="B9448" t="str">
        <f>"115758"</f>
        <v>115758</v>
      </c>
      <c r="C9448" t="str">
        <f>"82961"</f>
        <v>82961</v>
      </c>
      <c r="D9448" t="s">
        <v>3541</v>
      </c>
      <c r="E9448">
        <v>288.89999999999998</v>
      </c>
      <c r="F9448">
        <v>20140509</v>
      </c>
      <c r="G9448" t="s">
        <v>2667</v>
      </c>
      <c r="H9448" t="s">
        <v>4335</v>
      </c>
      <c r="I9448" t="s">
        <v>21</v>
      </c>
    </row>
    <row r="9449" spans="1:9" x14ac:dyDescent="0.25">
      <c r="A9449">
        <v>20140515</v>
      </c>
      <c r="B9449" t="str">
        <f>"115759"</f>
        <v>115759</v>
      </c>
      <c r="C9449" t="str">
        <f>"26990"</f>
        <v>26990</v>
      </c>
      <c r="D9449" t="s">
        <v>548</v>
      </c>
      <c r="E9449">
        <v>288</v>
      </c>
      <c r="F9449">
        <v>20140513</v>
      </c>
      <c r="G9449" t="s">
        <v>137</v>
      </c>
      <c r="H9449" t="s">
        <v>4336</v>
      </c>
      <c r="I9449" t="s">
        <v>21</v>
      </c>
    </row>
    <row r="9450" spans="1:9" x14ac:dyDescent="0.25">
      <c r="A9450">
        <v>20140515</v>
      </c>
      <c r="B9450" t="str">
        <f>"115760"</f>
        <v>115760</v>
      </c>
      <c r="C9450" t="str">
        <f>"28015"</f>
        <v>28015</v>
      </c>
      <c r="D9450" t="s">
        <v>1234</v>
      </c>
      <c r="E9450">
        <v>173.31</v>
      </c>
      <c r="F9450">
        <v>20140514</v>
      </c>
      <c r="G9450" t="s">
        <v>1227</v>
      </c>
      <c r="H9450" t="s">
        <v>921</v>
      </c>
      <c r="I9450" t="s">
        <v>21</v>
      </c>
    </row>
    <row r="9451" spans="1:9" x14ac:dyDescent="0.25">
      <c r="A9451">
        <v>20140515</v>
      </c>
      <c r="B9451" t="str">
        <f>"115760"</f>
        <v>115760</v>
      </c>
      <c r="C9451" t="str">
        <f>"28015"</f>
        <v>28015</v>
      </c>
      <c r="D9451" t="s">
        <v>1234</v>
      </c>
      <c r="E9451" s="1">
        <v>2946.27</v>
      </c>
      <c r="F9451">
        <v>20140514</v>
      </c>
      <c r="G9451" t="s">
        <v>965</v>
      </c>
      <c r="H9451" t="s">
        <v>921</v>
      </c>
      <c r="I9451" t="s">
        <v>21</v>
      </c>
    </row>
    <row r="9452" spans="1:9" x14ac:dyDescent="0.25">
      <c r="A9452">
        <v>20140515</v>
      </c>
      <c r="B9452" t="str">
        <f>"115761"</f>
        <v>115761</v>
      </c>
      <c r="C9452" t="str">
        <f>"87138"</f>
        <v>87138</v>
      </c>
      <c r="D9452" t="s">
        <v>2590</v>
      </c>
      <c r="E9452">
        <v>150</v>
      </c>
      <c r="F9452">
        <v>20140514</v>
      </c>
      <c r="G9452" t="s">
        <v>2717</v>
      </c>
      <c r="H9452" t="s">
        <v>2592</v>
      </c>
      <c r="I9452" t="s">
        <v>21</v>
      </c>
    </row>
    <row r="9453" spans="1:9" x14ac:dyDescent="0.25">
      <c r="A9453">
        <v>20140515</v>
      </c>
      <c r="B9453" t="str">
        <f>"115762"</f>
        <v>115762</v>
      </c>
      <c r="C9453" t="str">
        <f>"84866"</f>
        <v>84866</v>
      </c>
      <c r="D9453" t="s">
        <v>1060</v>
      </c>
      <c r="E9453">
        <v>201.66</v>
      </c>
      <c r="F9453">
        <v>20140514</v>
      </c>
      <c r="G9453" t="s">
        <v>289</v>
      </c>
      <c r="H9453" t="s">
        <v>1062</v>
      </c>
      <c r="I9453" t="s">
        <v>38</v>
      </c>
    </row>
    <row r="9454" spans="1:9" x14ac:dyDescent="0.25">
      <c r="A9454">
        <v>20140515</v>
      </c>
      <c r="B9454" t="str">
        <f>"115763"</f>
        <v>115763</v>
      </c>
      <c r="C9454" t="str">
        <f>"86945"</f>
        <v>86945</v>
      </c>
      <c r="D9454" t="s">
        <v>1589</v>
      </c>
      <c r="E9454">
        <v>55.44</v>
      </c>
      <c r="F9454">
        <v>20140509</v>
      </c>
      <c r="G9454" t="s">
        <v>1145</v>
      </c>
      <c r="H9454" t="s">
        <v>365</v>
      </c>
      <c r="I9454" t="s">
        <v>73</v>
      </c>
    </row>
    <row r="9455" spans="1:9" x14ac:dyDescent="0.25">
      <c r="A9455">
        <v>20140515</v>
      </c>
      <c r="B9455" t="str">
        <f>"115764"</f>
        <v>115764</v>
      </c>
      <c r="C9455" t="str">
        <f>"30000"</f>
        <v>30000</v>
      </c>
      <c r="D9455" t="s">
        <v>556</v>
      </c>
      <c r="E9455">
        <v>16.98</v>
      </c>
      <c r="F9455">
        <v>20140514</v>
      </c>
      <c r="G9455" t="s">
        <v>828</v>
      </c>
      <c r="H9455" t="s">
        <v>4337</v>
      </c>
      <c r="I9455" t="s">
        <v>21</v>
      </c>
    </row>
    <row r="9456" spans="1:9" x14ac:dyDescent="0.25">
      <c r="A9456">
        <v>20140515</v>
      </c>
      <c r="B9456" t="str">
        <f>"115764"</f>
        <v>115764</v>
      </c>
      <c r="C9456" t="str">
        <f>"30000"</f>
        <v>30000</v>
      </c>
      <c r="D9456" t="s">
        <v>556</v>
      </c>
      <c r="E9456" s="1">
        <v>8735</v>
      </c>
      <c r="F9456">
        <v>20140509</v>
      </c>
      <c r="G9456" t="s">
        <v>137</v>
      </c>
      <c r="H9456" t="s">
        <v>4338</v>
      </c>
      <c r="I9456" t="s">
        <v>21</v>
      </c>
    </row>
    <row r="9457" spans="1:9" x14ac:dyDescent="0.25">
      <c r="A9457">
        <v>20140515</v>
      </c>
      <c r="B9457" t="str">
        <f>"115765"</f>
        <v>115765</v>
      </c>
      <c r="C9457" t="str">
        <f>"87830"</f>
        <v>87830</v>
      </c>
      <c r="D9457" t="s">
        <v>4339</v>
      </c>
      <c r="E9457">
        <v>758.98</v>
      </c>
      <c r="F9457">
        <v>20140514</v>
      </c>
      <c r="G9457" t="s">
        <v>4340</v>
      </c>
      <c r="H9457" t="s">
        <v>2506</v>
      </c>
      <c r="I9457" t="s">
        <v>21</v>
      </c>
    </row>
    <row r="9458" spans="1:9" x14ac:dyDescent="0.25">
      <c r="A9458">
        <v>20140515</v>
      </c>
      <c r="B9458" t="str">
        <f>"115766"</f>
        <v>115766</v>
      </c>
      <c r="C9458" t="str">
        <f>"87811"</f>
        <v>87811</v>
      </c>
      <c r="D9458" t="s">
        <v>4073</v>
      </c>
      <c r="E9458">
        <v>848</v>
      </c>
      <c r="F9458">
        <v>20140509</v>
      </c>
      <c r="G9458" t="s">
        <v>628</v>
      </c>
      <c r="H9458" t="s">
        <v>4341</v>
      </c>
      <c r="I9458" t="s">
        <v>21</v>
      </c>
    </row>
    <row r="9459" spans="1:9" x14ac:dyDescent="0.25">
      <c r="A9459">
        <v>20140515</v>
      </c>
      <c r="B9459" t="str">
        <f>"115767"</f>
        <v>115767</v>
      </c>
      <c r="C9459" t="str">
        <f>"81038"</f>
        <v>81038</v>
      </c>
      <c r="D9459" t="s">
        <v>2364</v>
      </c>
      <c r="E9459">
        <v>350</v>
      </c>
      <c r="F9459">
        <v>20140513</v>
      </c>
      <c r="G9459" t="s">
        <v>36</v>
      </c>
      <c r="H9459" t="s">
        <v>4342</v>
      </c>
      <c r="I9459" t="s">
        <v>38</v>
      </c>
    </row>
    <row r="9460" spans="1:9" x14ac:dyDescent="0.25">
      <c r="A9460">
        <v>20140515</v>
      </c>
      <c r="B9460" t="str">
        <f>"115768"</f>
        <v>115768</v>
      </c>
      <c r="C9460" t="str">
        <f>"31570"</f>
        <v>31570</v>
      </c>
      <c r="D9460" t="s">
        <v>1244</v>
      </c>
      <c r="E9460">
        <v>30.48</v>
      </c>
      <c r="F9460">
        <v>20140508</v>
      </c>
      <c r="G9460" t="s">
        <v>1426</v>
      </c>
      <c r="H9460" t="s">
        <v>414</v>
      </c>
      <c r="I9460" t="s">
        <v>38</v>
      </c>
    </row>
    <row r="9461" spans="1:9" x14ac:dyDescent="0.25">
      <c r="A9461">
        <v>20140515</v>
      </c>
      <c r="B9461" t="str">
        <f>"115769"</f>
        <v>115769</v>
      </c>
      <c r="C9461" t="str">
        <f>"84980"</f>
        <v>84980</v>
      </c>
      <c r="D9461" t="s">
        <v>591</v>
      </c>
      <c r="E9461">
        <v>21</v>
      </c>
      <c r="F9461">
        <v>20140514</v>
      </c>
      <c r="G9461" t="s">
        <v>1071</v>
      </c>
      <c r="H9461" t="s">
        <v>4343</v>
      </c>
      <c r="I9461" t="s">
        <v>21</v>
      </c>
    </row>
    <row r="9462" spans="1:9" x14ac:dyDescent="0.25">
      <c r="A9462">
        <v>20140515</v>
      </c>
      <c r="B9462" t="str">
        <f>"115769"</f>
        <v>115769</v>
      </c>
      <c r="C9462" t="str">
        <f>"84980"</f>
        <v>84980</v>
      </c>
      <c r="D9462" t="s">
        <v>591</v>
      </c>
      <c r="E9462">
        <v>27.41</v>
      </c>
      <c r="F9462">
        <v>20140514</v>
      </c>
      <c r="G9462" t="s">
        <v>840</v>
      </c>
      <c r="H9462" t="s">
        <v>4344</v>
      </c>
      <c r="I9462" t="s">
        <v>21</v>
      </c>
    </row>
    <row r="9463" spans="1:9" x14ac:dyDescent="0.25">
      <c r="A9463">
        <v>20140515</v>
      </c>
      <c r="B9463" t="str">
        <f>"115770"</f>
        <v>115770</v>
      </c>
      <c r="C9463" t="str">
        <f>"86799"</f>
        <v>86799</v>
      </c>
      <c r="D9463" t="s">
        <v>4345</v>
      </c>
      <c r="E9463">
        <v>202.5</v>
      </c>
      <c r="F9463">
        <v>20140514</v>
      </c>
      <c r="G9463" t="s">
        <v>48</v>
      </c>
      <c r="H9463" t="s">
        <v>4346</v>
      </c>
      <c r="I9463" t="s">
        <v>25</v>
      </c>
    </row>
    <row r="9464" spans="1:9" x14ac:dyDescent="0.25">
      <c r="A9464">
        <v>20140515</v>
      </c>
      <c r="B9464" t="str">
        <f>"115771"</f>
        <v>115771</v>
      </c>
      <c r="C9464" t="str">
        <f>"87385"</f>
        <v>87385</v>
      </c>
      <c r="D9464" t="s">
        <v>1089</v>
      </c>
      <c r="E9464">
        <v>331.99</v>
      </c>
      <c r="F9464">
        <v>20140514</v>
      </c>
      <c r="G9464" t="s">
        <v>630</v>
      </c>
      <c r="H9464" t="s">
        <v>414</v>
      </c>
      <c r="I9464" t="s">
        <v>21</v>
      </c>
    </row>
    <row r="9465" spans="1:9" x14ac:dyDescent="0.25">
      <c r="A9465">
        <v>20140515</v>
      </c>
      <c r="B9465" t="str">
        <f>"115771"</f>
        <v>115771</v>
      </c>
      <c r="C9465" t="str">
        <f>"87385"</f>
        <v>87385</v>
      </c>
      <c r="D9465" t="s">
        <v>1089</v>
      </c>
      <c r="E9465">
        <v>-3.31</v>
      </c>
      <c r="F9465">
        <v>20140515</v>
      </c>
      <c r="G9465" t="s">
        <v>630</v>
      </c>
      <c r="H9465" t="s">
        <v>4347</v>
      </c>
      <c r="I9465" t="s">
        <v>21</v>
      </c>
    </row>
    <row r="9466" spans="1:9" x14ac:dyDescent="0.25">
      <c r="A9466">
        <v>20140515</v>
      </c>
      <c r="B9466" t="str">
        <f>"115772"</f>
        <v>115772</v>
      </c>
      <c r="C9466" t="str">
        <f>"85401"</f>
        <v>85401</v>
      </c>
      <c r="D9466" t="s">
        <v>4348</v>
      </c>
      <c r="E9466">
        <v>300</v>
      </c>
      <c r="F9466">
        <v>20140514</v>
      </c>
      <c r="G9466" t="s">
        <v>506</v>
      </c>
      <c r="H9466" t="s">
        <v>4349</v>
      </c>
      <c r="I9466" t="s">
        <v>21</v>
      </c>
    </row>
    <row r="9467" spans="1:9" x14ac:dyDescent="0.25">
      <c r="A9467">
        <v>20140515</v>
      </c>
      <c r="B9467" t="str">
        <f>"115773"</f>
        <v>115773</v>
      </c>
      <c r="C9467" t="str">
        <f>"83880"</f>
        <v>83880</v>
      </c>
      <c r="D9467" t="s">
        <v>865</v>
      </c>
      <c r="E9467" s="1">
        <v>1089.3399999999999</v>
      </c>
      <c r="F9467">
        <v>20140514</v>
      </c>
      <c r="G9467" t="s">
        <v>41</v>
      </c>
      <c r="H9467" t="s">
        <v>354</v>
      </c>
      <c r="I9467" t="s">
        <v>38</v>
      </c>
    </row>
    <row r="9468" spans="1:9" x14ac:dyDescent="0.25">
      <c r="A9468">
        <v>20140515</v>
      </c>
      <c r="B9468" t="str">
        <f>"115774"</f>
        <v>115774</v>
      </c>
      <c r="C9468" t="str">
        <f>"35250"</f>
        <v>35250</v>
      </c>
      <c r="D9468" t="s">
        <v>4081</v>
      </c>
      <c r="E9468">
        <v>55</v>
      </c>
      <c r="F9468">
        <v>20140508</v>
      </c>
      <c r="G9468" t="s">
        <v>3430</v>
      </c>
      <c r="H9468" t="s">
        <v>765</v>
      </c>
      <c r="I9468" t="s">
        <v>61</v>
      </c>
    </row>
    <row r="9469" spans="1:9" x14ac:dyDescent="0.25">
      <c r="A9469">
        <v>20140515</v>
      </c>
      <c r="B9469" t="str">
        <f>"115774"</f>
        <v>115774</v>
      </c>
      <c r="C9469" t="str">
        <f>"35250"</f>
        <v>35250</v>
      </c>
      <c r="D9469" t="s">
        <v>4081</v>
      </c>
      <c r="E9469">
        <v>170.71</v>
      </c>
      <c r="F9469">
        <v>20140508</v>
      </c>
      <c r="G9469" t="s">
        <v>1846</v>
      </c>
      <c r="H9469" t="s">
        <v>765</v>
      </c>
      <c r="I9469" t="s">
        <v>63</v>
      </c>
    </row>
    <row r="9470" spans="1:9" x14ac:dyDescent="0.25">
      <c r="A9470">
        <v>20140515</v>
      </c>
      <c r="B9470" t="str">
        <f>"115775"</f>
        <v>115775</v>
      </c>
      <c r="C9470" t="str">
        <f>"87764"</f>
        <v>87764</v>
      </c>
      <c r="D9470" t="s">
        <v>3664</v>
      </c>
      <c r="E9470" s="1">
        <v>2388.7600000000002</v>
      </c>
      <c r="F9470">
        <v>20140514</v>
      </c>
      <c r="G9470" t="s">
        <v>202</v>
      </c>
      <c r="H9470" t="s">
        <v>4350</v>
      </c>
      <c r="I9470" t="s">
        <v>12</v>
      </c>
    </row>
    <row r="9471" spans="1:9" x14ac:dyDescent="0.25">
      <c r="A9471">
        <v>20140515</v>
      </c>
      <c r="B9471" t="str">
        <f>"115776"</f>
        <v>115776</v>
      </c>
      <c r="C9471" t="str">
        <f>"35337"</f>
        <v>35337</v>
      </c>
      <c r="D9471" t="s">
        <v>599</v>
      </c>
      <c r="E9471">
        <v>68.489999999999995</v>
      </c>
      <c r="F9471">
        <v>20140513</v>
      </c>
      <c r="G9471" t="s">
        <v>498</v>
      </c>
      <c r="H9471" t="s">
        <v>499</v>
      </c>
      <c r="I9471" t="s">
        <v>21</v>
      </c>
    </row>
    <row r="9472" spans="1:9" x14ac:dyDescent="0.25">
      <c r="A9472">
        <v>20140515</v>
      </c>
      <c r="B9472" t="str">
        <f>"115777"</f>
        <v>115777</v>
      </c>
      <c r="C9472" t="str">
        <f>"35350"</f>
        <v>35350</v>
      </c>
      <c r="D9472" t="s">
        <v>4351</v>
      </c>
      <c r="E9472">
        <v>150</v>
      </c>
      <c r="F9472">
        <v>20140514</v>
      </c>
      <c r="G9472" t="s">
        <v>2717</v>
      </c>
      <c r="H9472" t="s">
        <v>2592</v>
      </c>
      <c r="I9472" t="s">
        <v>21</v>
      </c>
    </row>
    <row r="9473" spans="1:9" x14ac:dyDescent="0.25">
      <c r="A9473">
        <v>20140515</v>
      </c>
      <c r="B9473" t="str">
        <f>"115778"</f>
        <v>115778</v>
      </c>
      <c r="C9473" t="str">
        <f>"00268"</f>
        <v>00268</v>
      </c>
      <c r="D9473" t="s">
        <v>1878</v>
      </c>
      <c r="E9473" s="1">
        <v>1792.28</v>
      </c>
      <c r="F9473">
        <v>20140514</v>
      </c>
      <c r="G9473" t="s">
        <v>965</v>
      </c>
      <c r="H9473" t="s">
        <v>921</v>
      </c>
      <c r="I9473" t="s">
        <v>21</v>
      </c>
    </row>
    <row r="9474" spans="1:9" x14ac:dyDescent="0.25">
      <c r="A9474">
        <v>20140515</v>
      </c>
      <c r="B9474" t="str">
        <f>"115779"</f>
        <v>115779</v>
      </c>
      <c r="C9474" t="str">
        <f>"83064"</f>
        <v>83064</v>
      </c>
      <c r="D9474" t="s">
        <v>1760</v>
      </c>
      <c r="E9474">
        <v>137.22999999999999</v>
      </c>
      <c r="F9474">
        <v>20140514</v>
      </c>
      <c r="G9474" t="s">
        <v>637</v>
      </c>
      <c r="H9474" t="s">
        <v>354</v>
      </c>
      <c r="I9474" t="s">
        <v>38</v>
      </c>
    </row>
    <row r="9475" spans="1:9" x14ac:dyDescent="0.25">
      <c r="A9475">
        <v>20140515</v>
      </c>
      <c r="B9475" t="str">
        <f>"115780"</f>
        <v>115780</v>
      </c>
      <c r="C9475" t="str">
        <f>"36960"</f>
        <v>36960</v>
      </c>
      <c r="D9475" t="s">
        <v>871</v>
      </c>
      <c r="E9475">
        <v>575</v>
      </c>
      <c r="F9475">
        <v>20140513</v>
      </c>
      <c r="G9475" t="s">
        <v>1408</v>
      </c>
      <c r="H9475" t="s">
        <v>525</v>
      </c>
      <c r="I9475" t="s">
        <v>12</v>
      </c>
    </row>
    <row r="9476" spans="1:9" x14ac:dyDescent="0.25">
      <c r="A9476">
        <v>20140515</v>
      </c>
      <c r="B9476" t="str">
        <f>"115781"</f>
        <v>115781</v>
      </c>
      <c r="C9476" t="str">
        <f>"84077"</f>
        <v>84077</v>
      </c>
      <c r="D9476" t="s">
        <v>4352</v>
      </c>
      <c r="E9476" s="1">
        <v>1100</v>
      </c>
      <c r="F9476">
        <v>20140514</v>
      </c>
      <c r="G9476" t="s">
        <v>965</v>
      </c>
      <c r="H9476" t="s">
        <v>357</v>
      </c>
      <c r="I9476" t="s">
        <v>21</v>
      </c>
    </row>
    <row r="9477" spans="1:9" x14ac:dyDescent="0.25">
      <c r="A9477">
        <v>20140515</v>
      </c>
      <c r="B9477" t="str">
        <f>"115782"</f>
        <v>115782</v>
      </c>
      <c r="C9477" t="str">
        <f>"40358"</f>
        <v>40358</v>
      </c>
      <c r="D9477" t="s">
        <v>4353</v>
      </c>
      <c r="E9477">
        <v>94.32</v>
      </c>
      <c r="F9477">
        <v>20140514</v>
      </c>
      <c r="G9477" t="s">
        <v>810</v>
      </c>
      <c r="H9477" t="s">
        <v>365</v>
      </c>
      <c r="I9477" t="s">
        <v>66</v>
      </c>
    </row>
    <row r="9478" spans="1:9" x14ac:dyDescent="0.25">
      <c r="A9478">
        <v>20140515</v>
      </c>
      <c r="B9478" t="str">
        <f>"115782"</f>
        <v>115782</v>
      </c>
      <c r="C9478" t="str">
        <f>"40358"</f>
        <v>40358</v>
      </c>
      <c r="D9478" t="s">
        <v>4353</v>
      </c>
      <c r="E9478">
        <v>304.52</v>
      </c>
      <c r="F9478">
        <v>20140514</v>
      </c>
      <c r="G9478" t="s">
        <v>4283</v>
      </c>
      <c r="H9478" t="s">
        <v>354</v>
      </c>
      <c r="I9478" t="s">
        <v>25</v>
      </c>
    </row>
    <row r="9479" spans="1:9" x14ac:dyDescent="0.25">
      <c r="A9479">
        <v>20140515</v>
      </c>
      <c r="B9479" t="str">
        <f>"115783"</f>
        <v>115783</v>
      </c>
      <c r="C9479" t="str">
        <f>"85122"</f>
        <v>85122</v>
      </c>
      <c r="D9479" t="s">
        <v>1103</v>
      </c>
      <c r="E9479">
        <v>57.57</v>
      </c>
      <c r="F9479">
        <v>20140509</v>
      </c>
      <c r="G9479" t="s">
        <v>364</v>
      </c>
      <c r="H9479" t="s">
        <v>365</v>
      </c>
      <c r="I9479" t="s">
        <v>21</v>
      </c>
    </row>
    <row r="9480" spans="1:9" x14ac:dyDescent="0.25">
      <c r="A9480">
        <v>20140515</v>
      </c>
      <c r="B9480" t="str">
        <f>"115784"</f>
        <v>115784</v>
      </c>
      <c r="C9480" t="str">
        <f>"85929"</f>
        <v>85929</v>
      </c>
      <c r="D9480" t="s">
        <v>4354</v>
      </c>
      <c r="E9480">
        <v>24.99</v>
      </c>
      <c r="F9480">
        <v>20140514</v>
      </c>
      <c r="G9480" t="s">
        <v>2441</v>
      </c>
      <c r="H9480" t="s">
        <v>4355</v>
      </c>
      <c r="I9480" t="s">
        <v>21</v>
      </c>
    </row>
    <row r="9481" spans="1:9" x14ac:dyDescent="0.25">
      <c r="A9481">
        <v>20140515</v>
      </c>
      <c r="B9481" t="str">
        <f>"115785"</f>
        <v>115785</v>
      </c>
      <c r="C9481" t="str">
        <f>"84161"</f>
        <v>84161</v>
      </c>
      <c r="D9481" t="s">
        <v>1767</v>
      </c>
      <c r="E9481">
        <v>74.34</v>
      </c>
      <c r="F9481">
        <v>20140513</v>
      </c>
      <c r="G9481" t="s">
        <v>810</v>
      </c>
      <c r="H9481" t="s">
        <v>563</v>
      </c>
      <c r="I9481" t="s">
        <v>66</v>
      </c>
    </row>
    <row r="9482" spans="1:9" x14ac:dyDescent="0.25">
      <c r="A9482">
        <v>20140515</v>
      </c>
      <c r="B9482" t="str">
        <f>"115786"</f>
        <v>115786</v>
      </c>
      <c r="C9482" t="str">
        <f>"41253"</f>
        <v>41253</v>
      </c>
      <c r="D9482" t="s">
        <v>421</v>
      </c>
      <c r="E9482" s="1">
        <v>112970.51</v>
      </c>
      <c r="F9482">
        <v>20140513</v>
      </c>
      <c r="G9482" t="s">
        <v>404</v>
      </c>
      <c r="H9482" t="s">
        <v>913</v>
      </c>
      <c r="I9482" t="s">
        <v>12</v>
      </c>
    </row>
    <row r="9483" spans="1:9" x14ac:dyDescent="0.25">
      <c r="A9483">
        <v>20140515</v>
      </c>
      <c r="B9483" t="str">
        <f>"115786"</f>
        <v>115786</v>
      </c>
      <c r="C9483" t="str">
        <f>"41253"</f>
        <v>41253</v>
      </c>
      <c r="D9483" t="s">
        <v>421</v>
      </c>
      <c r="E9483" s="1">
        <v>10675.47</v>
      </c>
      <c r="F9483">
        <v>20140513</v>
      </c>
      <c r="G9483" t="s">
        <v>1404</v>
      </c>
      <c r="H9483" t="s">
        <v>1456</v>
      </c>
      <c r="I9483" t="s">
        <v>12</v>
      </c>
    </row>
    <row r="9484" spans="1:9" x14ac:dyDescent="0.25">
      <c r="A9484">
        <v>20140515</v>
      </c>
      <c r="B9484" t="str">
        <f>"115787"</f>
        <v>115787</v>
      </c>
      <c r="C9484" t="str">
        <f>"86871"</f>
        <v>86871</v>
      </c>
      <c r="D9484" t="s">
        <v>3410</v>
      </c>
      <c r="E9484" s="1">
        <v>1325</v>
      </c>
      <c r="F9484">
        <v>20140508</v>
      </c>
      <c r="G9484" t="s">
        <v>957</v>
      </c>
      <c r="H9484" t="s">
        <v>4356</v>
      </c>
      <c r="I9484" t="s">
        <v>73</v>
      </c>
    </row>
    <row r="9485" spans="1:9" x14ac:dyDescent="0.25">
      <c r="A9485">
        <v>20140515</v>
      </c>
      <c r="B9485" t="str">
        <f>"115788"</f>
        <v>115788</v>
      </c>
      <c r="C9485" t="str">
        <f>"00204"</f>
        <v>00204</v>
      </c>
      <c r="D9485" t="s">
        <v>1890</v>
      </c>
      <c r="E9485">
        <v>83.9</v>
      </c>
      <c r="F9485">
        <v>20140514</v>
      </c>
      <c r="G9485" t="s">
        <v>2552</v>
      </c>
      <c r="H9485" t="s">
        <v>4357</v>
      </c>
      <c r="I9485" t="s">
        <v>21</v>
      </c>
    </row>
    <row r="9486" spans="1:9" x14ac:dyDescent="0.25">
      <c r="A9486">
        <v>20140515</v>
      </c>
      <c r="B9486" t="str">
        <f>"115789"</f>
        <v>115789</v>
      </c>
      <c r="C9486" t="str">
        <f>"43210"</f>
        <v>43210</v>
      </c>
      <c r="D9486" t="s">
        <v>3677</v>
      </c>
      <c r="E9486">
        <v>95</v>
      </c>
      <c r="F9486">
        <v>20140508</v>
      </c>
      <c r="G9486" t="s">
        <v>1846</v>
      </c>
      <c r="H9486" t="s">
        <v>765</v>
      </c>
      <c r="I9486" t="s">
        <v>63</v>
      </c>
    </row>
    <row r="9487" spans="1:9" x14ac:dyDescent="0.25">
      <c r="A9487">
        <v>20140515</v>
      </c>
      <c r="B9487" t="str">
        <f>"115790"</f>
        <v>115790</v>
      </c>
      <c r="C9487" t="str">
        <f>"87382"</f>
        <v>87382</v>
      </c>
      <c r="D9487" t="s">
        <v>4358</v>
      </c>
      <c r="E9487">
        <v>750.22</v>
      </c>
      <c r="F9487">
        <v>20140514</v>
      </c>
      <c r="G9487" t="s">
        <v>291</v>
      </c>
      <c r="H9487" t="s">
        <v>4359</v>
      </c>
      <c r="I9487" t="s">
        <v>25</v>
      </c>
    </row>
    <row r="9488" spans="1:9" x14ac:dyDescent="0.25">
      <c r="A9488">
        <v>20140515</v>
      </c>
      <c r="B9488" t="str">
        <f>"115791"</f>
        <v>115791</v>
      </c>
      <c r="C9488" t="str">
        <f>"87856"</f>
        <v>87856</v>
      </c>
      <c r="D9488" t="s">
        <v>4360</v>
      </c>
      <c r="E9488">
        <v>179.3</v>
      </c>
      <c r="F9488">
        <v>20140513</v>
      </c>
      <c r="G9488" t="s">
        <v>1846</v>
      </c>
      <c r="H9488" t="s">
        <v>765</v>
      </c>
      <c r="I9488" t="s">
        <v>63</v>
      </c>
    </row>
    <row r="9489" spans="1:9" x14ac:dyDescent="0.25">
      <c r="A9489">
        <v>20140515</v>
      </c>
      <c r="B9489" t="str">
        <f>"115792"</f>
        <v>115792</v>
      </c>
      <c r="C9489" t="str">
        <f>"87473"</f>
        <v>87473</v>
      </c>
      <c r="D9489" t="s">
        <v>160</v>
      </c>
      <c r="E9489">
        <v>730</v>
      </c>
      <c r="F9489">
        <v>20140514</v>
      </c>
      <c r="G9489" t="s">
        <v>965</v>
      </c>
      <c r="H9489" t="s">
        <v>357</v>
      </c>
      <c r="I9489" t="s">
        <v>21</v>
      </c>
    </row>
    <row r="9490" spans="1:9" x14ac:dyDescent="0.25">
      <c r="A9490">
        <v>20140515</v>
      </c>
      <c r="B9490" t="str">
        <f>"115793"</f>
        <v>115793</v>
      </c>
      <c r="C9490" t="str">
        <f>"87473"</f>
        <v>87473</v>
      </c>
      <c r="D9490" t="s">
        <v>160</v>
      </c>
      <c r="E9490">
        <v>400</v>
      </c>
      <c r="F9490">
        <v>20140515</v>
      </c>
      <c r="G9490" t="s">
        <v>910</v>
      </c>
      <c r="H9490" t="s">
        <v>357</v>
      </c>
      <c r="I9490" t="s">
        <v>25</v>
      </c>
    </row>
    <row r="9491" spans="1:9" x14ac:dyDescent="0.25">
      <c r="A9491">
        <v>20140515</v>
      </c>
      <c r="B9491" t="str">
        <f>"115794"</f>
        <v>115794</v>
      </c>
      <c r="C9491" t="str">
        <f>"84239"</f>
        <v>84239</v>
      </c>
      <c r="D9491" t="s">
        <v>632</v>
      </c>
      <c r="E9491">
        <v>229.5</v>
      </c>
      <c r="F9491">
        <v>20140513</v>
      </c>
      <c r="G9491" t="s">
        <v>633</v>
      </c>
      <c r="H9491" t="s">
        <v>634</v>
      </c>
      <c r="I9491" t="s">
        <v>21</v>
      </c>
    </row>
    <row r="9492" spans="1:9" x14ac:dyDescent="0.25">
      <c r="A9492">
        <v>20140515</v>
      </c>
      <c r="B9492" t="str">
        <f>"115795"</f>
        <v>115795</v>
      </c>
      <c r="C9492" t="str">
        <f>"82365"</f>
        <v>82365</v>
      </c>
      <c r="D9492" t="s">
        <v>1477</v>
      </c>
      <c r="E9492" s="1">
        <v>1457.69</v>
      </c>
      <c r="F9492">
        <v>20140509</v>
      </c>
      <c r="G9492" t="s">
        <v>1478</v>
      </c>
      <c r="H9492" t="s">
        <v>4361</v>
      </c>
      <c r="I9492" t="s">
        <v>21</v>
      </c>
    </row>
    <row r="9493" spans="1:9" x14ac:dyDescent="0.25">
      <c r="A9493">
        <v>20140515</v>
      </c>
      <c r="B9493" t="str">
        <f>"115796"</f>
        <v>115796</v>
      </c>
      <c r="C9493" t="str">
        <f>"48820"</f>
        <v>48820</v>
      </c>
      <c r="D9493" t="s">
        <v>1106</v>
      </c>
      <c r="E9493">
        <v>37.74</v>
      </c>
      <c r="F9493">
        <v>20140514</v>
      </c>
      <c r="G9493" t="s">
        <v>1020</v>
      </c>
      <c r="H9493" t="s">
        <v>354</v>
      </c>
      <c r="I9493" t="s">
        <v>21</v>
      </c>
    </row>
    <row r="9494" spans="1:9" x14ac:dyDescent="0.25">
      <c r="A9494">
        <v>20140515</v>
      </c>
      <c r="B9494" t="str">
        <f>"115796"</f>
        <v>115796</v>
      </c>
      <c r="C9494" t="str">
        <f>"48820"</f>
        <v>48820</v>
      </c>
      <c r="D9494" t="s">
        <v>1106</v>
      </c>
      <c r="E9494">
        <v>356.39</v>
      </c>
      <c r="F9494">
        <v>20140514</v>
      </c>
      <c r="G9494" t="s">
        <v>1020</v>
      </c>
      <c r="H9494" t="s">
        <v>354</v>
      </c>
      <c r="I9494" t="s">
        <v>21</v>
      </c>
    </row>
    <row r="9495" spans="1:9" x14ac:dyDescent="0.25">
      <c r="A9495">
        <v>20140515</v>
      </c>
      <c r="B9495" t="str">
        <f>"115796"</f>
        <v>115796</v>
      </c>
      <c r="C9495" t="str">
        <f>"48820"</f>
        <v>48820</v>
      </c>
      <c r="D9495" t="s">
        <v>1106</v>
      </c>
      <c r="E9495">
        <v>126.15</v>
      </c>
      <c r="F9495">
        <v>20140514</v>
      </c>
      <c r="G9495" t="s">
        <v>209</v>
      </c>
      <c r="H9495" t="s">
        <v>354</v>
      </c>
      <c r="I9495" t="s">
        <v>25</v>
      </c>
    </row>
    <row r="9496" spans="1:9" x14ac:dyDescent="0.25">
      <c r="A9496">
        <v>20140515</v>
      </c>
      <c r="B9496" t="str">
        <f>"115796"</f>
        <v>115796</v>
      </c>
      <c r="C9496" t="str">
        <f>"48820"</f>
        <v>48820</v>
      </c>
      <c r="D9496" t="s">
        <v>1106</v>
      </c>
      <c r="E9496">
        <v>104.09</v>
      </c>
      <c r="F9496">
        <v>20140514</v>
      </c>
      <c r="G9496" t="s">
        <v>209</v>
      </c>
      <c r="H9496" t="s">
        <v>354</v>
      </c>
      <c r="I9496" t="s">
        <v>25</v>
      </c>
    </row>
    <row r="9497" spans="1:9" x14ac:dyDescent="0.25">
      <c r="A9497">
        <v>20140515</v>
      </c>
      <c r="B9497" t="str">
        <f>"115796"</f>
        <v>115796</v>
      </c>
      <c r="C9497" t="str">
        <f>"48820"</f>
        <v>48820</v>
      </c>
      <c r="D9497" t="s">
        <v>1106</v>
      </c>
      <c r="E9497">
        <v>207.11</v>
      </c>
      <c r="F9497">
        <v>20140514</v>
      </c>
      <c r="G9497" t="s">
        <v>209</v>
      </c>
      <c r="H9497" t="s">
        <v>354</v>
      </c>
      <c r="I9497" t="s">
        <v>25</v>
      </c>
    </row>
    <row r="9498" spans="1:9" x14ac:dyDescent="0.25">
      <c r="A9498">
        <v>20140515</v>
      </c>
      <c r="B9498" t="str">
        <f>"115797"</f>
        <v>115797</v>
      </c>
      <c r="C9498" t="str">
        <f>"87381"</f>
        <v>87381</v>
      </c>
      <c r="D9498" t="s">
        <v>4362</v>
      </c>
      <c r="E9498">
        <v>200</v>
      </c>
      <c r="F9498">
        <v>20140515</v>
      </c>
      <c r="G9498" t="s">
        <v>291</v>
      </c>
      <c r="H9498" t="s">
        <v>4363</v>
      </c>
      <c r="I9498" t="s">
        <v>25</v>
      </c>
    </row>
    <row r="9499" spans="1:9" x14ac:dyDescent="0.25">
      <c r="A9499">
        <v>20140515</v>
      </c>
      <c r="B9499" t="str">
        <f>"115798"</f>
        <v>115798</v>
      </c>
      <c r="C9499" t="str">
        <f>"87404"</f>
        <v>87404</v>
      </c>
      <c r="D9499" t="s">
        <v>1108</v>
      </c>
      <c r="E9499">
        <v>9.8800000000000008</v>
      </c>
      <c r="F9499">
        <v>20140513</v>
      </c>
      <c r="G9499" t="s">
        <v>426</v>
      </c>
      <c r="H9499" t="s">
        <v>968</v>
      </c>
      <c r="I9499" t="s">
        <v>21</v>
      </c>
    </row>
    <row r="9500" spans="1:9" x14ac:dyDescent="0.25">
      <c r="A9500">
        <v>20140515</v>
      </c>
      <c r="B9500" t="str">
        <f>"115799"</f>
        <v>115799</v>
      </c>
      <c r="C9500" t="str">
        <f>"87404"</f>
        <v>87404</v>
      </c>
      <c r="D9500" t="s">
        <v>1108</v>
      </c>
      <c r="E9500">
        <v>9.85</v>
      </c>
      <c r="F9500">
        <v>20140513</v>
      </c>
      <c r="G9500" t="s">
        <v>426</v>
      </c>
      <c r="H9500" t="s">
        <v>968</v>
      </c>
      <c r="I9500" t="s">
        <v>21</v>
      </c>
    </row>
    <row r="9501" spans="1:9" x14ac:dyDescent="0.25">
      <c r="A9501">
        <v>20140515</v>
      </c>
      <c r="B9501" t="str">
        <f>"115800"</f>
        <v>115800</v>
      </c>
      <c r="C9501" t="str">
        <f>"87404"</f>
        <v>87404</v>
      </c>
      <c r="D9501" t="s">
        <v>1108</v>
      </c>
      <c r="E9501">
        <v>7.28</v>
      </c>
      <c r="F9501">
        <v>20140513</v>
      </c>
      <c r="G9501" t="s">
        <v>426</v>
      </c>
      <c r="H9501" t="s">
        <v>968</v>
      </c>
      <c r="I9501" t="s">
        <v>21</v>
      </c>
    </row>
    <row r="9502" spans="1:9" x14ac:dyDescent="0.25">
      <c r="A9502">
        <v>20140515</v>
      </c>
      <c r="B9502" t="str">
        <f>"115801"</f>
        <v>115801</v>
      </c>
      <c r="C9502" t="str">
        <f>"87404"</f>
        <v>87404</v>
      </c>
      <c r="D9502" t="s">
        <v>1108</v>
      </c>
      <c r="E9502">
        <v>7.28</v>
      </c>
      <c r="F9502">
        <v>20140513</v>
      </c>
      <c r="G9502" t="s">
        <v>426</v>
      </c>
      <c r="H9502" t="s">
        <v>968</v>
      </c>
      <c r="I9502" t="s">
        <v>21</v>
      </c>
    </row>
    <row r="9503" spans="1:9" x14ac:dyDescent="0.25">
      <c r="A9503">
        <v>20140515</v>
      </c>
      <c r="B9503" t="str">
        <f>"115802"</f>
        <v>115802</v>
      </c>
      <c r="C9503" t="str">
        <f>"84733"</f>
        <v>84733</v>
      </c>
      <c r="D9503" t="s">
        <v>4364</v>
      </c>
      <c r="E9503" s="1">
        <v>2660</v>
      </c>
      <c r="F9503">
        <v>20140515</v>
      </c>
      <c r="G9503" t="s">
        <v>2203</v>
      </c>
      <c r="H9503" t="s">
        <v>4365</v>
      </c>
      <c r="I9503" t="s">
        <v>21</v>
      </c>
    </row>
    <row r="9504" spans="1:9" x14ac:dyDescent="0.25">
      <c r="A9504">
        <v>20140515</v>
      </c>
      <c r="B9504" t="str">
        <f>"115802"</f>
        <v>115802</v>
      </c>
      <c r="C9504" t="str">
        <f>"84733"</f>
        <v>84733</v>
      </c>
      <c r="D9504" t="s">
        <v>4364</v>
      </c>
      <c r="E9504" s="1">
        <v>-2660</v>
      </c>
      <c r="F9504">
        <v>20140516</v>
      </c>
      <c r="G9504" t="s">
        <v>2203</v>
      </c>
      <c r="H9504" t="s">
        <v>1706</v>
      </c>
      <c r="I9504" t="s">
        <v>21</v>
      </c>
    </row>
    <row r="9505" spans="1:9" x14ac:dyDescent="0.25">
      <c r="A9505">
        <v>20140515</v>
      </c>
      <c r="B9505" t="str">
        <f>"115803"</f>
        <v>115803</v>
      </c>
      <c r="C9505" t="str">
        <f>"85760"</f>
        <v>85760</v>
      </c>
      <c r="D9505" t="s">
        <v>1485</v>
      </c>
      <c r="E9505">
        <v>70.2</v>
      </c>
      <c r="F9505">
        <v>20140514</v>
      </c>
      <c r="G9505" t="s">
        <v>140</v>
      </c>
      <c r="H9505" t="s">
        <v>4366</v>
      </c>
      <c r="I9505" t="s">
        <v>25</v>
      </c>
    </row>
    <row r="9506" spans="1:9" x14ac:dyDescent="0.25">
      <c r="A9506">
        <v>20140515</v>
      </c>
      <c r="B9506" t="str">
        <f>"115804"</f>
        <v>115804</v>
      </c>
      <c r="C9506" t="str">
        <f>"86593"</f>
        <v>86593</v>
      </c>
      <c r="D9506" t="s">
        <v>4367</v>
      </c>
      <c r="E9506">
        <v>386.4</v>
      </c>
      <c r="F9506">
        <v>20140508</v>
      </c>
      <c r="G9506" t="s">
        <v>1846</v>
      </c>
      <c r="H9506" t="s">
        <v>765</v>
      </c>
      <c r="I9506" t="s">
        <v>63</v>
      </c>
    </row>
    <row r="9507" spans="1:9" x14ac:dyDescent="0.25">
      <c r="A9507">
        <v>20140515</v>
      </c>
      <c r="B9507" t="str">
        <f>"115805"</f>
        <v>115805</v>
      </c>
      <c r="C9507" t="str">
        <f>"87855"</f>
        <v>87855</v>
      </c>
      <c r="D9507" t="s">
        <v>4368</v>
      </c>
      <c r="E9507">
        <v>14.85</v>
      </c>
      <c r="F9507">
        <v>20140513</v>
      </c>
      <c r="G9507" t="s">
        <v>410</v>
      </c>
      <c r="H9507" t="s">
        <v>411</v>
      </c>
      <c r="I9507" t="s">
        <v>12</v>
      </c>
    </row>
    <row r="9508" spans="1:9" x14ac:dyDescent="0.25">
      <c r="A9508">
        <v>20140515</v>
      </c>
      <c r="B9508" t="str">
        <f>"115806"</f>
        <v>115806</v>
      </c>
      <c r="C9508" t="str">
        <f>"87837"</f>
        <v>87837</v>
      </c>
      <c r="D9508" t="s">
        <v>4369</v>
      </c>
      <c r="E9508" s="1">
        <v>2738.4</v>
      </c>
      <c r="F9508">
        <v>20140512</v>
      </c>
      <c r="G9508" t="s">
        <v>4370</v>
      </c>
      <c r="H9508" t="s">
        <v>1228</v>
      </c>
      <c r="I9508" t="s">
        <v>21</v>
      </c>
    </row>
    <row r="9509" spans="1:9" x14ac:dyDescent="0.25">
      <c r="A9509">
        <v>20140515</v>
      </c>
      <c r="B9509" t="str">
        <f>"115806"</f>
        <v>115806</v>
      </c>
      <c r="C9509" t="str">
        <f>"87837"</f>
        <v>87837</v>
      </c>
      <c r="D9509" t="s">
        <v>4369</v>
      </c>
      <c r="E9509">
        <v>831.6</v>
      </c>
      <c r="F9509">
        <v>20140512</v>
      </c>
      <c r="G9509" t="s">
        <v>4371</v>
      </c>
      <c r="H9509" t="s">
        <v>1228</v>
      </c>
      <c r="I9509" t="s">
        <v>66</v>
      </c>
    </row>
    <row r="9510" spans="1:9" x14ac:dyDescent="0.25">
      <c r="A9510">
        <v>20140515</v>
      </c>
      <c r="B9510" t="str">
        <f>"115807"</f>
        <v>115807</v>
      </c>
      <c r="C9510" t="str">
        <f>"87626"</f>
        <v>87626</v>
      </c>
      <c r="D9510" t="s">
        <v>2864</v>
      </c>
      <c r="E9510" s="1">
        <v>3654.11</v>
      </c>
      <c r="F9510">
        <v>20140512</v>
      </c>
      <c r="G9510" t="s">
        <v>1504</v>
      </c>
      <c r="H9510" t="s">
        <v>4372</v>
      </c>
      <c r="I9510" t="s">
        <v>21</v>
      </c>
    </row>
    <row r="9511" spans="1:9" x14ac:dyDescent="0.25">
      <c r="A9511">
        <v>20140515</v>
      </c>
      <c r="B9511" t="str">
        <f>"115808"</f>
        <v>115808</v>
      </c>
      <c r="C9511" t="str">
        <f>"87849"</f>
        <v>87849</v>
      </c>
      <c r="D9511" t="s">
        <v>4373</v>
      </c>
      <c r="E9511">
        <v>32.75</v>
      </c>
      <c r="F9511">
        <v>20140513</v>
      </c>
      <c r="G9511" t="s">
        <v>202</v>
      </c>
      <c r="H9511" t="s">
        <v>4374</v>
      </c>
      <c r="I9511" t="s">
        <v>12</v>
      </c>
    </row>
    <row r="9512" spans="1:9" x14ac:dyDescent="0.25">
      <c r="A9512">
        <v>20140515</v>
      </c>
      <c r="B9512" t="str">
        <f>"115809"</f>
        <v>115809</v>
      </c>
      <c r="C9512" t="str">
        <f>"52518"</f>
        <v>52518</v>
      </c>
      <c r="D9512" t="s">
        <v>647</v>
      </c>
      <c r="E9512" s="1">
        <v>1165.8800000000001</v>
      </c>
      <c r="F9512">
        <v>20140513</v>
      </c>
      <c r="G9512" t="s">
        <v>498</v>
      </c>
      <c r="H9512" t="s">
        <v>499</v>
      </c>
      <c r="I9512" t="s">
        <v>21</v>
      </c>
    </row>
    <row r="9513" spans="1:9" x14ac:dyDescent="0.25">
      <c r="A9513">
        <v>20140515</v>
      </c>
      <c r="B9513" t="str">
        <f>"115809"</f>
        <v>115809</v>
      </c>
      <c r="C9513" t="str">
        <f>"52518"</f>
        <v>52518</v>
      </c>
      <c r="D9513" t="s">
        <v>647</v>
      </c>
      <c r="E9513">
        <v>530.85</v>
      </c>
      <c r="F9513">
        <v>20140513</v>
      </c>
      <c r="G9513" t="s">
        <v>496</v>
      </c>
      <c r="H9513" t="s">
        <v>414</v>
      </c>
      <c r="I9513" t="s">
        <v>21</v>
      </c>
    </row>
    <row r="9514" spans="1:9" x14ac:dyDescent="0.25">
      <c r="A9514">
        <v>20140515</v>
      </c>
      <c r="B9514" t="str">
        <f>"115809"</f>
        <v>115809</v>
      </c>
      <c r="C9514" t="str">
        <f>"52518"</f>
        <v>52518</v>
      </c>
      <c r="D9514" t="s">
        <v>647</v>
      </c>
      <c r="E9514">
        <v>64.97</v>
      </c>
      <c r="F9514">
        <v>20140513</v>
      </c>
      <c r="G9514" t="s">
        <v>392</v>
      </c>
      <c r="H9514" t="s">
        <v>414</v>
      </c>
      <c r="I9514" t="s">
        <v>21</v>
      </c>
    </row>
    <row r="9515" spans="1:9" x14ac:dyDescent="0.25">
      <c r="A9515">
        <v>20140515</v>
      </c>
      <c r="B9515" t="str">
        <f>"115810"</f>
        <v>115810</v>
      </c>
      <c r="C9515" t="str">
        <f>"82978"</f>
        <v>82978</v>
      </c>
      <c r="D9515" t="s">
        <v>2245</v>
      </c>
      <c r="E9515">
        <v>15.68</v>
      </c>
      <c r="F9515">
        <v>20140512</v>
      </c>
      <c r="G9515" t="s">
        <v>840</v>
      </c>
      <c r="H9515" t="s">
        <v>4375</v>
      </c>
      <c r="I9515" t="s">
        <v>21</v>
      </c>
    </row>
    <row r="9516" spans="1:9" x14ac:dyDescent="0.25">
      <c r="A9516">
        <v>20140515</v>
      </c>
      <c r="B9516" t="str">
        <f>"115810"</f>
        <v>115810</v>
      </c>
      <c r="C9516" t="str">
        <f>"82978"</f>
        <v>82978</v>
      </c>
      <c r="D9516" t="s">
        <v>2245</v>
      </c>
      <c r="E9516" s="1">
        <v>1160.99</v>
      </c>
      <c r="F9516">
        <v>20140514</v>
      </c>
      <c r="G9516" t="s">
        <v>840</v>
      </c>
      <c r="H9516" t="s">
        <v>4376</v>
      </c>
      <c r="I9516" t="s">
        <v>21</v>
      </c>
    </row>
    <row r="9517" spans="1:9" x14ac:dyDescent="0.25">
      <c r="A9517">
        <v>20140515</v>
      </c>
      <c r="B9517" t="str">
        <f>"115811"</f>
        <v>115811</v>
      </c>
      <c r="C9517" t="str">
        <f>"58585"</f>
        <v>58585</v>
      </c>
      <c r="D9517" t="s">
        <v>1913</v>
      </c>
      <c r="E9517">
        <v>299.44</v>
      </c>
      <c r="F9517">
        <v>20140514</v>
      </c>
      <c r="G9517" t="s">
        <v>583</v>
      </c>
      <c r="H9517" t="s">
        <v>4377</v>
      </c>
      <c r="I9517" t="s">
        <v>21</v>
      </c>
    </row>
    <row r="9518" spans="1:9" x14ac:dyDescent="0.25">
      <c r="A9518">
        <v>20140515</v>
      </c>
      <c r="B9518" t="str">
        <f>"115812"</f>
        <v>115812</v>
      </c>
      <c r="C9518" t="str">
        <f>"59725"</f>
        <v>59725</v>
      </c>
      <c r="D9518" t="s">
        <v>674</v>
      </c>
      <c r="E9518">
        <v>223.35</v>
      </c>
      <c r="F9518">
        <v>20140513</v>
      </c>
      <c r="G9518" t="s">
        <v>415</v>
      </c>
      <c r="H9518" t="s">
        <v>414</v>
      </c>
      <c r="I9518" t="s">
        <v>21</v>
      </c>
    </row>
    <row r="9519" spans="1:9" x14ac:dyDescent="0.25">
      <c r="A9519">
        <v>20140515</v>
      </c>
      <c r="B9519" t="str">
        <f>"115813"</f>
        <v>115813</v>
      </c>
      <c r="C9519" t="str">
        <f>"86796"</f>
        <v>86796</v>
      </c>
      <c r="D9519" t="s">
        <v>938</v>
      </c>
      <c r="E9519">
        <v>250</v>
      </c>
      <c r="F9519">
        <v>20140514</v>
      </c>
      <c r="G9519" t="s">
        <v>506</v>
      </c>
      <c r="H9519" t="s">
        <v>3047</v>
      </c>
      <c r="I9519" t="s">
        <v>21</v>
      </c>
    </row>
    <row r="9520" spans="1:9" x14ac:dyDescent="0.25">
      <c r="A9520">
        <v>20140515</v>
      </c>
      <c r="B9520" t="str">
        <f>"115814"</f>
        <v>115814</v>
      </c>
      <c r="C9520" t="str">
        <f>"60705"</f>
        <v>60705</v>
      </c>
      <c r="D9520" t="s">
        <v>1502</v>
      </c>
      <c r="E9520">
        <v>114.41</v>
      </c>
      <c r="F9520">
        <v>20140514</v>
      </c>
      <c r="G9520" t="s">
        <v>140</v>
      </c>
      <c r="H9520" t="s">
        <v>1427</v>
      </c>
      <c r="I9520" t="s">
        <v>25</v>
      </c>
    </row>
    <row r="9521" spans="1:9" x14ac:dyDescent="0.25">
      <c r="A9521">
        <v>20140515</v>
      </c>
      <c r="B9521" t="str">
        <f>"115814"</f>
        <v>115814</v>
      </c>
      <c r="C9521" t="str">
        <f>"60705"</f>
        <v>60705</v>
      </c>
      <c r="D9521" t="s">
        <v>1502</v>
      </c>
      <c r="E9521">
        <v>18.34</v>
      </c>
      <c r="F9521">
        <v>20140514</v>
      </c>
      <c r="G9521" t="s">
        <v>140</v>
      </c>
      <c r="H9521" t="s">
        <v>1427</v>
      </c>
      <c r="I9521" t="s">
        <v>25</v>
      </c>
    </row>
    <row r="9522" spans="1:9" x14ac:dyDescent="0.25">
      <c r="A9522">
        <v>20140515</v>
      </c>
      <c r="B9522" t="str">
        <f>"115815"</f>
        <v>115815</v>
      </c>
      <c r="C9522" t="str">
        <f>"00371"</f>
        <v>00371</v>
      </c>
      <c r="D9522" t="s">
        <v>4378</v>
      </c>
      <c r="E9522">
        <v>25</v>
      </c>
      <c r="F9522">
        <v>20140513</v>
      </c>
      <c r="G9522" t="s">
        <v>935</v>
      </c>
      <c r="H9522" t="s">
        <v>4379</v>
      </c>
      <c r="I9522" t="s">
        <v>21</v>
      </c>
    </row>
    <row r="9523" spans="1:9" x14ac:dyDescent="0.25">
      <c r="A9523">
        <v>20140515</v>
      </c>
      <c r="B9523" t="str">
        <f>"115816"</f>
        <v>115816</v>
      </c>
      <c r="C9523" t="str">
        <f>"87852"</f>
        <v>87852</v>
      </c>
      <c r="D9523" t="s">
        <v>4380</v>
      </c>
      <c r="E9523">
        <v>411.76</v>
      </c>
      <c r="F9523">
        <v>20140508</v>
      </c>
      <c r="G9523" t="s">
        <v>1846</v>
      </c>
      <c r="H9523" t="s">
        <v>765</v>
      </c>
      <c r="I9523" t="s">
        <v>63</v>
      </c>
    </row>
    <row r="9524" spans="1:9" x14ac:dyDescent="0.25">
      <c r="A9524">
        <v>20140515</v>
      </c>
      <c r="B9524" t="str">
        <f>"115817"</f>
        <v>115817</v>
      </c>
      <c r="C9524" t="str">
        <f>"84597"</f>
        <v>84597</v>
      </c>
      <c r="D9524" t="s">
        <v>1508</v>
      </c>
      <c r="E9524">
        <v>499.92</v>
      </c>
      <c r="F9524">
        <v>20140513</v>
      </c>
      <c r="G9524" t="s">
        <v>498</v>
      </c>
      <c r="H9524" t="s">
        <v>499</v>
      </c>
      <c r="I9524" t="s">
        <v>21</v>
      </c>
    </row>
    <row r="9525" spans="1:9" x14ac:dyDescent="0.25">
      <c r="A9525">
        <v>20140515</v>
      </c>
      <c r="B9525" t="str">
        <f>"115818"</f>
        <v>115818</v>
      </c>
      <c r="C9525" t="str">
        <f>"85577"</f>
        <v>85577</v>
      </c>
      <c r="D9525" t="s">
        <v>4381</v>
      </c>
      <c r="E9525">
        <v>140</v>
      </c>
      <c r="F9525">
        <v>20140508</v>
      </c>
      <c r="G9525" t="s">
        <v>1153</v>
      </c>
      <c r="H9525" t="s">
        <v>3047</v>
      </c>
      <c r="I9525" t="s">
        <v>61</v>
      </c>
    </row>
    <row r="9526" spans="1:9" x14ac:dyDescent="0.25">
      <c r="A9526">
        <v>20140515</v>
      </c>
      <c r="B9526" t="str">
        <f>"115818"</f>
        <v>115818</v>
      </c>
      <c r="C9526" t="str">
        <f>"85577"</f>
        <v>85577</v>
      </c>
      <c r="D9526" t="s">
        <v>4381</v>
      </c>
      <c r="E9526">
        <v>140</v>
      </c>
      <c r="F9526">
        <v>20140508</v>
      </c>
      <c r="G9526" t="s">
        <v>1153</v>
      </c>
      <c r="H9526" t="s">
        <v>3047</v>
      </c>
      <c r="I9526" t="s">
        <v>61</v>
      </c>
    </row>
    <row r="9527" spans="1:9" x14ac:dyDescent="0.25">
      <c r="A9527">
        <v>20140515</v>
      </c>
      <c r="B9527" t="str">
        <f>"115818"</f>
        <v>115818</v>
      </c>
      <c r="C9527" t="str">
        <f>"85577"</f>
        <v>85577</v>
      </c>
      <c r="D9527" t="s">
        <v>4381</v>
      </c>
      <c r="E9527">
        <v>140</v>
      </c>
      <c r="F9527">
        <v>20140508</v>
      </c>
      <c r="G9527" t="s">
        <v>1153</v>
      </c>
      <c r="H9527" t="s">
        <v>3047</v>
      </c>
      <c r="I9527" t="s">
        <v>61</v>
      </c>
    </row>
    <row r="9528" spans="1:9" x14ac:dyDescent="0.25">
      <c r="A9528">
        <v>20140515</v>
      </c>
      <c r="B9528" t="str">
        <f>"115818"</f>
        <v>115818</v>
      </c>
      <c r="C9528" t="str">
        <f>"85577"</f>
        <v>85577</v>
      </c>
      <c r="D9528" t="s">
        <v>4381</v>
      </c>
      <c r="E9528">
        <v>140</v>
      </c>
      <c r="F9528">
        <v>20140508</v>
      </c>
      <c r="G9528" t="s">
        <v>1153</v>
      </c>
      <c r="H9528" t="s">
        <v>3047</v>
      </c>
      <c r="I9528" t="s">
        <v>61</v>
      </c>
    </row>
    <row r="9529" spans="1:9" x14ac:dyDescent="0.25">
      <c r="A9529">
        <v>20140515</v>
      </c>
      <c r="B9529" t="str">
        <f>"115819"</f>
        <v>115819</v>
      </c>
      <c r="C9529" t="str">
        <f>"85577"</f>
        <v>85577</v>
      </c>
      <c r="D9529" t="s">
        <v>4381</v>
      </c>
      <c r="E9529">
        <v>160</v>
      </c>
      <c r="F9529">
        <v>20140514</v>
      </c>
      <c r="G9529" t="s">
        <v>1153</v>
      </c>
      <c r="H9529" t="s">
        <v>3047</v>
      </c>
      <c r="I9529" t="s">
        <v>61</v>
      </c>
    </row>
    <row r="9530" spans="1:9" x14ac:dyDescent="0.25">
      <c r="A9530">
        <v>20140515</v>
      </c>
      <c r="B9530" t="str">
        <f>"115820"</f>
        <v>115820</v>
      </c>
      <c r="C9530" t="str">
        <f>"62451"</f>
        <v>62451</v>
      </c>
      <c r="D9530" t="s">
        <v>1797</v>
      </c>
      <c r="E9530" s="1">
        <v>3387.8</v>
      </c>
      <c r="F9530">
        <v>20140513</v>
      </c>
      <c r="G9530" t="s">
        <v>214</v>
      </c>
      <c r="H9530" t="s">
        <v>1798</v>
      </c>
      <c r="I9530" t="s">
        <v>38</v>
      </c>
    </row>
    <row r="9531" spans="1:9" x14ac:dyDescent="0.25">
      <c r="A9531">
        <v>20140515</v>
      </c>
      <c r="B9531" t="str">
        <f>"115821"</f>
        <v>115821</v>
      </c>
      <c r="C9531" t="str">
        <f>"62450"</f>
        <v>62450</v>
      </c>
      <c r="D9531" t="s">
        <v>683</v>
      </c>
      <c r="E9531">
        <v>52</v>
      </c>
      <c r="F9531">
        <v>20140513</v>
      </c>
      <c r="G9531" t="s">
        <v>2677</v>
      </c>
      <c r="H9531" t="s">
        <v>607</v>
      </c>
      <c r="I9531" t="s">
        <v>21</v>
      </c>
    </row>
    <row r="9532" spans="1:9" x14ac:dyDescent="0.25">
      <c r="A9532">
        <v>20140515</v>
      </c>
      <c r="B9532" t="str">
        <f>"115821"</f>
        <v>115821</v>
      </c>
      <c r="C9532" t="str">
        <f>"62450"</f>
        <v>62450</v>
      </c>
      <c r="D9532" t="s">
        <v>683</v>
      </c>
      <c r="E9532">
        <v>26</v>
      </c>
      <c r="F9532">
        <v>20140513</v>
      </c>
      <c r="G9532" t="s">
        <v>2677</v>
      </c>
      <c r="H9532" t="s">
        <v>607</v>
      </c>
      <c r="I9532" t="s">
        <v>21</v>
      </c>
    </row>
    <row r="9533" spans="1:9" x14ac:dyDescent="0.25">
      <c r="A9533">
        <v>20140515</v>
      </c>
      <c r="B9533" t="str">
        <f>"115821"</f>
        <v>115821</v>
      </c>
      <c r="C9533" t="str">
        <f>"62450"</f>
        <v>62450</v>
      </c>
      <c r="D9533" t="s">
        <v>683</v>
      </c>
      <c r="E9533">
        <v>154</v>
      </c>
      <c r="F9533">
        <v>20140513</v>
      </c>
      <c r="G9533" t="s">
        <v>2677</v>
      </c>
      <c r="H9533" t="s">
        <v>607</v>
      </c>
      <c r="I9533" t="s">
        <v>21</v>
      </c>
    </row>
    <row r="9534" spans="1:9" x14ac:dyDescent="0.25">
      <c r="A9534">
        <v>20140515</v>
      </c>
      <c r="B9534" t="str">
        <f>"115822"</f>
        <v>115822</v>
      </c>
      <c r="C9534" t="str">
        <f>"62900"</f>
        <v>62900</v>
      </c>
      <c r="D9534" t="s">
        <v>1293</v>
      </c>
      <c r="E9534">
        <v>771.24</v>
      </c>
      <c r="F9534">
        <v>20140514</v>
      </c>
      <c r="G9534" t="s">
        <v>214</v>
      </c>
      <c r="H9534" t="s">
        <v>4382</v>
      </c>
      <c r="I9534" t="s">
        <v>38</v>
      </c>
    </row>
    <row r="9535" spans="1:9" x14ac:dyDescent="0.25">
      <c r="A9535">
        <v>20140515</v>
      </c>
      <c r="B9535" t="str">
        <f>"115823"</f>
        <v>115823</v>
      </c>
      <c r="C9535" t="str">
        <f>"64500"</f>
        <v>64500</v>
      </c>
      <c r="D9535" t="s">
        <v>949</v>
      </c>
      <c r="E9535">
        <v>29.04</v>
      </c>
      <c r="F9535">
        <v>20140513</v>
      </c>
      <c r="G9535" t="s">
        <v>3820</v>
      </c>
      <c r="H9535" t="s">
        <v>414</v>
      </c>
      <c r="I9535" t="s">
        <v>21</v>
      </c>
    </row>
    <row r="9536" spans="1:9" x14ac:dyDescent="0.25">
      <c r="A9536">
        <v>20140515</v>
      </c>
      <c r="B9536" t="str">
        <f>"115824"</f>
        <v>115824</v>
      </c>
      <c r="C9536" t="str">
        <f>"86636"</f>
        <v>86636</v>
      </c>
      <c r="D9536" t="s">
        <v>2600</v>
      </c>
      <c r="E9536">
        <v>150</v>
      </c>
      <c r="F9536">
        <v>20140514</v>
      </c>
      <c r="G9536" t="s">
        <v>2717</v>
      </c>
      <c r="H9536" t="s">
        <v>2592</v>
      </c>
      <c r="I9536" t="s">
        <v>21</v>
      </c>
    </row>
    <row r="9537" spans="1:9" x14ac:dyDescent="0.25">
      <c r="A9537">
        <v>20140515</v>
      </c>
      <c r="B9537" t="str">
        <f>"115825"</f>
        <v>115825</v>
      </c>
      <c r="C9537" t="str">
        <f>"87853"</f>
        <v>87853</v>
      </c>
      <c r="D9537" t="s">
        <v>4383</v>
      </c>
      <c r="E9537">
        <v>125</v>
      </c>
      <c r="F9537">
        <v>20140509</v>
      </c>
      <c r="G9537" t="s">
        <v>2677</v>
      </c>
      <c r="H9537" t="s">
        <v>607</v>
      </c>
      <c r="I9537" t="s">
        <v>21</v>
      </c>
    </row>
    <row r="9538" spans="1:9" x14ac:dyDescent="0.25">
      <c r="A9538">
        <v>20140515</v>
      </c>
      <c r="B9538" t="str">
        <f>"115825"</f>
        <v>115825</v>
      </c>
      <c r="C9538" t="str">
        <f>"87853"</f>
        <v>87853</v>
      </c>
      <c r="D9538" t="s">
        <v>4383</v>
      </c>
      <c r="E9538">
        <v>324.44</v>
      </c>
      <c r="F9538">
        <v>20140513</v>
      </c>
      <c r="G9538" t="s">
        <v>2432</v>
      </c>
      <c r="H9538" t="s">
        <v>365</v>
      </c>
      <c r="I9538" t="s">
        <v>66</v>
      </c>
    </row>
    <row r="9539" spans="1:9" x14ac:dyDescent="0.25">
      <c r="A9539">
        <v>20140515</v>
      </c>
      <c r="B9539" t="str">
        <f>"115826"</f>
        <v>115826</v>
      </c>
      <c r="C9539" t="str">
        <f>"70665"</f>
        <v>70665</v>
      </c>
      <c r="D9539" t="s">
        <v>693</v>
      </c>
      <c r="E9539">
        <v>150</v>
      </c>
      <c r="F9539">
        <v>20140513</v>
      </c>
      <c r="G9539" t="s">
        <v>2984</v>
      </c>
      <c r="H9539" t="s">
        <v>388</v>
      </c>
      <c r="I9539" t="s">
        <v>21</v>
      </c>
    </row>
    <row r="9540" spans="1:9" x14ac:dyDescent="0.25">
      <c r="A9540">
        <v>20140515</v>
      </c>
      <c r="B9540" t="str">
        <f>"115827"</f>
        <v>115827</v>
      </c>
      <c r="C9540" t="str">
        <f>"00391"</f>
        <v>00391</v>
      </c>
      <c r="D9540" t="s">
        <v>2894</v>
      </c>
      <c r="E9540">
        <v>75</v>
      </c>
      <c r="F9540">
        <v>20140509</v>
      </c>
      <c r="G9540" t="s">
        <v>1145</v>
      </c>
      <c r="H9540" t="s">
        <v>2468</v>
      </c>
      <c r="I9540" t="s">
        <v>73</v>
      </c>
    </row>
    <row r="9541" spans="1:9" x14ac:dyDescent="0.25">
      <c r="A9541">
        <v>20140515</v>
      </c>
      <c r="B9541" t="str">
        <f>"115828"</f>
        <v>115828</v>
      </c>
      <c r="C9541" t="str">
        <f>"87800"</f>
        <v>87800</v>
      </c>
      <c r="D9541" t="s">
        <v>4384</v>
      </c>
      <c r="E9541">
        <v>760</v>
      </c>
      <c r="F9541">
        <v>20140512</v>
      </c>
      <c r="G9541" t="s">
        <v>2663</v>
      </c>
      <c r="H9541" t="s">
        <v>1054</v>
      </c>
      <c r="I9541" t="s">
        <v>21</v>
      </c>
    </row>
    <row r="9542" spans="1:9" x14ac:dyDescent="0.25">
      <c r="A9542">
        <v>20140515</v>
      </c>
      <c r="B9542" t="str">
        <f>"115829"</f>
        <v>115829</v>
      </c>
      <c r="C9542" t="str">
        <f>"87217"</f>
        <v>87217</v>
      </c>
      <c r="D9542" t="s">
        <v>1826</v>
      </c>
      <c r="E9542">
        <v>100</v>
      </c>
      <c r="F9542">
        <v>20140514</v>
      </c>
      <c r="G9542" t="s">
        <v>289</v>
      </c>
      <c r="H9542" t="s">
        <v>354</v>
      </c>
      <c r="I9542" t="s">
        <v>38</v>
      </c>
    </row>
    <row r="9543" spans="1:9" x14ac:dyDescent="0.25">
      <c r="A9543">
        <v>20140515</v>
      </c>
      <c r="B9543" t="str">
        <f>"115830"</f>
        <v>115830</v>
      </c>
      <c r="C9543" t="str">
        <f>"73982"</f>
        <v>73982</v>
      </c>
      <c r="D9543" t="s">
        <v>701</v>
      </c>
      <c r="E9543">
        <v>45.62</v>
      </c>
      <c r="F9543">
        <v>20140514</v>
      </c>
      <c r="G9543" t="s">
        <v>637</v>
      </c>
      <c r="H9543" t="s">
        <v>354</v>
      </c>
      <c r="I9543" t="s">
        <v>38</v>
      </c>
    </row>
    <row r="9544" spans="1:9" x14ac:dyDescent="0.25">
      <c r="A9544">
        <v>20140515</v>
      </c>
      <c r="B9544" t="str">
        <f>"115831"</f>
        <v>115831</v>
      </c>
      <c r="C9544" t="str">
        <f>"86287"</f>
        <v>86287</v>
      </c>
      <c r="D9544" t="s">
        <v>708</v>
      </c>
      <c r="E9544" s="1">
        <v>1000</v>
      </c>
      <c r="F9544">
        <v>20140513</v>
      </c>
      <c r="G9544" t="s">
        <v>557</v>
      </c>
      <c r="H9544" t="s">
        <v>709</v>
      </c>
      <c r="I9544" t="s">
        <v>21</v>
      </c>
    </row>
    <row r="9545" spans="1:9" x14ac:dyDescent="0.25">
      <c r="A9545">
        <v>20140515</v>
      </c>
      <c r="B9545" t="str">
        <f>"115832"</f>
        <v>115832</v>
      </c>
      <c r="C9545" t="str">
        <f>"83933"</f>
        <v>83933</v>
      </c>
      <c r="D9545" t="s">
        <v>1539</v>
      </c>
      <c r="E9545" s="1">
        <v>1287</v>
      </c>
      <c r="F9545">
        <v>20140513</v>
      </c>
      <c r="G9545" t="s">
        <v>404</v>
      </c>
      <c r="H9545" t="s">
        <v>1540</v>
      </c>
      <c r="I9545" t="s">
        <v>12</v>
      </c>
    </row>
    <row r="9546" spans="1:9" x14ac:dyDescent="0.25">
      <c r="A9546">
        <v>20140515</v>
      </c>
      <c r="B9546" t="str">
        <f>"115833"</f>
        <v>115833</v>
      </c>
      <c r="C9546" t="str">
        <f>"87813"</f>
        <v>87813</v>
      </c>
      <c r="D9546" t="s">
        <v>4298</v>
      </c>
      <c r="E9546">
        <v>861</v>
      </c>
      <c r="F9546">
        <v>20140509</v>
      </c>
      <c r="G9546" t="s">
        <v>840</v>
      </c>
      <c r="H9546" t="s">
        <v>4385</v>
      </c>
      <c r="I9546" t="s">
        <v>21</v>
      </c>
    </row>
    <row r="9547" spans="1:9" x14ac:dyDescent="0.25">
      <c r="A9547">
        <v>20140515</v>
      </c>
      <c r="B9547" t="str">
        <f>"115834"</f>
        <v>115834</v>
      </c>
      <c r="C9547" t="str">
        <f>"75581"</f>
        <v>75581</v>
      </c>
      <c r="D9547" t="s">
        <v>391</v>
      </c>
      <c r="E9547">
        <v>907.2</v>
      </c>
      <c r="F9547">
        <v>20140514</v>
      </c>
      <c r="G9547" t="s">
        <v>3492</v>
      </c>
      <c r="H9547" t="s">
        <v>393</v>
      </c>
      <c r="I9547" t="s">
        <v>12</v>
      </c>
    </row>
    <row r="9548" spans="1:9" x14ac:dyDescent="0.25">
      <c r="A9548">
        <v>20140515</v>
      </c>
      <c r="B9548" t="str">
        <f>"115835"</f>
        <v>115835</v>
      </c>
      <c r="C9548" t="str">
        <f>"87851"</f>
        <v>87851</v>
      </c>
      <c r="D9548" t="s">
        <v>4386</v>
      </c>
      <c r="E9548">
        <v>347.76</v>
      </c>
      <c r="F9548">
        <v>20140508</v>
      </c>
      <c r="G9548" t="s">
        <v>1846</v>
      </c>
      <c r="H9548" t="s">
        <v>765</v>
      </c>
      <c r="I9548" t="s">
        <v>63</v>
      </c>
    </row>
    <row r="9549" spans="1:9" x14ac:dyDescent="0.25">
      <c r="A9549">
        <v>20140515</v>
      </c>
      <c r="B9549" t="str">
        <f>"115836"</f>
        <v>115836</v>
      </c>
      <c r="C9549" t="str">
        <f>"87560"</f>
        <v>87560</v>
      </c>
      <c r="D9549" t="s">
        <v>2304</v>
      </c>
      <c r="E9549" s="1">
        <v>3000</v>
      </c>
      <c r="F9549">
        <v>20140513</v>
      </c>
      <c r="G9549" t="s">
        <v>1504</v>
      </c>
      <c r="H9549" t="s">
        <v>4387</v>
      </c>
      <c r="I9549" t="s">
        <v>21</v>
      </c>
    </row>
    <row r="9550" spans="1:9" x14ac:dyDescent="0.25">
      <c r="A9550">
        <v>20140515</v>
      </c>
      <c r="B9550" t="str">
        <f>"115837"</f>
        <v>115837</v>
      </c>
      <c r="C9550" t="str">
        <f>"81358"</f>
        <v>81358</v>
      </c>
      <c r="D9550" t="s">
        <v>736</v>
      </c>
      <c r="E9550" s="1">
        <v>2259.31</v>
      </c>
      <c r="F9550">
        <v>20140508</v>
      </c>
      <c r="G9550" t="s">
        <v>1543</v>
      </c>
      <c r="H9550" t="s">
        <v>738</v>
      </c>
      <c r="I9550" t="s">
        <v>21</v>
      </c>
    </row>
    <row r="9551" spans="1:9" x14ac:dyDescent="0.25">
      <c r="A9551">
        <v>20140515</v>
      </c>
      <c r="B9551" t="str">
        <f>"115837"</f>
        <v>115837</v>
      </c>
      <c r="C9551" t="str">
        <f>"81358"</f>
        <v>81358</v>
      </c>
      <c r="D9551" t="s">
        <v>736</v>
      </c>
      <c r="E9551" s="1">
        <v>4507.54</v>
      </c>
      <c r="F9551">
        <v>20140508</v>
      </c>
      <c r="G9551" t="s">
        <v>737</v>
      </c>
      <c r="H9551" t="s">
        <v>738</v>
      </c>
      <c r="I9551" t="s">
        <v>21</v>
      </c>
    </row>
    <row r="9552" spans="1:9" x14ac:dyDescent="0.25">
      <c r="A9552">
        <v>20140515</v>
      </c>
      <c r="B9552" t="str">
        <f>"115838"</f>
        <v>115838</v>
      </c>
      <c r="C9552" t="str">
        <f>"76904"</f>
        <v>76904</v>
      </c>
      <c r="D9552" t="s">
        <v>1323</v>
      </c>
      <c r="E9552">
        <v>55</v>
      </c>
      <c r="F9552">
        <v>20140514</v>
      </c>
      <c r="G9552" t="s">
        <v>637</v>
      </c>
      <c r="H9552" t="s">
        <v>4388</v>
      </c>
      <c r="I9552" t="s">
        <v>38</v>
      </c>
    </row>
    <row r="9553" spans="1:9" x14ac:dyDescent="0.25">
      <c r="A9553">
        <v>20140515</v>
      </c>
      <c r="B9553" t="str">
        <f>"115838"</f>
        <v>115838</v>
      </c>
      <c r="C9553" t="str">
        <f>"76904"</f>
        <v>76904</v>
      </c>
      <c r="D9553" t="s">
        <v>1323</v>
      </c>
      <c r="E9553">
        <v>95</v>
      </c>
      <c r="F9553">
        <v>20140514</v>
      </c>
      <c r="G9553" t="s">
        <v>637</v>
      </c>
      <c r="H9553" t="s">
        <v>4389</v>
      </c>
      <c r="I9553" t="s">
        <v>38</v>
      </c>
    </row>
    <row r="9554" spans="1:9" x14ac:dyDescent="0.25">
      <c r="A9554">
        <v>20140515</v>
      </c>
      <c r="B9554" t="str">
        <f>"115839"</f>
        <v>115839</v>
      </c>
      <c r="C9554" t="str">
        <f>"85605"</f>
        <v>85605</v>
      </c>
      <c r="D9554" t="s">
        <v>1949</v>
      </c>
      <c r="E9554">
        <v>51.24</v>
      </c>
      <c r="F9554">
        <v>20140514</v>
      </c>
      <c r="G9554" t="s">
        <v>48</v>
      </c>
      <c r="H9554" t="s">
        <v>414</v>
      </c>
      <c r="I9554" t="s">
        <v>25</v>
      </c>
    </row>
    <row r="9555" spans="1:9" x14ac:dyDescent="0.25">
      <c r="A9555">
        <v>20140515</v>
      </c>
      <c r="B9555" t="str">
        <f>"115839"</f>
        <v>115839</v>
      </c>
      <c r="C9555" t="str">
        <f>"85605"</f>
        <v>85605</v>
      </c>
      <c r="D9555" t="s">
        <v>1949</v>
      </c>
      <c r="E9555">
        <v>438.52</v>
      </c>
      <c r="F9555">
        <v>20140514</v>
      </c>
      <c r="G9555" t="s">
        <v>48</v>
      </c>
      <c r="H9555" t="s">
        <v>414</v>
      </c>
      <c r="I9555" t="s">
        <v>25</v>
      </c>
    </row>
    <row r="9556" spans="1:9" x14ac:dyDescent="0.25">
      <c r="A9556">
        <v>20140515</v>
      </c>
      <c r="B9556" t="str">
        <f>"115840"</f>
        <v>115840</v>
      </c>
      <c r="C9556" t="str">
        <f>"77705"</f>
        <v>77705</v>
      </c>
      <c r="D9556" t="s">
        <v>2312</v>
      </c>
      <c r="E9556" s="1">
        <v>2072.9</v>
      </c>
      <c r="F9556">
        <v>20140513</v>
      </c>
      <c r="G9556" t="s">
        <v>1464</v>
      </c>
      <c r="H9556" t="s">
        <v>525</v>
      </c>
      <c r="I9556" t="s">
        <v>21</v>
      </c>
    </row>
    <row r="9557" spans="1:9" x14ac:dyDescent="0.25">
      <c r="A9557">
        <v>20140515</v>
      </c>
      <c r="B9557" t="str">
        <f>"115841"</f>
        <v>115841</v>
      </c>
      <c r="C9557" t="str">
        <f>"77705"</f>
        <v>77705</v>
      </c>
      <c r="D9557" t="s">
        <v>2312</v>
      </c>
      <c r="E9557" s="1">
        <v>3450</v>
      </c>
      <c r="F9557">
        <v>20140514</v>
      </c>
      <c r="G9557" t="s">
        <v>3820</v>
      </c>
      <c r="H9557" t="s">
        <v>4390</v>
      </c>
      <c r="I9557" t="s">
        <v>21</v>
      </c>
    </row>
    <row r="9558" spans="1:9" x14ac:dyDescent="0.25">
      <c r="A9558">
        <v>20140515</v>
      </c>
      <c r="B9558" t="str">
        <f>"115842"</f>
        <v>115842</v>
      </c>
      <c r="C9558" t="str">
        <f>"83814"</f>
        <v>83814</v>
      </c>
      <c r="D9558" t="s">
        <v>3457</v>
      </c>
      <c r="E9558" s="1">
        <v>2456.5100000000002</v>
      </c>
      <c r="F9558">
        <v>20140513</v>
      </c>
      <c r="G9558" t="s">
        <v>1900</v>
      </c>
      <c r="H9558" t="s">
        <v>3703</v>
      </c>
      <c r="I9558" t="s">
        <v>608</v>
      </c>
    </row>
    <row r="9559" spans="1:9" x14ac:dyDescent="0.25">
      <c r="A9559">
        <v>20140515</v>
      </c>
      <c r="B9559" t="str">
        <f>"115842"</f>
        <v>115842</v>
      </c>
      <c r="C9559" t="str">
        <f>"83814"</f>
        <v>83814</v>
      </c>
      <c r="D9559" t="s">
        <v>3457</v>
      </c>
      <c r="E9559" s="1">
        <v>3823.03</v>
      </c>
      <c r="F9559">
        <v>20140513</v>
      </c>
      <c r="G9559" t="s">
        <v>1900</v>
      </c>
      <c r="H9559" t="s">
        <v>3703</v>
      </c>
      <c r="I9559" t="s">
        <v>608</v>
      </c>
    </row>
    <row r="9560" spans="1:9" x14ac:dyDescent="0.25">
      <c r="A9560">
        <v>20140515</v>
      </c>
      <c r="B9560" t="str">
        <f>"115842"</f>
        <v>115842</v>
      </c>
      <c r="C9560" t="str">
        <f>"83814"</f>
        <v>83814</v>
      </c>
      <c r="D9560" t="s">
        <v>3457</v>
      </c>
      <c r="E9560" s="1">
        <v>8425.39</v>
      </c>
      <c r="F9560">
        <v>20140513</v>
      </c>
      <c r="G9560" t="s">
        <v>1900</v>
      </c>
      <c r="H9560" t="s">
        <v>3703</v>
      </c>
      <c r="I9560" t="s">
        <v>608</v>
      </c>
    </row>
    <row r="9561" spans="1:9" x14ac:dyDescent="0.25">
      <c r="A9561">
        <v>20140515</v>
      </c>
      <c r="B9561" t="str">
        <f>"115843"</f>
        <v>115843</v>
      </c>
      <c r="C9561" t="str">
        <f>"87857"</f>
        <v>87857</v>
      </c>
      <c r="D9561" t="s">
        <v>4391</v>
      </c>
      <c r="E9561">
        <v>266.02999999999997</v>
      </c>
      <c r="F9561">
        <v>20140514</v>
      </c>
      <c r="G9561" t="s">
        <v>2432</v>
      </c>
      <c r="H9561" t="s">
        <v>365</v>
      </c>
      <c r="I9561" t="s">
        <v>66</v>
      </c>
    </row>
    <row r="9562" spans="1:9" x14ac:dyDescent="0.25">
      <c r="A9562">
        <v>20140515</v>
      </c>
      <c r="B9562" t="str">
        <f>"115844"</f>
        <v>115844</v>
      </c>
      <c r="C9562" t="str">
        <f>"79625"</f>
        <v>79625</v>
      </c>
      <c r="D9562" t="s">
        <v>1331</v>
      </c>
      <c r="E9562">
        <v>42.87</v>
      </c>
      <c r="F9562">
        <v>20140514</v>
      </c>
      <c r="G9562" t="s">
        <v>39</v>
      </c>
      <c r="H9562" t="s">
        <v>354</v>
      </c>
      <c r="I9562" t="s">
        <v>38</v>
      </c>
    </row>
    <row r="9563" spans="1:9" x14ac:dyDescent="0.25">
      <c r="A9563">
        <v>20140516</v>
      </c>
      <c r="B9563" t="str">
        <f>"115845"</f>
        <v>115845</v>
      </c>
      <c r="C9563" t="str">
        <f>"84733"</f>
        <v>84733</v>
      </c>
      <c r="D9563" t="s">
        <v>4364</v>
      </c>
      <c r="E9563" s="1">
        <v>2565</v>
      </c>
      <c r="F9563">
        <v>20140516</v>
      </c>
      <c r="G9563" t="s">
        <v>2203</v>
      </c>
      <c r="H9563" t="s">
        <v>4392</v>
      </c>
      <c r="I9563" t="s">
        <v>21</v>
      </c>
    </row>
    <row r="9564" spans="1:9" x14ac:dyDescent="0.25">
      <c r="A9564">
        <v>20140522</v>
      </c>
      <c r="B9564" t="str">
        <f>"115846"</f>
        <v>115846</v>
      </c>
      <c r="C9564" t="str">
        <f>"84783"</f>
        <v>84783</v>
      </c>
      <c r="D9564" t="s">
        <v>2096</v>
      </c>
      <c r="E9564">
        <v>525</v>
      </c>
      <c r="F9564">
        <v>20140520</v>
      </c>
      <c r="G9564" t="s">
        <v>2492</v>
      </c>
      <c r="H9564" t="s">
        <v>414</v>
      </c>
      <c r="I9564" t="s">
        <v>21</v>
      </c>
    </row>
    <row r="9565" spans="1:9" x14ac:dyDescent="0.25">
      <c r="A9565">
        <v>20140522</v>
      </c>
      <c r="B9565" t="str">
        <f>"115847"</f>
        <v>115847</v>
      </c>
      <c r="C9565" t="str">
        <f>"00120"</f>
        <v>00120</v>
      </c>
      <c r="D9565" t="s">
        <v>336</v>
      </c>
      <c r="E9565">
        <v>261.57</v>
      </c>
      <c r="F9565">
        <v>20140520</v>
      </c>
      <c r="G9565" t="s">
        <v>337</v>
      </c>
      <c r="H9565" t="s">
        <v>766</v>
      </c>
      <c r="I9565" t="s">
        <v>21</v>
      </c>
    </row>
    <row r="9566" spans="1:9" x14ac:dyDescent="0.25">
      <c r="A9566">
        <v>20140522</v>
      </c>
      <c r="B9566" t="str">
        <f>"115847"</f>
        <v>115847</v>
      </c>
      <c r="C9566" t="str">
        <f>"00120"</f>
        <v>00120</v>
      </c>
      <c r="D9566" t="s">
        <v>336</v>
      </c>
      <c r="E9566">
        <v>135.41999999999999</v>
      </c>
      <c r="F9566">
        <v>20140520</v>
      </c>
      <c r="G9566" t="s">
        <v>337</v>
      </c>
      <c r="H9566" t="s">
        <v>766</v>
      </c>
      <c r="I9566" t="s">
        <v>21</v>
      </c>
    </row>
    <row r="9567" spans="1:9" x14ac:dyDescent="0.25">
      <c r="A9567">
        <v>20140522</v>
      </c>
      <c r="B9567" t="str">
        <f>"115847"</f>
        <v>115847</v>
      </c>
      <c r="C9567" t="str">
        <f>"00120"</f>
        <v>00120</v>
      </c>
      <c r="D9567" t="s">
        <v>336</v>
      </c>
      <c r="E9567">
        <v>109.38</v>
      </c>
      <c r="F9567">
        <v>20140520</v>
      </c>
      <c r="G9567" t="s">
        <v>337</v>
      </c>
      <c r="H9567" t="s">
        <v>766</v>
      </c>
      <c r="I9567" t="s">
        <v>21</v>
      </c>
    </row>
    <row r="9568" spans="1:9" x14ac:dyDescent="0.25">
      <c r="A9568">
        <v>20140522</v>
      </c>
      <c r="B9568" t="str">
        <f>"115848"</f>
        <v>115848</v>
      </c>
      <c r="C9568" t="str">
        <f>"05800"</f>
        <v>05800</v>
      </c>
      <c r="D9568" t="s">
        <v>998</v>
      </c>
      <c r="E9568">
        <v>735</v>
      </c>
      <c r="F9568">
        <v>20140516</v>
      </c>
      <c r="G9568" t="s">
        <v>4393</v>
      </c>
      <c r="H9568" t="s">
        <v>4394</v>
      </c>
      <c r="I9568" t="s">
        <v>131</v>
      </c>
    </row>
    <row r="9569" spans="1:9" x14ac:dyDescent="0.25">
      <c r="A9569">
        <v>20140522</v>
      </c>
      <c r="B9569" t="str">
        <f>"115848"</f>
        <v>115848</v>
      </c>
      <c r="C9569" t="str">
        <f>"05800"</f>
        <v>05800</v>
      </c>
      <c r="D9569" t="s">
        <v>998</v>
      </c>
      <c r="E9569" s="1">
        <v>23060</v>
      </c>
      <c r="F9569">
        <v>20140516</v>
      </c>
      <c r="G9569" t="s">
        <v>1900</v>
      </c>
      <c r="H9569" t="s">
        <v>4395</v>
      </c>
      <c r="I9569" t="s">
        <v>608</v>
      </c>
    </row>
    <row r="9570" spans="1:9" x14ac:dyDescent="0.25">
      <c r="A9570">
        <v>20140522</v>
      </c>
      <c r="B9570" t="str">
        <f>"115849"</f>
        <v>115849</v>
      </c>
      <c r="C9570" t="str">
        <f>"85273"</f>
        <v>85273</v>
      </c>
      <c r="D9570" t="s">
        <v>4396</v>
      </c>
      <c r="E9570">
        <v>150</v>
      </c>
      <c r="F9570">
        <v>20140521</v>
      </c>
      <c r="G9570" t="s">
        <v>3730</v>
      </c>
      <c r="H9570" t="s">
        <v>388</v>
      </c>
      <c r="I9570" t="s">
        <v>38</v>
      </c>
    </row>
    <row r="9571" spans="1:9" x14ac:dyDescent="0.25">
      <c r="A9571">
        <v>20140522</v>
      </c>
      <c r="B9571" t="str">
        <f>"115850"</f>
        <v>115850</v>
      </c>
      <c r="C9571" t="str">
        <f>"83583"</f>
        <v>83583</v>
      </c>
      <c r="D9571" t="s">
        <v>2331</v>
      </c>
      <c r="E9571">
        <v>155.74</v>
      </c>
      <c r="F9571">
        <v>20140520</v>
      </c>
      <c r="G9571" t="s">
        <v>214</v>
      </c>
      <c r="H9571" t="s">
        <v>354</v>
      </c>
      <c r="I9571" t="s">
        <v>38</v>
      </c>
    </row>
    <row r="9572" spans="1:9" x14ac:dyDescent="0.25">
      <c r="A9572">
        <v>20140522</v>
      </c>
      <c r="B9572" t="str">
        <f>"115851"</f>
        <v>115851</v>
      </c>
      <c r="C9572" t="str">
        <f>"87860"</f>
        <v>87860</v>
      </c>
      <c r="D9572" t="s">
        <v>4397</v>
      </c>
      <c r="E9572">
        <v>137.5</v>
      </c>
      <c r="F9572">
        <v>20140516</v>
      </c>
      <c r="G9572" t="s">
        <v>36</v>
      </c>
      <c r="H9572" t="s">
        <v>4398</v>
      </c>
      <c r="I9572" t="s">
        <v>38</v>
      </c>
    </row>
    <row r="9573" spans="1:9" x14ac:dyDescent="0.25">
      <c r="A9573">
        <v>20140522</v>
      </c>
      <c r="B9573" t="str">
        <f>"115852"</f>
        <v>115852</v>
      </c>
      <c r="C9573" t="str">
        <f>"11851"</f>
        <v>11851</v>
      </c>
      <c r="D9573" t="s">
        <v>342</v>
      </c>
      <c r="E9573">
        <v>85</v>
      </c>
      <c r="F9573">
        <v>20140520</v>
      </c>
      <c r="G9573" t="s">
        <v>181</v>
      </c>
      <c r="H9573" t="s">
        <v>799</v>
      </c>
      <c r="I9573" t="s">
        <v>38</v>
      </c>
    </row>
    <row r="9574" spans="1:9" x14ac:dyDescent="0.25">
      <c r="A9574">
        <v>20140522</v>
      </c>
      <c r="B9574" t="str">
        <f>"115852"</f>
        <v>115852</v>
      </c>
      <c r="C9574" t="str">
        <f>"11851"</f>
        <v>11851</v>
      </c>
      <c r="D9574" t="s">
        <v>342</v>
      </c>
      <c r="E9574">
        <v>55</v>
      </c>
      <c r="F9574">
        <v>20140520</v>
      </c>
      <c r="G9574" t="s">
        <v>181</v>
      </c>
      <c r="H9574" t="s">
        <v>783</v>
      </c>
      <c r="I9574" t="s">
        <v>38</v>
      </c>
    </row>
    <row r="9575" spans="1:9" x14ac:dyDescent="0.25">
      <c r="A9575">
        <v>20140522</v>
      </c>
      <c r="B9575" t="str">
        <f>"115852"</f>
        <v>115852</v>
      </c>
      <c r="C9575" t="str">
        <f>"11851"</f>
        <v>11851</v>
      </c>
      <c r="D9575" t="s">
        <v>342</v>
      </c>
      <c r="E9575">
        <v>45</v>
      </c>
      <c r="F9575">
        <v>20140520</v>
      </c>
      <c r="G9575" t="s">
        <v>181</v>
      </c>
      <c r="H9575" t="s">
        <v>783</v>
      </c>
      <c r="I9575" t="s">
        <v>38</v>
      </c>
    </row>
    <row r="9576" spans="1:9" x14ac:dyDescent="0.25">
      <c r="A9576">
        <v>20140522</v>
      </c>
      <c r="B9576" t="str">
        <f>"115852"</f>
        <v>115852</v>
      </c>
      <c r="C9576" t="str">
        <f>"11851"</f>
        <v>11851</v>
      </c>
      <c r="D9576" t="s">
        <v>342</v>
      </c>
      <c r="E9576">
        <v>45</v>
      </c>
      <c r="F9576">
        <v>20140520</v>
      </c>
      <c r="G9576" t="s">
        <v>181</v>
      </c>
      <c r="H9576" t="s">
        <v>783</v>
      </c>
      <c r="I9576" t="s">
        <v>38</v>
      </c>
    </row>
    <row r="9577" spans="1:9" x14ac:dyDescent="0.25">
      <c r="A9577">
        <v>20140522</v>
      </c>
      <c r="B9577" t="str">
        <f>"115852"</f>
        <v>115852</v>
      </c>
      <c r="C9577" t="str">
        <f>"11851"</f>
        <v>11851</v>
      </c>
      <c r="D9577" t="s">
        <v>342</v>
      </c>
      <c r="E9577">
        <v>45</v>
      </c>
      <c r="F9577">
        <v>20140520</v>
      </c>
      <c r="G9577" t="s">
        <v>181</v>
      </c>
      <c r="H9577" t="s">
        <v>783</v>
      </c>
      <c r="I9577" t="s">
        <v>38</v>
      </c>
    </row>
    <row r="9578" spans="1:9" x14ac:dyDescent="0.25">
      <c r="A9578">
        <v>20140522</v>
      </c>
      <c r="B9578" t="str">
        <f>"115853"</f>
        <v>115853</v>
      </c>
      <c r="C9578" t="str">
        <f>"12175"</f>
        <v>12175</v>
      </c>
      <c r="D9578" t="s">
        <v>2621</v>
      </c>
      <c r="E9578">
        <v>715.69</v>
      </c>
      <c r="F9578">
        <v>20140521</v>
      </c>
      <c r="G9578" t="s">
        <v>1775</v>
      </c>
      <c r="H9578" t="s">
        <v>4399</v>
      </c>
      <c r="I9578" t="s">
        <v>21</v>
      </c>
    </row>
    <row r="9579" spans="1:9" x14ac:dyDescent="0.25">
      <c r="A9579">
        <v>20140522</v>
      </c>
      <c r="B9579" t="str">
        <f>"115853"</f>
        <v>115853</v>
      </c>
      <c r="C9579" t="str">
        <f>"12175"</f>
        <v>12175</v>
      </c>
      <c r="D9579" t="s">
        <v>2621</v>
      </c>
      <c r="E9579">
        <v>227.91</v>
      </c>
      <c r="F9579">
        <v>20140521</v>
      </c>
      <c r="G9579" t="s">
        <v>36</v>
      </c>
      <c r="H9579" t="s">
        <v>4400</v>
      </c>
      <c r="I9579" t="s">
        <v>38</v>
      </c>
    </row>
    <row r="9580" spans="1:9" x14ac:dyDescent="0.25">
      <c r="A9580">
        <v>20140522</v>
      </c>
      <c r="B9580" t="str">
        <f>"115854"</f>
        <v>115854</v>
      </c>
      <c r="C9580" t="str">
        <f>"86533"</f>
        <v>86533</v>
      </c>
      <c r="D9580" t="s">
        <v>505</v>
      </c>
      <c r="E9580">
        <v>6.44</v>
      </c>
      <c r="F9580">
        <v>20140520</v>
      </c>
      <c r="G9580" t="s">
        <v>1640</v>
      </c>
      <c r="H9580" t="s">
        <v>414</v>
      </c>
      <c r="I9580" t="s">
        <v>21</v>
      </c>
    </row>
    <row r="9581" spans="1:9" x14ac:dyDescent="0.25">
      <c r="A9581">
        <v>20140522</v>
      </c>
      <c r="B9581" t="str">
        <f>"115854"</f>
        <v>115854</v>
      </c>
      <c r="C9581" t="str">
        <f>"86533"</f>
        <v>86533</v>
      </c>
      <c r="D9581" t="s">
        <v>505</v>
      </c>
      <c r="E9581">
        <v>47</v>
      </c>
      <c r="F9581">
        <v>20140520</v>
      </c>
      <c r="G9581" t="s">
        <v>4279</v>
      </c>
      <c r="H9581" t="s">
        <v>414</v>
      </c>
      <c r="I9581" t="s">
        <v>21</v>
      </c>
    </row>
    <row r="9582" spans="1:9" x14ac:dyDescent="0.25">
      <c r="A9582">
        <v>20140522</v>
      </c>
      <c r="B9582" t="str">
        <f>"115855"</f>
        <v>115855</v>
      </c>
      <c r="C9582" t="str">
        <f>"10075"</f>
        <v>10075</v>
      </c>
      <c r="D9582" t="s">
        <v>1199</v>
      </c>
      <c r="E9582" s="1">
        <v>12549.25</v>
      </c>
      <c r="F9582">
        <v>20140516</v>
      </c>
      <c r="G9582" t="s">
        <v>1729</v>
      </c>
      <c r="H9582" t="s">
        <v>4401</v>
      </c>
      <c r="I9582" t="s">
        <v>61</v>
      </c>
    </row>
    <row r="9583" spans="1:9" x14ac:dyDescent="0.25">
      <c r="A9583">
        <v>20140522</v>
      </c>
      <c r="B9583" t="str">
        <f>"115856"</f>
        <v>115856</v>
      </c>
      <c r="C9583" t="str">
        <f>"81296"</f>
        <v>81296</v>
      </c>
      <c r="D9583" t="s">
        <v>1014</v>
      </c>
      <c r="E9583" s="1">
        <v>1564.47</v>
      </c>
      <c r="F9583">
        <v>20140520</v>
      </c>
      <c r="G9583" t="s">
        <v>1776</v>
      </c>
      <c r="H9583" t="s">
        <v>4402</v>
      </c>
      <c r="I9583" t="s">
        <v>21</v>
      </c>
    </row>
    <row r="9584" spans="1:9" x14ac:dyDescent="0.25">
      <c r="A9584">
        <v>20140522</v>
      </c>
      <c r="B9584" t="str">
        <f t="shared" ref="B9584:B9615" si="559">"115857"</f>
        <v>115857</v>
      </c>
      <c r="C9584" t="str">
        <f t="shared" ref="C9584:C9615" si="560">"83878"</f>
        <v>83878</v>
      </c>
      <c r="D9584" t="s">
        <v>1016</v>
      </c>
      <c r="E9584">
        <v>51.32</v>
      </c>
      <c r="F9584">
        <v>20140521</v>
      </c>
      <c r="G9584" t="s">
        <v>1019</v>
      </c>
      <c r="H9584" t="s">
        <v>1018</v>
      </c>
      <c r="I9584" t="s">
        <v>131</v>
      </c>
    </row>
    <row r="9585" spans="1:9" x14ac:dyDescent="0.25">
      <c r="A9585">
        <v>20140522</v>
      </c>
      <c r="B9585" t="str">
        <f t="shared" si="559"/>
        <v>115857</v>
      </c>
      <c r="C9585" t="str">
        <f t="shared" si="560"/>
        <v>83878</v>
      </c>
      <c r="D9585" t="s">
        <v>1016</v>
      </c>
      <c r="E9585">
        <v>65.44</v>
      </c>
      <c r="F9585">
        <v>20140521</v>
      </c>
      <c r="G9585" t="s">
        <v>935</v>
      </c>
      <c r="H9585" t="s">
        <v>1018</v>
      </c>
      <c r="I9585" t="s">
        <v>21</v>
      </c>
    </row>
    <row r="9586" spans="1:9" x14ac:dyDescent="0.25">
      <c r="A9586">
        <v>20140522</v>
      </c>
      <c r="B9586" t="str">
        <f t="shared" si="559"/>
        <v>115857</v>
      </c>
      <c r="C9586" t="str">
        <f t="shared" si="560"/>
        <v>83878</v>
      </c>
      <c r="D9586" t="s">
        <v>1016</v>
      </c>
      <c r="E9586">
        <v>726.93</v>
      </c>
      <c r="F9586">
        <v>20140521</v>
      </c>
      <c r="G9586" t="s">
        <v>1304</v>
      </c>
      <c r="H9586" t="s">
        <v>1018</v>
      </c>
      <c r="I9586" t="s">
        <v>21</v>
      </c>
    </row>
    <row r="9587" spans="1:9" x14ac:dyDescent="0.25">
      <c r="A9587">
        <v>20140522</v>
      </c>
      <c r="B9587" t="str">
        <f t="shared" si="559"/>
        <v>115857</v>
      </c>
      <c r="C9587" t="str">
        <f t="shared" si="560"/>
        <v>83878</v>
      </c>
      <c r="D9587" t="s">
        <v>1016</v>
      </c>
      <c r="E9587">
        <v>282.87</v>
      </c>
      <c r="F9587">
        <v>20140521</v>
      </c>
      <c r="G9587" t="s">
        <v>861</v>
      </c>
      <c r="H9587" t="s">
        <v>1018</v>
      </c>
      <c r="I9587" t="s">
        <v>21</v>
      </c>
    </row>
    <row r="9588" spans="1:9" x14ac:dyDescent="0.25">
      <c r="A9588">
        <v>20140522</v>
      </c>
      <c r="B9588" t="str">
        <f t="shared" si="559"/>
        <v>115857</v>
      </c>
      <c r="C9588" t="str">
        <f t="shared" si="560"/>
        <v>83878</v>
      </c>
      <c r="D9588" t="s">
        <v>1016</v>
      </c>
      <c r="E9588">
        <v>741.65</v>
      </c>
      <c r="F9588">
        <v>20140521</v>
      </c>
      <c r="G9588" t="s">
        <v>3323</v>
      </c>
      <c r="H9588" t="s">
        <v>1018</v>
      </c>
      <c r="I9588" t="s">
        <v>21</v>
      </c>
    </row>
    <row r="9589" spans="1:9" x14ac:dyDescent="0.25">
      <c r="A9589">
        <v>20140522</v>
      </c>
      <c r="B9589" t="str">
        <f t="shared" si="559"/>
        <v>115857</v>
      </c>
      <c r="C9589" t="str">
        <f t="shared" si="560"/>
        <v>83878</v>
      </c>
      <c r="D9589" t="s">
        <v>1016</v>
      </c>
      <c r="E9589">
        <v>199.99</v>
      </c>
      <c r="F9589">
        <v>20140521</v>
      </c>
      <c r="G9589" t="s">
        <v>4093</v>
      </c>
      <c r="H9589" t="s">
        <v>1018</v>
      </c>
      <c r="I9589" t="s">
        <v>21</v>
      </c>
    </row>
    <row r="9590" spans="1:9" x14ac:dyDescent="0.25">
      <c r="A9590">
        <v>20140522</v>
      </c>
      <c r="B9590" t="str">
        <f t="shared" si="559"/>
        <v>115857</v>
      </c>
      <c r="C9590" t="str">
        <f t="shared" si="560"/>
        <v>83878</v>
      </c>
      <c r="D9590" t="s">
        <v>1016</v>
      </c>
      <c r="E9590">
        <v>201.91</v>
      </c>
      <c r="F9590">
        <v>20140520</v>
      </c>
      <c r="G9590" t="s">
        <v>1020</v>
      </c>
      <c r="H9590" t="s">
        <v>4403</v>
      </c>
      <c r="I9590" t="s">
        <v>21</v>
      </c>
    </row>
    <row r="9591" spans="1:9" x14ac:dyDescent="0.25">
      <c r="A9591">
        <v>20140522</v>
      </c>
      <c r="B9591" t="str">
        <f t="shared" si="559"/>
        <v>115857</v>
      </c>
      <c r="C9591" t="str">
        <f t="shared" si="560"/>
        <v>83878</v>
      </c>
      <c r="D9591" t="s">
        <v>1016</v>
      </c>
      <c r="E9591">
        <v>128.51</v>
      </c>
      <c r="F9591">
        <v>20140520</v>
      </c>
      <c r="G9591" t="s">
        <v>1020</v>
      </c>
      <c r="H9591" t="s">
        <v>4404</v>
      </c>
      <c r="I9591" t="s">
        <v>21</v>
      </c>
    </row>
    <row r="9592" spans="1:9" x14ac:dyDescent="0.25">
      <c r="A9592">
        <v>20140522</v>
      </c>
      <c r="B9592" t="str">
        <f t="shared" si="559"/>
        <v>115857</v>
      </c>
      <c r="C9592" t="str">
        <f t="shared" si="560"/>
        <v>83878</v>
      </c>
      <c r="D9592" t="s">
        <v>1016</v>
      </c>
      <c r="E9592">
        <v>475.19</v>
      </c>
      <c r="F9592">
        <v>20140521</v>
      </c>
      <c r="G9592" t="s">
        <v>1020</v>
      </c>
      <c r="H9592" t="s">
        <v>1018</v>
      </c>
      <c r="I9592" t="s">
        <v>21</v>
      </c>
    </row>
    <row r="9593" spans="1:9" x14ac:dyDescent="0.25">
      <c r="A9593">
        <v>20140522</v>
      </c>
      <c r="B9593" t="str">
        <f t="shared" si="559"/>
        <v>115857</v>
      </c>
      <c r="C9593" t="str">
        <f t="shared" si="560"/>
        <v>83878</v>
      </c>
      <c r="D9593" t="s">
        <v>1016</v>
      </c>
      <c r="E9593">
        <v>328.97</v>
      </c>
      <c r="F9593">
        <v>20140521</v>
      </c>
      <c r="G9593" t="s">
        <v>1020</v>
      </c>
      <c r="H9593" t="s">
        <v>1018</v>
      </c>
      <c r="I9593" t="s">
        <v>21</v>
      </c>
    </row>
    <row r="9594" spans="1:9" x14ac:dyDescent="0.25">
      <c r="A9594">
        <v>20140522</v>
      </c>
      <c r="B9594" t="str">
        <f t="shared" si="559"/>
        <v>115857</v>
      </c>
      <c r="C9594" t="str">
        <f t="shared" si="560"/>
        <v>83878</v>
      </c>
      <c r="D9594" t="s">
        <v>1016</v>
      </c>
      <c r="E9594">
        <v>24.88</v>
      </c>
      <c r="F9594">
        <v>20140521</v>
      </c>
      <c r="G9594" t="s">
        <v>1717</v>
      </c>
      <c r="H9594" t="s">
        <v>1018</v>
      </c>
      <c r="I9594" t="s">
        <v>21</v>
      </c>
    </row>
    <row r="9595" spans="1:9" x14ac:dyDescent="0.25">
      <c r="A9595">
        <v>20140522</v>
      </c>
      <c r="B9595" t="str">
        <f t="shared" si="559"/>
        <v>115857</v>
      </c>
      <c r="C9595" t="str">
        <f t="shared" si="560"/>
        <v>83878</v>
      </c>
      <c r="D9595" t="s">
        <v>1016</v>
      </c>
      <c r="E9595">
        <v>137.16999999999999</v>
      </c>
      <c r="F9595">
        <v>20140521</v>
      </c>
      <c r="G9595" t="s">
        <v>448</v>
      </c>
      <c r="H9595" t="s">
        <v>4405</v>
      </c>
      <c r="I9595" t="s">
        <v>21</v>
      </c>
    </row>
    <row r="9596" spans="1:9" x14ac:dyDescent="0.25">
      <c r="A9596">
        <v>20140522</v>
      </c>
      <c r="B9596" t="str">
        <f t="shared" si="559"/>
        <v>115857</v>
      </c>
      <c r="C9596" t="str">
        <f t="shared" si="560"/>
        <v>83878</v>
      </c>
      <c r="D9596" t="s">
        <v>1016</v>
      </c>
      <c r="E9596">
        <v>114.37</v>
      </c>
      <c r="F9596">
        <v>20140521</v>
      </c>
      <c r="G9596" t="s">
        <v>448</v>
      </c>
      <c r="H9596" t="s">
        <v>1018</v>
      </c>
      <c r="I9596" t="s">
        <v>21</v>
      </c>
    </row>
    <row r="9597" spans="1:9" x14ac:dyDescent="0.25">
      <c r="A9597">
        <v>20140522</v>
      </c>
      <c r="B9597" t="str">
        <f t="shared" si="559"/>
        <v>115857</v>
      </c>
      <c r="C9597" t="str">
        <f t="shared" si="560"/>
        <v>83878</v>
      </c>
      <c r="D9597" t="s">
        <v>1016</v>
      </c>
      <c r="E9597">
        <v>62.72</v>
      </c>
      <c r="F9597">
        <v>20140521</v>
      </c>
      <c r="G9597" t="s">
        <v>1478</v>
      </c>
      <c r="H9597" t="s">
        <v>1018</v>
      </c>
      <c r="I9597" t="s">
        <v>21</v>
      </c>
    </row>
    <row r="9598" spans="1:9" x14ac:dyDescent="0.25">
      <c r="A9598">
        <v>20140522</v>
      </c>
      <c r="B9598" t="str">
        <f t="shared" si="559"/>
        <v>115857</v>
      </c>
      <c r="C9598" t="str">
        <f t="shared" si="560"/>
        <v>83878</v>
      </c>
      <c r="D9598" t="s">
        <v>1016</v>
      </c>
      <c r="E9598">
        <v>84</v>
      </c>
      <c r="F9598">
        <v>20140521</v>
      </c>
      <c r="G9598" t="s">
        <v>808</v>
      </c>
      <c r="H9598" t="s">
        <v>1018</v>
      </c>
      <c r="I9598" t="s">
        <v>21</v>
      </c>
    </row>
    <row r="9599" spans="1:9" x14ac:dyDescent="0.25">
      <c r="A9599">
        <v>20140522</v>
      </c>
      <c r="B9599" t="str">
        <f t="shared" si="559"/>
        <v>115857</v>
      </c>
      <c r="C9599" t="str">
        <f t="shared" si="560"/>
        <v>83878</v>
      </c>
      <c r="D9599" t="s">
        <v>1016</v>
      </c>
      <c r="E9599">
        <v>111.9</v>
      </c>
      <c r="F9599">
        <v>20140521</v>
      </c>
      <c r="G9599" t="s">
        <v>808</v>
      </c>
      <c r="H9599" t="s">
        <v>1018</v>
      </c>
      <c r="I9599" t="s">
        <v>21</v>
      </c>
    </row>
    <row r="9600" spans="1:9" x14ac:dyDescent="0.25">
      <c r="A9600">
        <v>20140522</v>
      </c>
      <c r="B9600" t="str">
        <f t="shared" si="559"/>
        <v>115857</v>
      </c>
      <c r="C9600" t="str">
        <f t="shared" si="560"/>
        <v>83878</v>
      </c>
      <c r="D9600" t="s">
        <v>1016</v>
      </c>
      <c r="E9600">
        <v>50</v>
      </c>
      <c r="F9600">
        <v>20140521</v>
      </c>
      <c r="G9600" t="s">
        <v>2358</v>
      </c>
      <c r="H9600" t="s">
        <v>1018</v>
      </c>
      <c r="I9600" t="s">
        <v>21</v>
      </c>
    </row>
    <row r="9601" spans="1:9" x14ac:dyDescent="0.25">
      <c r="A9601">
        <v>20140522</v>
      </c>
      <c r="B9601" t="str">
        <f t="shared" si="559"/>
        <v>115857</v>
      </c>
      <c r="C9601" t="str">
        <f t="shared" si="560"/>
        <v>83878</v>
      </c>
      <c r="D9601" t="s">
        <v>1016</v>
      </c>
      <c r="E9601">
        <v>63.24</v>
      </c>
      <c r="F9601">
        <v>20140521</v>
      </c>
      <c r="G9601" t="s">
        <v>2358</v>
      </c>
      <c r="H9601" t="s">
        <v>1018</v>
      </c>
      <c r="I9601" t="s">
        <v>21</v>
      </c>
    </row>
    <row r="9602" spans="1:9" x14ac:dyDescent="0.25">
      <c r="A9602">
        <v>20140522</v>
      </c>
      <c r="B9602" t="str">
        <f t="shared" si="559"/>
        <v>115857</v>
      </c>
      <c r="C9602" t="str">
        <f t="shared" si="560"/>
        <v>83878</v>
      </c>
      <c r="D9602" t="s">
        <v>1016</v>
      </c>
      <c r="E9602">
        <v>72.040000000000006</v>
      </c>
      <c r="F9602">
        <v>20140521</v>
      </c>
      <c r="G9602" t="s">
        <v>1071</v>
      </c>
      <c r="H9602" t="s">
        <v>1018</v>
      </c>
      <c r="I9602" t="s">
        <v>21</v>
      </c>
    </row>
    <row r="9603" spans="1:9" x14ac:dyDescent="0.25">
      <c r="A9603">
        <v>20140522</v>
      </c>
      <c r="B9603" t="str">
        <f t="shared" si="559"/>
        <v>115857</v>
      </c>
      <c r="C9603" t="str">
        <f t="shared" si="560"/>
        <v>83878</v>
      </c>
      <c r="D9603" t="s">
        <v>1016</v>
      </c>
      <c r="E9603">
        <v>114.19</v>
      </c>
      <c r="F9603">
        <v>20140521</v>
      </c>
      <c r="G9603" t="s">
        <v>1188</v>
      </c>
      <c r="H9603" t="s">
        <v>1018</v>
      </c>
      <c r="I9603" t="s">
        <v>21</v>
      </c>
    </row>
    <row r="9604" spans="1:9" x14ac:dyDescent="0.25">
      <c r="A9604">
        <v>20140522</v>
      </c>
      <c r="B9604" t="str">
        <f t="shared" si="559"/>
        <v>115857</v>
      </c>
      <c r="C9604" t="str">
        <f t="shared" si="560"/>
        <v>83878</v>
      </c>
      <c r="D9604" t="s">
        <v>1016</v>
      </c>
      <c r="E9604">
        <v>288.94</v>
      </c>
      <c r="F9604">
        <v>20140521</v>
      </c>
      <c r="G9604" t="s">
        <v>758</v>
      </c>
      <c r="H9604" t="s">
        <v>1018</v>
      </c>
      <c r="I9604" t="s">
        <v>21</v>
      </c>
    </row>
    <row r="9605" spans="1:9" x14ac:dyDescent="0.25">
      <c r="A9605">
        <v>20140522</v>
      </c>
      <c r="B9605" t="str">
        <f t="shared" si="559"/>
        <v>115857</v>
      </c>
      <c r="C9605" t="str">
        <f t="shared" si="560"/>
        <v>83878</v>
      </c>
      <c r="D9605" t="s">
        <v>1016</v>
      </c>
      <c r="E9605">
        <v>633.76</v>
      </c>
      <c r="F9605">
        <v>20140521</v>
      </c>
      <c r="G9605" t="s">
        <v>1329</v>
      </c>
      <c r="H9605" t="s">
        <v>1018</v>
      </c>
      <c r="I9605" t="s">
        <v>21</v>
      </c>
    </row>
    <row r="9606" spans="1:9" x14ac:dyDescent="0.25">
      <c r="A9606">
        <v>20140522</v>
      </c>
      <c r="B9606" t="str">
        <f t="shared" si="559"/>
        <v>115857</v>
      </c>
      <c r="C9606" t="str">
        <f t="shared" si="560"/>
        <v>83878</v>
      </c>
      <c r="D9606" t="s">
        <v>1016</v>
      </c>
      <c r="E9606">
        <v>62.8</v>
      </c>
      <c r="F9606">
        <v>20140521</v>
      </c>
      <c r="G9606" t="s">
        <v>498</v>
      </c>
      <c r="H9606" t="s">
        <v>1018</v>
      </c>
      <c r="I9606" t="s">
        <v>21</v>
      </c>
    </row>
    <row r="9607" spans="1:9" x14ac:dyDescent="0.25">
      <c r="A9607">
        <v>20140522</v>
      </c>
      <c r="B9607" t="str">
        <f t="shared" si="559"/>
        <v>115857</v>
      </c>
      <c r="C9607" t="str">
        <f t="shared" si="560"/>
        <v>83878</v>
      </c>
      <c r="D9607" t="s">
        <v>1016</v>
      </c>
      <c r="E9607">
        <v>82.14</v>
      </c>
      <c r="F9607">
        <v>20140521</v>
      </c>
      <c r="G9607" t="s">
        <v>496</v>
      </c>
      <c r="H9607" t="s">
        <v>1018</v>
      </c>
      <c r="I9607" t="s">
        <v>21</v>
      </c>
    </row>
    <row r="9608" spans="1:9" x14ac:dyDescent="0.25">
      <c r="A9608">
        <v>20140522</v>
      </c>
      <c r="B9608" t="str">
        <f t="shared" si="559"/>
        <v>115857</v>
      </c>
      <c r="C9608" t="str">
        <f t="shared" si="560"/>
        <v>83878</v>
      </c>
      <c r="D9608" t="s">
        <v>1016</v>
      </c>
      <c r="E9608">
        <v>113.64</v>
      </c>
      <c r="F9608">
        <v>20140521</v>
      </c>
      <c r="G9608" t="s">
        <v>557</v>
      </c>
      <c r="H9608" t="s">
        <v>1018</v>
      </c>
      <c r="I9608" t="s">
        <v>21</v>
      </c>
    </row>
    <row r="9609" spans="1:9" x14ac:dyDescent="0.25">
      <c r="A9609">
        <v>20140522</v>
      </c>
      <c r="B9609" t="str">
        <f t="shared" si="559"/>
        <v>115857</v>
      </c>
      <c r="C9609" t="str">
        <f t="shared" si="560"/>
        <v>83878</v>
      </c>
      <c r="D9609" t="s">
        <v>1016</v>
      </c>
      <c r="E9609">
        <v>0.11</v>
      </c>
      <c r="F9609">
        <v>20140521</v>
      </c>
      <c r="G9609" t="s">
        <v>2801</v>
      </c>
      <c r="H9609" t="s">
        <v>1018</v>
      </c>
      <c r="I9609" t="s">
        <v>21</v>
      </c>
    </row>
    <row r="9610" spans="1:9" x14ac:dyDescent="0.25">
      <c r="A9610">
        <v>20140522</v>
      </c>
      <c r="B9610" t="str">
        <f t="shared" si="559"/>
        <v>115857</v>
      </c>
      <c r="C9610" t="str">
        <f t="shared" si="560"/>
        <v>83878</v>
      </c>
      <c r="D9610" t="s">
        <v>1016</v>
      </c>
      <c r="E9610">
        <v>98.8</v>
      </c>
      <c r="F9610">
        <v>20140521</v>
      </c>
      <c r="G9610" t="s">
        <v>4406</v>
      </c>
      <c r="H9610" t="s">
        <v>1018</v>
      </c>
      <c r="I9610" t="s">
        <v>21</v>
      </c>
    </row>
    <row r="9611" spans="1:9" x14ac:dyDescent="0.25">
      <c r="A9611">
        <v>20140522</v>
      </c>
      <c r="B9611" t="str">
        <f t="shared" si="559"/>
        <v>115857</v>
      </c>
      <c r="C9611" t="str">
        <f t="shared" si="560"/>
        <v>83878</v>
      </c>
      <c r="D9611" t="s">
        <v>1016</v>
      </c>
      <c r="E9611">
        <v>663.36</v>
      </c>
      <c r="F9611">
        <v>20140521</v>
      </c>
      <c r="G9611" t="s">
        <v>585</v>
      </c>
      <c r="H9611" t="s">
        <v>1018</v>
      </c>
      <c r="I9611" t="s">
        <v>21</v>
      </c>
    </row>
    <row r="9612" spans="1:9" x14ac:dyDescent="0.25">
      <c r="A9612">
        <v>20140522</v>
      </c>
      <c r="B9612" t="str">
        <f t="shared" si="559"/>
        <v>115857</v>
      </c>
      <c r="C9612" t="str">
        <f t="shared" si="560"/>
        <v>83878</v>
      </c>
      <c r="D9612" t="s">
        <v>1016</v>
      </c>
      <c r="E9612">
        <v>56.99</v>
      </c>
      <c r="F9612">
        <v>20140521</v>
      </c>
      <c r="G9612" t="s">
        <v>837</v>
      </c>
      <c r="H9612" t="s">
        <v>1018</v>
      </c>
      <c r="I9612" t="s">
        <v>21</v>
      </c>
    </row>
    <row r="9613" spans="1:9" x14ac:dyDescent="0.25">
      <c r="A9613">
        <v>20140522</v>
      </c>
      <c r="B9613" t="str">
        <f t="shared" si="559"/>
        <v>115857</v>
      </c>
      <c r="C9613" t="str">
        <f t="shared" si="560"/>
        <v>83878</v>
      </c>
      <c r="D9613" t="s">
        <v>1016</v>
      </c>
      <c r="E9613" s="1">
        <v>2179.36</v>
      </c>
      <c r="F9613">
        <v>20140521</v>
      </c>
      <c r="G9613" t="s">
        <v>1026</v>
      </c>
      <c r="H9613" t="s">
        <v>1018</v>
      </c>
      <c r="I9613" t="s">
        <v>21</v>
      </c>
    </row>
    <row r="9614" spans="1:9" x14ac:dyDescent="0.25">
      <c r="A9614">
        <v>20140522</v>
      </c>
      <c r="B9614" t="str">
        <f t="shared" si="559"/>
        <v>115857</v>
      </c>
      <c r="C9614" t="str">
        <f t="shared" si="560"/>
        <v>83878</v>
      </c>
      <c r="D9614" t="s">
        <v>1016</v>
      </c>
      <c r="E9614">
        <v>467.32</v>
      </c>
      <c r="F9614">
        <v>20140521</v>
      </c>
      <c r="G9614" t="s">
        <v>926</v>
      </c>
      <c r="H9614" t="s">
        <v>1018</v>
      </c>
      <c r="I9614" t="s">
        <v>21</v>
      </c>
    </row>
    <row r="9615" spans="1:9" x14ac:dyDescent="0.25">
      <c r="A9615">
        <v>20140522</v>
      </c>
      <c r="B9615" t="str">
        <f t="shared" si="559"/>
        <v>115857</v>
      </c>
      <c r="C9615" t="str">
        <f t="shared" si="560"/>
        <v>83878</v>
      </c>
      <c r="D9615" t="s">
        <v>1016</v>
      </c>
      <c r="E9615">
        <v>512.95000000000005</v>
      </c>
      <c r="F9615">
        <v>20140521</v>
      </c>
      <c r="G9615" t="s">
        <v>367</v>
      </c>
      <c r="H9615" t="s">
        <v>1018</v>
      </c>
      <c r="I9615" t="s">
        <v>21</v>
      </c>
    </row>
    <row r="9616" spans="1:9" x14ac:dyDescent="0.25">
      <c r="A9616">
        <v>20140522</v>
      </c>
      <c r="B9616" t="str">
        <f t="shared" ref="B9616:B9642" si="561">"115857"</f>
        <v>115857</v>
      </c>
      <c r="C9616" t="str">
        <f t="shared" ref="C9616:C9642" si="562">"83878"</f>
        <v>83878</v>
      </c>
      <c r="D9616" t="s">
        <v>1016</v>
      </c>
      <c r="E9616">
        <v>93.5</v>
      </c>
      <c r="F9616">
        <v>20140521</v>
      </c>
      <c r="G9616" t="s">
        <v>704</v>
      </c>
      <c r="H9616" t="s">
        <v>1018</v>
      </c>
      <c r="I9616" t="s">
        <v>21</v>
      </c>
    </row>
    <row r="9617" spans="1:9" x14ac:dyDescent="0.25">
      <c r="A9617">
        <v>20140522</v>
      </c>
      <c r="B9617" t="str">
        <f t="shared" si="561"/>
        <v>115857</v>
      </c>
      <c r="C9617" t="str">
        <f t="shared" si="562"/>
        <v>83878</v>
      </c>
      <c r="D9617" t="s">
        <v>1016</v>
      </c>
      <c r="E9617">
        <v>109.71</v>
      </c>
      <c r="F9617">
        <v>20140521</v>
      </c>
      <c r="G9617" t="s">
        <v>1219</v>
      </c>
      <c r="H9617" t="s">
        <v>1018</v>
      </c>
      <c r="I9617" t="s">
        <v>21</v>
      </c>
    </row>
    <row r="9618" spans="1:9" x14ac:dyDescent="0.25">
      <c r="A9618">
        <v>20140522</v>
      </c>
      <c r="B9618" t="str">
        <f t="shared" si="561"/>
        <v>115857</v>
      </c>
      <c r="C9618" t="str">
        <f t="shared" si="562"/>
        <v>83878</v>
      </c>
      <c r="D9618" t="s">
        <v>1016</v>
      </c>
      <c r="E9618">
        <v>49.48</v>
      </c>
      <c r="F9618">
        <v>20140521</v>
      </c>
      <c r="G9618" t="s">
        <v>475</v>
      </c>
      <c r="H9618" t="s">
        <v>1018</v>
      </c>
      <c r="I9618" t="s">
        <v>21</v>
      </c>
    </row>
    <row r="9619" spans="1:9" x14ac:dyDescent="0.25">
      <c r="A9619">
        <v>20140522</v>
      </c>
      <c r="B9619" t="str">
        <f t="shared" si="561"/>
        <v>115857</v>
      </c>
      <c r="C9619" t="str">
        <f t="shared" si="562"/>
        <v>83878</v>
      </c>
      <c r="D9619" t="s">
        <v>1016</v>
      </c>
      <c r="E9619">
        <v>97.02</v>
      </c>
      <c r="F9619">
        <v>20140521</v>
      </c>
      <c r="G9619" t="s">
        <v>415</v>
      </c>
      <c r="H9619" t="s">
        <v>1018</v>
      </c>
      <c r="I9619" t="s">
        <v>21</v>
      </c>
    </row>
    <row r="9620" spans="1:9" x14ac:dyDescent="0.25">
      <c r="A9620">
        <v>20140522</v>
      </c>
      <c r="B9620" t="str">
        <f t="shared" si="561"/>
        <v>115857</v>
      </c>
      <c r="C9620" t="str">
        <f t="shared" si="562"/>
        <v>83878</v>
      </c>
      <c r="D9620" t="s">
        <v>1016</v>
      </c>
      <c r="E9620">
        <v>421.29</v>
      </c>
      <c r="F9620">
        <v>20140521</v>
      </c>
      <c r="G9620" t="s">
        <v>417</v>
      </c>
      <c r="H9620" t="s">
        <v>1018</v>
      </c>
      <c r="I9620" t="s">
        <v>21</v>
      </c>
    </row>
    <row r="9621" spans="1:9" x14ac:dyDescent="0.25">
      <c r="A9621">
        <v>20140522</v>
      </c>
      <c r="B9621" t="str">
        <f t="shared" si="561"/>
        <v>115857</v>
      </c>
      <c r="C9621" t="str">
        <f t="shared" si="562"/>
        <v>83878</v>
      </c>
      <c r="D9621" t="s">
        <v>1016</v>
      </c>
      <c r="E9621">
        <v>378</v>
      </c>
      <c r="F9621">
        <v>20140521</v>
      </c>
      <c r="G9621" t="s">
        <v>734</v>
      </c>
      <c r="H9621" t="s">
        <v>1018</v>
      </c>
      <c r="I9621" t="s">
        <v>21</v>
      </c>
    </row>
    <row r="9622" spans="1:9" x14ac:dyDescent="0.25">
      <c r="A9622">
        <v>20140522</v>
      </c>
      <c r="B9622" t="str">
        <f t="shared" si="561"/>
        <v>115857</v>
      </c>
      <c r="C9622" t="str">
        <f t="shared" si="562"/>
        <v>83878</v>
      </c>
      <c r="D9622" t="s">
        <v>1016</v>
      </c>
      <c r="E9622">
        <v>224.47</v>
      </c>
      <c r="F9622">
        <v>20140521</v>
      </c>
      <c r="G9622" t="s">
        <v>840</v>
      </c>
      <c r="H9622" t="s">
        <v>1018</v>
      </c>
      <c r="I9622" t="s">
        <v>21</v>
      </c>
    </row>
    <row r="9623" spans="1:9" x14ac:dyDescent="0.25">
      <c r="A9623">
        <v>20140522</v>
      </c>
      <c r="B9623" t="str">
        <f t="shared" si="561"/>
        <v>115857</v>
      </c>
      <c r="C9623" t="str">
        <f t="shared" si="562"/>
        <v>83878</v>
      </c>
      <c r="D9623" t="s">
        <v>1016</v>
      </c>
      <c r="E9623">
        <v>83.44</v>
      </c>
      <c r="F9623">
        <v>20140521</v>
      </c>
      <c r="G9623" t="s">
        <v>574</v>
      </c>
      <c r="H9623" t="s">
        <v>1018</v>
      </c>
      <c r="I9623" t="s">
        <v>21</v>
      </c>
    </row>
    <row r="9624" spans="1:9" x14ac:dyDescent="0.25">
      <c r="A9624">
        <v>20140522</v>
      </c>
      <c r="B9624" t="str">
        <f t="shared" si="561"/>
        <v>115857</v>
      </c>
      <c r="C9624" t="str">
        <f t="shared" si="562"/>
        <v>83878</v>
      </c>
      <c r="D9624" t="s">
        <v>1016</v>
      </c>
      <c r="E9624">
        <v>225</v>
      </c>
      <c r="F9624">
        <v>20140521</v>
      </c>
      <c r="G9624" t="s">
        <v>3820</v>
      </c>
      <c r="H9624" t="s">
        <v>1018</v>
      </c>
      <c r="I9624" t="s">
        <v>21</v>
      </c>
    </row>
    <row r="9625" spans="1:9" x14ac:dyDescent="0.25">
      <c r="A9625">
        <v>20140522</v>
      </c>
      <c r="B9625" t="str">
        <f t="shared" si="561"/>
        <v>115857</v>
      </c>
      <c r="C9625" t="str">
        <f t="shared" si="562"/>
        <v>83878</v>
      </c>
      <c r="D9625" t="s">
        <v>1016</v>
      </c>
      <c r="E9625" s="1">
        <v>1306.48</v>
      </c>
      <c r="F9625">
        <v>20140521</v>
      </c>
      <c r="G9625" t="s">
        <v>1833</v>
      </c>
      <c r="H9625" t="s">
        <v>1018</v>
      </c>
      <c r="I9625" t="s">
        <v>66</v>
      </c>
    </row>
    <row r="9626" spans="1:9" x14ac:dyDescent="0.25">
      <c r="A9626">
        <v>20140522</v>
      </c>
      <c r="B9626" t="str">
        <f t="shared" si="561"/>
        <v>115857</v>
      </c>
      <c r="C9626" t="str">
        <f t="shared" si="562"/>
        <v>83878</v>
      </c>
      <c r="D9626" t="s">
        <v>1016</v>
      </c>
      <c r="E9626">
        <v>35.28</v>
      </c>
      <c r="F9626">
        <v>20140521</v>
      </c>
      <c r="G9626" t="s">
        <v>1247</v>
      </c>
      <c r="H9626" t="s">
        <v>1018</v>
      </c>
      <c r="I9626" t="s">
        <v>66</v>
      </c>
    </row>
    <row r="9627" spans="1:9" x14ac:dyDescent="0.25">
      <c r="A9627">
        <v>20140522</v>
      </c>
      <c r="B9627" t="str">
        <f t="shared" si="561"/>
        <v>115857</v>
      </c>
      <c r="C9627" t="str">
        <f t="shared" si="562"/>
        <v>83878</v>
      </c>
      <c r="D9627" t="s">
        <v>1016</v>
      </c>
      <c r="E9627">
        <v>607.37</v>
      </c>
      <c r="F9627">
        <v>20140521</v>
      </c>
      <c r="G9627" t="s">
        <v>810</v>
      </c>
      <c r="H9627" t="s">
        <v>1018</v>
      </c>
      <c r="I9627" t="s">
        <v>66</v>
      </c>
    </row>
    <row r="9628" spans="1:9" x14ac:dyDescent="0.25">
      <c r="A9628">
        <v>20140522</v>
      </c>
      <c r="B9628" t="str">
        <f t="shared" si="561"/>
        <v>115857</v>
      </c>
      <c r="C9628" t="str">
        <f t="shared" si="562"/>
        <v>83878</v>
      </c>
      <c r="D9628" t="s">
        <v>1016</v>
      </c>
      <c r="E9628">
        <v>266.55</v>
      </c>
      <c r="F9628">
        <v>20140521</v>
      </c>
      <c r="G9628" t="s">
        <v>810</v>
      </c>
      <c r="H9628" t="s">
        <v>1018</v>
      </c>
      <c r="I9628" t="s">
        <v>66</v>
      </c>
    </row>
    <row r="9629" spans="1:9" x14ac:dyDescent="0.25">
      <c r="A9629">
        <v>20140522</v>
      </c>
      <c r="B9629" t="str">
        <f t="shared" si="561"/>
        <v>115857</v>
      </c>
      <c r="C9629" t="str">
        <f t="shared" si="562"/>
        <v>83878</v>
      </c>
      <c r="D9629" t="s">
        <v>1016</v>
      </c>
      <c r="E9629">
        <v>123.71</v>
      </c>
      <c r="F9629">
        <v>20140521</v>
      </c>
      <c r="G9629" t="s">
        <v>4219</v>
      </c>
      <c r="H9629" t="s">
        <v>1018</v>
      </c>
      <c r="I9629" t="s">
        <v>66</v>
      </c>
    </row>
    <row r="9630" spans="1:9" x14ac:dyDescent="0.25">
      <c r="A9630">
        <v>20140522</v>
      </c>
      <c r="B9630" t="str">
        <f t="shared" si="561"/>
        <v>115857</v>
      </c>
      <c r="C9630" t="str">
        <f t="shared" si="562"/>
        <v>83878</v>
      </c>
      <c r="D9630" t="s">
        <v>1016</v>
      </c>
      <c r="E9630">
        <v>425.5</v>
      </c>
      <c r="F9630">
        <v>20140521</v>
      </c>
      <c r="G9630" t="s">
        <v>1404</v>
      </c>
      <c r="H9630" t="s">
        <v>1018</v>
      </c>
      <c r="I9630" t="s">
        <v>12</v>
      </c>
    </row>
    <row r="9631" spans="1:9" x14ac:dyDescent="0.25">
      <c r="A9631">
        <v>20140522</v>
      </c>
      <c r="B9631" t="str">
        <f t="shared" si="561"/>
        <v>115857</v>
      </c>
      <c r="C9631" t="str">
        <f t="shared" si="562"/>
        <v>83878</v>
      </c>
      <c r="D9631" t="s">
        <v>1016</v>
      </c>
      <c r="E9631">
        <v>135.47</v>
      </c>
      <c r="F9631">
        <v>20140521</v>
      </c>
      <c r="G9631" t="s">
        <v>932</v>
      </c>
      <c r="H9631" t="s">
        <v>1018</v>
      </c>
      <c r="I9631" t="s">
        <v>77</v>
      </c>
    </row>
    <row r="9632" spans="1:9" x14ac:dyDescent="0.25">
      <c r="A9632">
        <v>20140522</v>
      </c>
      <c r="B9632" t="str">
        <f t="shared" si="561"/>
        <v>115857</v>
      </c>
      <c r="C9632" t="str">
        <f t="shared" si="562"/>
        <v>83878</v>
      </c>
      <c r="D9632" t="s">
        <v>1016</v>
      </c>
      <c r="E9632">
        <v>1</v>
      </c>
      <c r="F9632">
        <v>20140521</v>
      </c>
      <c r="G9632" t="s">
        <v>4407</v>
      </c>
      <c r="H9632" t="s">
        <v>1018</v>
      </c>
      <c r="I9632" t="s">
        <v>38</v>
      </c>
    </row>
    <row r="9633" spans="1:9" x14ac:dyDescent="0.25">
      <c r="A9633">
        <v>20140522</v>
      </c>
      <c r="B9633" t="str">
        <f t="shared" si="561"/>
        <v>115857</v>
      </c>
      <c r="C9633" t="str">
        <f t="shared" si="562"/>
        <v>83878</v>
      </c>
      <c r="D9633" t="s">
        <v>1016</v>
      </c>
      <c r="E9633">
        <v>238.21</v>
      </c>
      <c r="F9633">
        <v>20140521</v>
      </c>
      <c r="G9633" t="s">
        <v>181</v>
      </c>
      <c r="H9633" t="s">
        <v>1018</v>
      </c>
      <c r="I9633" t="s">
        <v>38</v>
      </c>
    </row>
    <row r="9634" spans="1:9" x14ac:dyDescent="0.25">
      <c r="A9634">
        <v>20140522</v>
      </c>
      <c r="B9634" t="str">
        <f t="shared" si="561"/>
        <v>115857</v>
      </c>
      <c r="C9634" t="str">
        <f t="shared" si="562"/>
        <v>83878</v>
      </c>
      <c r="D9634" t="s">
        <v>1016</v>
      </c>
      <c r="E9634">
        <v>678.49</v>
      </c>
      <c r="F9634">
        <v>20140521</v>
      </c>
      <c r="G9634" t="s">
        <v>289</v>
      </c>
      <c r="H9634" t="s">
        <v>1018</v>
      </c>
      <c r="I9634" t="s">
        <v>38</v>
      </c>
    </row>
    <row r="9635" spans="1:9" x14ac:dyDescent="0.25">
      <c r="A9635">
        <v>20140522</v>
      </c>
      <c r="B9635" t="str">
        <f t="shared" si="561"/>
        <v>115857</v>
      </c>
      <c r="C9635" t="str">
        <f t="shared" si="562"/>
        <v>83878</v>
      </c>
      <c r="D9635" t="s">
        <v>1016</v>
      </c>
      <c r="E9635">
        <v>559.04999999999995</v>
      </c>
      <c r="F9635">
        <v>20140521</v>
      </c>
      <c r="G9635" t="s">
        <v>4331</v>
      </c>
      <c r="H9635" t="s">
        <v>1018</v>
      </c>
      <c r="I9635" t="s">
        <v>38</v>
      </c>
    </row>
    <row r="9636" spans="1:9" x14ac:dyDescent="0.25">
      <c r="A9636">
        <v>20140522</v>
      </c>
      <c r="B9636" t="str">
        <f t="shared" si="561"/>
        <v>115857</v>
      </c>
      <c r="C9636" t="str">
        <f t="shared" si="562"/>
        <v>83878</v>
      </c>
      <c r="D9636" t="s">
        <v>1016</v>
      </c>
      <c r="E9636">
        <v>125.96</v>
      </c>
      <c r="F9636">
        <v>20140521</v>
      </c>
      <c r="G9636" t="s">
        <v>36</v>
      </c>
      <c r="H9636" t="s">
        <v>1018</v>
      </c>
      <c r="I9636" t="s">
        <v>38</v>
      </c>
    </row>
    <row r="9637" spans="1:9" x14ac:dyDescent="0.25">
      <c r="A9637">
        <v>20140522</v>
      </c>
      <c r="B9637" t="str">
        <f t="shared" si="561"/>
        <v>115857</v>
      </c>
      <c r="C9637" t="str">
        <f t="shared" si="562"/>
        <v>83878</v>
      </c>
      <c r="D9637" t="s">
        <v>1016</v>
      </c>
      <c r="E9637">
        <v>126.12</v>
      </c>
      <c r="F9637">
        <v>20140521</v>
      </c>
      <c r="G9637" t="s">
        <v>119</v>
      </c>
      <c r="H9637" t="s">
        <v>1018</v>
      </c>
      <c r="I9637" t="s">
        <v>38</v>
      </c>
    </row>
    <row r="9638" spans="1:9" x14ac:dyDescent="0.25">
      <c r="A9638">
        <v>20140522</v>
      </c>
      <c r="B9638" t="str">
        <f t="shared" si="561"/>
        <v>115857</v>
      </c>
      <c r="C9638" t="str">
        <f t="shared" si="562"/>
        <v>83878</v>
      </c>
      <c r="D9638" t="s">
        <v>1016</v>
      </c>
      <c r="E9638">
        <v>168.89</v>
      </c>
      <c r="F9638">
        <v>20140521</v>
      </c>
      <c r="G9638" t="s">
        <v>39</v>
      </c>
      <c r="H9638" t="s">
        <v>1018</v>
      </c>
      <c r="I9638" t="s">
        <v>38</v>
      </c>
    </row>
    <row r="9639" spans="1:9" x14ac:dyDescent="0.25">
      <c r="A9639">
        <v>20140522</v>
      </c>
      <c r="B9639" t="str">
        <f t="shared" si="561"/>
        <v>115857</v>
      </c>
      <c r="C9639" t="str">
        <f t="shared" si="562"/>
        <v>83878</v>
      </c>
      <c r="D9639" t="s">
        <v>1016</v>
      </c>
      <c r="E9639">
        <v>188.95</v>
      </c>
      <c r="F9639">
        <v>20140521</v>
      </c>
      <c r="G9639" t="s">
        <v>3120</v>
      </c>
      <c r="H9639" t="s">
        <v>1018</v>
      </c>
      <c r="I9639" t="s">
        <v>3121</v>
      </c>
    </row>
    <row r="9640" spans="1:9" x14ac:dyDescent="0.25">
      <c r="A9640">
        <v>20140522</v>
      </c>
      <c r="B9640" t="str">
        <f t="shared" si="561"/>
        <v>115857</v>
      </c>
      <c r="C9640" t="str">
        <f t="shared" si="562"/>
        <v>83878</v>
      </c>
      <c r="D9640" t="s">
        <v>1016</v>
      </c>
      <c r="E9640">
        <v>34.18</v>
      </c>
      <c r="F9640">
        <v>20140521</v>
      </c>
      <c r="G9640" t="s">
        <v>159</v>
      </c>
      <c r="H9640" t="s">
        <v>1018</v>
      </c>
      <c r="I9640" t="s">
        <v>25</v>
      </c>
    </row>
    <row r="9641" spans="1:9" x14ac:dyDescent="0.25">
      <c r="A9641">
        <v>20140522</v>
      </c>
      <c r="B9641" t="str">
        <f t="shared" si="561"/>
        <v>115857</v>
      </c>
      <c r="C9641" t="str">
        <f t="shared" si="562"/>
        <v>83878</v>
      </c>
      <c r="D9641" t="s">
        <v>1016</v>
      </c>
      <c r="E9641">
        <v>440</v>
      </c>
      <c r="F9641">
        <v>20140521</v>
      </c>
      <c r="G9641" t="s">
        <v>174</v>
      </c>
      <c r="H9641" t="s">
        <v>1018</v>
      </c>
      <c r="I9641" t="s">
        <v>25</v>
      </c>
    </row>
    <row r="9642" spans="1:9" x14ac:dyDescent="0.25">
      <c r="A9642">
        <v>20140522</v>
      </c>
      <c r="B9642" t="str">
        <f t="shared" si="561"/>
        <v>115857</v>
      </c>
      <c r="C9642" t="str">
        <f t="shared" si="562"/>
        <v>83878</v>
      </c>
      <c r="D9642" t="s">
        <v>1016</v>
      </c>
      <c r="E9642" s="1">
        <v>1140.6600000000001</v>
      </c>
      <c r="F9642">
        <v>20140521</v>
      </c>
      <c r="G9642" t="s">
        <v>209</v>
      </c>
      <c r="H9642" t="s">
        <v>1018</v>
      </c>
      <c r="I9642" t="s">
        <v>25</v>
      </c>
    </row>
    <row r="9643" spans="1:9" x14ac:dyDescent="0.25">
      <c r="A9643">
        <v>20140522</v>
      </c>
      <c r="B9643" t="str">
        <f>"115858"</f>
        <v>115858</v>
      </c>
      <c r="C9643" t="str">
        <f>"16500"</f>
        <v>16500</v>
      </c>
      <c r="D9643" t="s">
        <v>798</v>
      </c>
      <c r="E9643">
        <v>374.9</v>
      </c>
      <c r="F9643">
        <v>20140516</v>
      </c>
      <c r="G9643" t="s">
        <v>39</v>
      </c>
      <c r="H9643" t="s">
        <v>784</v>
      </c>
      <c r="I9643" t="s">
        <v>38</v>
      </c>
    </row>
    <row r="9644" spans="1:9" x14ac:dyDescent="0.25">
      <c r="A9644">
        <v>20140522</v>
      </c>
      <c r="B9644" t="str">
        <f>"115858"</f>
        <v>115858</v>
      </c>
      <c r="C9644" t="str">
        <f>"16500"</f>
        <v>16500</v>
      </c>
      <c r="D9644" t="s">
        <v>798</v>
      </c>
      <c r="E9644">
        <v>1.61</v>
      </c>
      <c r="F9644">
        <v>20140516</v>
      </c>
      <c r="G9644" t="s">
        <v>39</v>
      </c>
      <c r="H9644" t="s">
        <v>4408</v>
      </c>
      <c r="I9644" t="s">
        <v>38</v>
      </c>
    </row>
    <row r="9645" spans="1:9" x14ac:dyDescent="0.25">
      <c r="A9645">
        <v>20140522</v>
      </c>
      <c r="B9645" t="str">
        <f>"115859"</f>
        <v>115859</v>
      </c>
      <c r="C9645" t="str">
        <f>"84575"</f>
        <v>84575</v>
      </c>
      <c r="D9645" t="s">
        <v>1568</v>
      </c>
      <c r="E9645">
        <v>345.6</v>
      </c>
      <c r="F9645">
        <v>20140520</v>
      </c>
      <c r="G9645" t="s">
        <v>562</v>
      </c>
      <c r="H9645" t="s">
        <v>563</v>
      </c>
      <c r="I9645" t="s">
        <v>21</v>
      </c>
    </row>
    <row r="9646" spans="1:9" x14ac:dyDescent="0.25">
      <c r="A9646">
        <v>20140522</v>
      </c>
      <c r="B9646" t="str">
        <f>"115860"</f>
        <v>115860</v>
      </c>
      <c r="C9646" t="str">
        <f>"85759"</f>
        <v>85759</v>
      </c>
      <c r="D9646" t="s">
        <v>4409</v>
      </c>
      <c r="E9646" s="1">
        <v>3513</v>
      </c>
      <c r="F9646">
        <v>20140516</v>
      </c>
      <c r="G9646" t="s">
        <v>2147</v>
      </c>
      <c r="H9646" t="s">
        <v>4410</v>
      </c>
      <c r="I9646" t="s">
        <v>21</v>
      </c>
    </row>
    <row r="9647" spans="1:9" x14ac:dyDescent="0.25">
      <c r="A9647">
        <v>20140522</v>
      </c>
      <c r="B9647" t="str">
        <f>"115860"</f>
        <v>115860</v>
      </c>
      <c r="C9647" t="str">
        <f>"85759"</f>
        <v>85759</v>
      </c>
      <c r="D9647" t="s">
        <v>4409</v>
      </c>
      <c r="E9647" s="1">
        <v>14010</v>
      </c>
      <c r="F9647">
        <v>20140516</v>
      </c>
      <c r="G9647" t="s">
        <v>2147</v>
      </c>
      <c r="H9647" t="s">
        <v>4411</v>
      </c>
      <c r="I9647" t="s">
        <v>21</v>
      </c>
    </row>
    <row r="9648" spans="1:9" x14ac:dyDescent="0.25">
      <c r="A9648">
        <v>20140522</v>
      </c>
      <c r="B9648" t="str">
        <f>"115860"</f>
        <v>115860</v>
      </c>
      <c r="C9648" t="str">
        <f>"85759"</f>
        <v>85759</v>
      </c>
      <c r="D9648" t="s">
        <v>4409</v>
      </c>
      <c r="E9648" s="1">
        <v>5137</v>
      </c>
      <c r="F9648">
        <v>20140516</v>
      </c>
      <c r="G9648" t="s">
        <v>3555</v>
      </c>
      <c r="H9648" t="s">
        <v>4412</v>
      </c>
      <c r="I9648" t="s">
        <v>12</v>
      </c>
    </row>
    <row r="9649" spans="1:9" x14ac:dyDescent="0.25">
      <c r="A9649">
        <v>20140522</v>
      </c>
      <c r="B9649" t="str">
        <f>"115860"</f>
        <v>115860</v>
      </c>
      <c r="C9649" t="str">
        <f>"85759"</f>
        <v>85759</v>
      </c>
      <c r="D9649" t="s">
        <v>4409</v>
      </c>
      <c r="E9649" s="1">
        <v>13710.08</v>
      </c>
      <c r="F9649">
        <v>20140516</v>
      </c>
      <c r="G9649" t="s">
        <v>1900</v>
      </c>
      <c r="H9649" t="s">
        <v>4413</v>
      </c>
      <c r="I9649" t="s">
        <v>608</v>
      </c>
    </row>
    <row r="9650" spans="1:9" x14ac:dyDescent="0.25">
      <c r="A9650">
        <v>20140522</v>
      </c>
      <c r="B9650" t="str">
        <f>"115861"</f>
        <v>115861</v>
      </c>
      <c r="C9650" t="str">
        <f>"00244"</f>
        <v>00244</v>
      </c>
      <c r="D9650" t="s">
        <v>4414</v>
      </c>
      <c r="E9650">
        <v>175</v>
      </c>
      <c r="F9650">
        <v>20140520</v>
      </c>
      <c r="G9650" t="s">
        <v>2639</v>
      </c>
      <c r="H9650" t="s">
        <v>4415</v>
      </c>
      <c r="I9650" t="s">
        <v>21</v>
      </c>
    </row>
    <row r="9651" spans="1:9" x14ac:dyDescent="0.25">
      <c r="A9651">
        <v>20140522</v>
      </c>
      <c r="B9651" t="str">
        <f>"115862"</f>
        <v>115862</v>
      </c>
      <c r="C9651" t="str">
        <f>"23122"</f>
        <v>23122</v>
      </c>
      <c r="D9651" t="s">
        <v>2337</v>
      </c>
      <c r="E9651">
        <v>123</v>
      </c>
      <c r="F9651">
        <v>20140520</v>
      </c>
      <c r="G9651" t="s">
        <v>181</v>
      </c>
      <c r="H9651" t="s">
        <v>4204</v>
      </c>
      <c r="I9651" t="s">
        <v>38</v>
      </c>
    </row>
    <row r="9652" spans="1:9" x14ac:dyDescent="0.25">
      <c r="A9652">
        <v>20140522</v>
      </c>
      <c r="B9652" t="str">
        <f>"115863"</f>
        <v>115863</v>
      </c>
      <c r="C9652" t="str">
        <f>"21950"</f>
        <v>21950</v>
      </c>
      <c r="D9652" t="s">
        <v>35</v>
      </c>
      <c r="E9652">
        <v>18.5</v>
      </c>
      <c r="F9652">
        <v>20140516</v>
      </c>
      <c r="G9652" t="s">
        <v>128</v>
      </c>
      <c r="H9652" t="s">
        <v>2814</v>
      </c>
      <c r="I9652" t="s">
        <v>21</v>
      </c>
    </row>
    <row r="9653" spans="1:9" x14ac:dyDescent="0.25">
      <c r="A9653">
        <v>20140522</v>
      </c>
      <c r="B9653" t="str">
        <f>"115864"</f>
        <v>115864</v>
      </c>
      <c r="C9653" t="str">
        <f>"83480"</f>
        <v>83480</v>
      </c>
      <c r="D9653" t="s">
        <v>1972</v>
      </c>
      <c r="E9653">
        <v>22.44</v>
      </c>
      <c r="F9653">
        <v>20140520</v>
      </c>
      <c r="G9653" t="s">
        <v>181</v>
      </c>
      <c r="H9653" t="s">
        <v>354</v>
      </c>
      <c r="I9653" t="s">
        <v>38</v>
      </c>
    </row>
    <row r="9654" spans="1:9" x14ac:dyDescent="0.25">
      <c r="A9654">
        <v>20140522</v>
      </c>
      <c r="B9654" t="str">
        <f>"115865"</f>
        <v>115865</v>
      </c>
      <c r="C9654" t="str">
        <f>"87786"</f>
        <v>87786</v>
      </c>
      <c r="D9654" t="s">
        <v>3651</v>
      </c>
      <c r="E9654">
        <v>110.88</v>
      </c>
      <c r="F9654">
        <v>20140521</v>
      </c>
      <c r="G9654" t="s">
        <v>4416</v>
      </c>
      <c r="H9654" t="s">
        <v>365</v>
      </c>
      <c r="I9654" t="s">
        <v>131</v>
      </c>
    </row>
    <row r="9655" spans="1:9" x14ac:dyDescent="0.25">
      <c r="A9655">
        <v>20140522</v>
      </c>
      <c r="B9655" t="str">
        <f>"115866"</f>
        <v>115866</v>
      </c>
      <c r="C9655" t="str">
        <f>"24700"</f>
        <v>24700</v>
      </c>
      <c r="D9655" t="s">
        <v>2157</v>
      </c>
      <c r="E9655">
        <v>580.35</v>
      </c>
      <c r="F9655">
        <v>20140521</v>
      </c>
      <c r="G9655" t="s">
        <v>1774</v>
      </c>
      <c r="H9655" t="s">
        <v>414</v>
      </c>
      <c r="I9655" t="s">
        <v>21</v>
      </c>
    </row>
    <row r="9656" spans="1:9" x14ac:dyDescent="0.25">
      <c r="A9656">
        <v>20140522</v>
      </c>
      <c r="B9656" t="str">
        <f>"115867"</f>
        <v>115867</v>
      </c>
      <c r="C9656" t="str">
        <f>"85549"</f>
        <v>85549</v>
      </c>
      <c r="D9656" t="s">
        <v>4214</v>
      </c>
      <c r="E9656">
        <v>132.32</v>
      </c>
      <c r="F9656">
        <v>20140516</v>
      </c>
      <c r="G9656" t="s">
        <v>1013</v>
      </c>
      <c r="H9656" t="s">
        <v>1090</v>
      </c>
      <c r="I9656" t="s">
        <v>38</v>
      </c>
    </row>
    <row r="9657" spans="1:9" x14ac:dyDescent="0.25">
      <c r="A9657">
        <v>20140522</v>
      </c>
      <c r="B9657" t="str">
        <f>"115868"</f>
        <v>115868</v>
      </c>
      <c r="C9657" t="str">
        <f>"26425"</f>
        <v>26425</v>
      </c>
      <c r="D9657" t="s">
        <v>822</v>
      </c>
      <c r="E9657">
        <v>387.28</v>
      </c>
      <c r="F9657">
        <v>20140521</v>
      </c>
      <c r="G9657" t="s">
        <v>1408</v>
      </c>
      <c r="H9657" t="s">
        <v>3917</v>
      </c>
      <c r="I9657" t="s">
        <v>12</v>
      </c>
    </row>
    <row r="9658" spans="1:9" x14ac:dyDescent="0.25">
      <c r="A9658">
        <v>20140522</v>
      </c>
      <c r="B9658" t="str">
        <f>"115869"</f>
        <v>115869</v>
      </c>
      <c r="C9658" t="str">
        <f>"83677"</f>
        <v>83677</v>
      </c>
      <c r="D9658" t="s">
        <v>4417</v>
      </c>
      <c r="E9658">
        <v>414.4</v>
      </c>
      <c r="F9658">
        <v>20140521</v>
      </c>
      <c r="G9658" t="s">
        <v>830</v>
      </c>
      <c r="H9658" t="s">
        <v>4418</v>
      </c>
      <c r="I9658" t="s">
        <v>21</v>
      </c>
    </row>
    <row r="9659" spans="1:9" x14ac:dyDescent="0.25">
      <c r="A9659">
        <v>20140522</v>
      </c>
      <c r="B9659" t="str">
        <f>"115870"</f>
        <v>115870</v>
      </c>
      <c r="C9659" t="str">
        <f>"28015"</f>
        <v>28015</v>
      </c>
      <c r="D9659" t="s">
        <v>1234</v>
      </c>
      <c r="E9659">
        <v>973.7</v>
      </c>
      <c r="F9659">
        <v>20140516</v>
      </c>
      <c r="G9659" t="s">
        <v>808</v>
      </c>
      <c r="H9659" t="s">
        <v>921</v>
      </c>
      <c r="I9659" t="s">
        <v>21</v>
      </c>
    </row>
    <row r="9660" spans="1:9" x14ac:dyDescent="0.25">
      <c r="A9660">
        <v>20140522</v>
      </c>
      <c r="B9660" t="str">
        <f>"115870"</f>
        <v>115870</v>
      </c>
      <c r="C9660" t="str">
        <f>"28015"</f>
        <v>28015</v>
      </c>
      <c r="D9660" t="s">
        <v>1234</v>
      </c>
      <c r="E9660" s="1">
        <v>1557.92</v>
      </c>
      <c r="F9660">
        <v>20140516</v>
      </c>
      <c r="G9660" t="s">
        <v>810</v>
      </c>
      <c r="H9660" t="s">
        <v>921</v>
      </c>
      <c r="I9660" t="s">
        <v>66</v>
      </c>
    </row>
    <row r="9661" spans="1:9" x14ac:dyDescent="0.25">
      <c r="A9661">
        <v>20140522</v>
      </c>
      <c r="B9661" t="str">
        <f>"115871"</f>
        <v>115871</v>
      </c>
      <c r="C9661" t="str">
        <f>"00653"</f>
        <v>00653</v>
      </c>
      <c r="D9661" t="s">
        <v>552</v>
      </c>
      <c r="E9661">
        <v>720.75</v>
      </c>
      <c r="F9661">
        <v>20140520</v>
      </c>
      <c r="G9661" t="s">
        <v>206</v>
      </c>
      <c r="H9661" t="s">
        <v>553</v>
      </c>
      <c r="I9661" t="s">
        <v>25</v>
      </c>
    </row>
    <row r="9662" spans="1:9" x14ac:dyDescent="0.25">
      <c r="A9662">
        <v>20140522</v>
      </c>
      <c r="B9662" t="str">
        <f>"115872"</f>
        <v>115872</v>
      </c>
      <c r="C9662" t="str">
        <f>"87454"</f>
        <v>87454</v>
      </c>
      <c r="D9662" t="s">
        <v>4419</v>
      </c>
      <c r="E9662" s="1">
        <v>3272.5</v>
      </c>
      <c r="F9662">
        <v>20140520</v>
      </c>
      <c r="G9662" t="s">
        <v>574</v>
      </c>
      <c r="H9662" t="s">
        <v>4420</v>
      </c>
      <c r="I9662" t="s">
        <v>21</v>
      </c>
    </row>
    <row r="9663" spans="1:9" x14ac:dyDescent="0.25">
      <c r="A9663">
        <v>20140522</v>
      </c>
      <c r="B9663" t="str">
        <f>"115873"</f>
        <v>115873</v>
      </c>
      <c r="C9663" t="str">
        <f>"29227"</f>
        <v>29227</v>
      </c>
      <c r="D9663" t="s">
        <v>1236</v>
      </c>
      <c r="E9663">
        <v>23.1</v>
      </c>
      <c r="F9663">
        <v>20140521</v>
      </c>
      <c r="G9663" t="s">
        <v>367</v>
      </c>
      <c r="H9663" t="s">
        <v>4135</v>
      </c>
      <c r="I9663" t="s">
        <v>21</v>
      </c>
    </row>
    <row r="9664" spans="1:9" x14ac:dyDescent="0.25">
      <c r="A9664">
        <v>20140522</v>
      </c>
      <c r="B9664" t="str">
        <f>"115873"</f>
        <v>115873</v>
      </c>
      <c r="C9664" t="str">
        <f>"29227"</f>
        <v>29227</v>
      </c>
      <c r="D9664" t="s">
        <v>1236</v>
      </c>
      <c r="E9664">
        <v>103.6</v>
      </c>
      <c r="F9664">
        <v>20140521</v>
      </c>
      <c r="G9664" t="s">
        <v>99</v>
      </c>
      <c r="H9664" t="s">
        <v>4135</v>
      </c>
      <c r="I9664" t="s">
        <v>21</v>
      </c>
    </row>
    <row r="9665" spans="1:9" x14ac:dyDescent="0.25">
      <c r="A9665">
        <v>20140522</v>
      </c>
      <c r="B9665" t="str">
        <f>"115874"</f>
        <v>115874</v>
      </c>
      <c r="C9665" t="str">
        <f>"87471"</f>
        <v>87471</v>
      </c>
      <c r="D9665" t="s">
        <v>1418</v>
      </c>
      <c r="E9665">
        <v>65</v>
      </c>
      <c r="F9665">
        <v>20140520</v>
      </c>
      <c r="G9665" t="s">
        <v>950</v>
      </c>
      <c r="H9665" t="s">
        <v>1355</v>
      </c>
      <c r="I9665" t="s">
        <v>21</v>
      </c>
    </row>
    <row r="9666" spans="1:9" x14ac:dyDescent="0.25">
      <c r="A9666">
        <v>20140522</v>
      </c>
      <c r="B9666" t="str">
        <f>"115875"</f>
        <v>115875</v>
      </c>
      <c r="C9666" t="str">
        <f>"30000"</f>
        <v>30000</v>
      </c>
      <c r="D9666" t="s">
        <v>556</v>
      </c>
      <c r="E9666">
        <v>56.5</v>
      </c>
      <c r="F9666">
        <v>20140521</v>
      </c>
      <c r="G9666" t="s">
        <v>2809</v>
      </c>
      <c r="H9666" t="s">
        <v>4421</v>
      </c>
      <c r="I9666" t="s">
        <v>21</v>
      </c>
    </row>
    <row r="9667" spans="1:9" x14ac:dyDescent="0.25">
      <c r="A9667">
        <v>20140522</v>
      </c>
      <c r="B9667" t="str">
        <f>"115875"</f>
        <v>115875</v>
      </c>
      <c r="C9667" t="str">
        <f>"30000"</f>
        <v>30000</v>
      </c>
      <c r="D9667" t="s">
        <v>556</v>
      </c>
      <c r="E9667">
        <v>177.66</v>
      </c>
      <c r="F9667">
        <v>20140520</v>
      </c>
      <c r="G9667" t="s">
        <v>840</v>
      </c>
      <c r="H9667" t="s">
        <v>414</v>
      </c>
      <c r="I9667" t="s">
        <v>21</v>
      </c>
    </row>
    <row r="9668" spans="1:9" x14ac:dyDescent="0.25">
      <c r="A9668">
        <v>20140522</v>
      </c>
      <c r="B9668" t="str">
        <f>"115876"</f>
        <v>115876</v>
      </c>
      <c r="C9668" t="str">
        <f>"30125"</f>
        <v>30125</v>
      </c>
      <c r="D9668" t="s">
        <v>2509</v>
      </c>
      <c r="E9668">
        <v>407.36</v>
      </c>
      <c r="F9668">
        <v>20140520</v>
      </c>
      <c r="G9668" t="s">
        <v>36</v>
      </c>
      <c r="H9668" t="s">
        <v>414</v>
      </c>
      <c r="I9668" t="s">
        <v>38</v>
      </c>
    </row>
    <row r="9669" spans="1:9" x14ac:dyDescent="0.25">
      <c r="A9669">
        <v>20140522</v>
      </c>
      <c r="B9669" t="str">
        <f>"115877"</f>
        <v>115877</v>
      </c>
      <c r="C9669" t="str">
        <f>"87037"</f>
        <v>87037</v>
      </c>
      <c r="D9669" t="s">
        <v>2184</v>
      </c>
      <c r="E9669">
        <v>9.5399999999999991</v>
      </c>
      <c r="F9669">
        <v>20140521</v>
      </c>
      <c r="G9669" t="s">
        <v>562</v>
      </c>
      <c r="H9669" t="s">
        <v>563</v>
      </c>
      <c r="I9669" t="s">
        <v>21</v>
      </c>
    </row>
    <row r="9670" spans="1:9" x14ac:dyDescent="0.25">
      <c r="A9670">
        <v>20140522</v>
      </c>
      <c r="B9670" t="str">
        <f>"115877"</f>
        <v>115877</v>
      </c>
      <c r="C9670" t="str">
        <f>"87037"</f>
        <v>87037</v>
      </c>
      <c r="D9670" t="s">
        <v>2184</v>
      </c>
      <c r="E9670">
        <v>12.33</v>
      </c>
      <c r="F9670">
        <v>20140521</v>
      </c>
      <c r="G9670" t="s">
        <v>562</v>
      </c>
      <c r="H9670" t="s">
        <v>563</v>
      </c>
      <c r="I9670" t="s">
        <v>21</v>
      </c>
    </row>
    <row r="9671" spans="1:9" x14ac:dyDescent="0.25">
      <c r="A9671">
        <v>20140522</v>
      </c>
      <c r="B9671" t="str">
        <f>"115877"</f>
        <v>115877</v>
      </c>
      <c r="C9671" t="str">
        <f>"87037"</f>
        <v>87037</v>
      </c>
      <c r="D9671" t="s">
        <v>2184</v>
      </c>
      <c r="E9671">
        <v>14.31</v>
      </c>
      <c r="F9671">
        <v>20140521</v>
      </c>
      <c r="G9671" t="s">
        <v>562</v>
      </c>
      <c r="H9671" t="s">
        <v>563</v>
      </c>
      <c r="I9671" t="s">
        <v>21</v>
      </c>
    </row>
    <row r="9672" spans="1:9" x14ac:dyDescent="0.25">
      <c r="A9672">
        <v>20140522</v>
      </c>
      <c r="B9672" t="str">
        <f>"115878"</f>
        <v>115878</v>
      </c>
      <c r="C9672" t="str">
        <f>"87811"</f>
        <v>87811</v>
      </c>
      <c r="D9672" t="s">
        <v>4073</v>
      </c>
      <c r="E9672">
        <v>418.52</v>
      </c>
      <c r="F9672">
        <v>20140520</v>
      </c>
      <c r="G9672" t="s">
        <v>1017</v>
      </c>
      <c r="H9672" t="s">
        <v>839</v>
      </c>
      <c r="I9672" t="s">
        <v>63</v>
      </c>
    </row>
    <row r="9673" spans="1:9" x14ac:dyDescent="0.25">
      <c r="A9673">
        <v>20140522</v>
      </c>
      <c r="B9673" t="str">
        <f>"115879"</f>
        <v>115879</v>
      </c>
      <c r="C9673" t="str">
        <f>"86971"</f>
        <v>86971</v>
      </c>
      <c r="D9673" t="s">
        <v>586</v>
      </c>
      <c r="E9673">
        <v>449.5</v>
      </c>
      <c r="F9673">
        <v>20140519</v>
      </c>
      <c r="G9673" t="s">
        <v>214</v>
      </c>
      <c r="H9673" t="s">
        <v>354</v>
      </c>
      <c r="I9673" t="s">
        <v>38</v>
      </c>
    </row>
    <row r="9674" spans="1:9" x14ac:dyDescent="0.25">
      <c r="A9674">
        <v>20140522</v>
      </c>
      <c r="B9674" t="str">
        <f>"115880"</f>
        <v>115880</v>
      </c>
      <c r="C9674" t="str">
        <f>"84799"</f>
        <v>84799</v>
      </c>
      <c r="D9674" t="s">
        <v>1432</v>
      </c>
      <c r="E9674" s="1">
        <v>2525.0700000000002</v>
      </c>
      <c r="F9674">
        <v>20140521</v>
      </c>
      <c r="G9674" t="s">
        <v>2492</v>
      </c>
      <c r="H9674" t="s">
        <v>414</v>
      </c>
      <c r="I9674" t="s">
        <v>21</v>
      </c>
    </row>
    <row r="9675" spans="1:9" x14ac:dyDescent="0.25">
      <c r="A9675">
        <v>20140522</v>
      </c>
      <c r="B9675" t="str">
        <f>"115881"</f>
        <v>115881</v>
      </c>
      <c r="C9675" t="str">
        <f>"87385"</f>
        <v>87385</v>
      </c>
      <c r="D9675" t="s">
        <v>1089</v>
      </c>
      <c r="E9675">
        <v>13.7</v>
      </c>
      <c r="F9675">
        <v>20140520</v>
      </c>
      <c r="G9675" t="s">
        <v>3820</v>
      </c>
      <c r="H9675" t="s">
        <v>414</v>
      </c>
      <c r="I9675" t="s">
        <v>21</v>
      </c>
    </row>
    <row r="9676" spans="1:9" x14ac:dyDescent="0.25">
      <c r="A9676">
        <v>20140522</v>
      </c>
      <c r="B9676" t="str">
        <f>"115881"</f>
        <v>115881</v>
      </c>
      <c r="C9676" t="str">
        <f>"87385"</f>
        <v>87385</v>
      </c>
      <c r="D9676" t="s">
        <v>1089</v>
      </c>
      <c r="E9676">
        <v>158.80000000000001</v>
      </c>
      <c r="F9676">
        <v>20140520</v>
      </c>
      <c r="G9676" t="s">
        <v>3820</v>
      </c>
      <c r="H9676" t="s">
        <v>414</v>
      </c>
      <c r="I9676" t="s">
        <v>21</v>
      </c>
    </row>
    <row r="9677" spans="1:9" x14ac:dyDescent="0.25">
      <c r="A9677">
        <v>20140522</v>
      </c>
      <c r="B9677" t="str">
        <f>"115881"</f>
        <v>115881</v>
      </c>
      <c r="C9677" t="str">
        <f>"87385"</f>
        <v>87385</v>
      </c>
      <c r="D9677" t="s">
        <v>1089</v>
      </c>
      <c r="E9677">
        <v>-15.88</v>
      </c>
      <c r="F9677">
        <v>20140522</v>
      </c>
      <c r="G9677" t="s">
        <v>3820</v>
      </c>
      <c r="H9677" t="s">
        <v>4422</v>
      </c>
      <c r="I9677" t="s">
        <v>21</v>
      </c>
    </row>
    <row r="9678" spans="1:9" x14ac:dyDescent="0.25">
      <c r="A9678">
        <v>20140522</v>
      </c>
      <c r="B9678" t="str">
        <f>"115881"</f>
        <v>115881</v>
      </c>
      <c r="C9678" t="str">
        <f>"87385"</f>
        <v>87385</v>
      </c>
      <c r="D9678" t="s">
        <v>1089</v>
      </c>
      <c r="E9678">
        <v>-1.37</v>
      </c>
      <c r="F9678">
        <v>20140522</v>
      </c>
      <c r="G9678" t="s">
        <v>3820</v>
      </c>
      <c r="H9678" t="s">
        <v>4422</v>
      </c>
      <c r="I9678" t="s">
        <v>21</v>
      </c>
    </row>
    <row r="9679" spans="1:9" x14ac:dyDescent="0.25">
      <c r="A9679">
        <v>20140522</v>
      </c>
      <c r="B9679" t="str">
        <f>"115882"</f>
        <v>115882</v>
      </c>
      <c r="C9679" t="str">
        <f>"82607"</f>
        <v>82607</v>
      </c>
      <c r="D9679" t="s">
        <v>4423</v>
      </c>
      <c r="E9679">
        <v>257</v>
      </c>
      <c r="F9679">
        <v>20140521</v>
      </c>
      <c r="G9679" t="s">
        <v>1408</v>
      </c>
      <c r="H9679" t="s">
        <v>4424</v>
      </c>
      <c r="I9679" t="s">
        <v>12</v>
      </c>
    </row>
    <row r="9680" spans="1:9" x14ac:dyDescent="0.25">
      <c r="A9680">
        <v>20140522</v>
      </c>
      <c r="B9680" t="str">
        <f>"115883"</f>
        <v>115883</v>
      </c>
      <c r="C9680" t="str">
        <f>"81525"</f>
        <v>81525</v>
      </c>
      <c r="D9680" t="s">
        <v>1252</v>
      </c>
      <c r="E9680">
        <v>53.64</v>
      </c>
      <c r="F9680">
        <v>20140516</v>
      </c>
      <c r="G9680" t="s">
        <v>2188</v>
      </c>
      <c r="H9680" t="s">
        <v>354</v>
      </c>
      <c r="I9680" t="s">
        <v>21</v>
      </c>
    </row>
    <row r="9681" spans="1:9" x14ac:dyDescent="0.25">
      <c r="A9681">
        <v>20140522</v>
      </c>
      <c r="B9681" t="str">
        <f t="shared" ref="B9681:B9691" si="563">"115884"</f>
        <v>115884</v>
      </c>
      <c r="C9681" t="str">
        <f t="shared" ref="C9681:C9691" si="564">"80993"</f>
        <v>80993</v>
      </c>
      <c r="D9681" t="s">
        <v>4150</v>
      </c>
      <c r="E9681">
        <v>244.44</v>
      </c>
      <c r="F9681">
        <v>20140520</v>
      </c>
      <c r="G9681" t="s">
        <v>3759</v>
      </c>
      <c r="H9681" t="s">
        <v>921</v>
      </c>
      <c r="I9681" t="s">
        <v>21</v>
      </c>
    </row>
    <row r="9682" spans="1:9" x14ac:dyDescent="0.25">
      <c r="A9682">
        <v>20140522</v>
      </c>
      <c r="B9682" t="str">
        <f t="shared" si="563"/>
        <v>115884</v>
      </c>
      <c r="C9682" t="str">
        <f t="shared" si="564"/>
        <v>80993</v>
      </c>
      <c r="D9682" t="s">
        <v>4150</v>
      </c>
      <c r="E9682">
        <v>100</v>
      </c>
      <c r="F9682">
        <v>20140521</v>
      </c>
      <c r="G9682" t="s">
        <v>3759</v>
      </c>
      <c r="H9682" t="s">
        <v>921</v>
      </c>
      <c r="I9682" t="s">
        <v>21</v>
      </c>
    </row>
    <row r="9683" spans="1:9" x14ac:dyDescent="0.25">
      <c r="A9683">
        <v>20140522</v>
      </c>
      <c r="B9683" t="str">
        <f t="shared" si="563"/>
        <v>115884</v>
      </c>
      <c r="C9683" t="str">
        <f t="shared" si="564"/>
        <v>80993</v>
      </c>
      <c r="D9683" t="s">
        <v>4150</v>
      </c>
      <c r="E9683">
        <v>344.44</v>
      </c>
      <c r="F9683">
        <v>20140520</v>
      </c>
      <c r="G9683" t="s">
        <v>1409</v>
      </c>
      <c r="H9683" t="s">
        <v>921</v>
      </c>
      <c r="I9683" t="s">
        <v>21</v>
      </c>
    </row>
    <row r="9684" spans="1:9" x14ac:dyDescent="0.25">
      <c r="A9684">
        <v>20140522</v>
      </c>
      <c r="B9684" t="str">
        <f t="shared" si="563"/>
        <v>115884</v>
      </c>
      <c r="C9684" t="str">
        <f t="shared" si="564"/>
        <v>80993</v>
      </c>
      <c r="D9684" t="s">
        <v>4150</v>
      </c>
      <c r="E9684">
        <v>344.44</v>
      </c>
      <c r="F9684">
        <v>20140520</v>
      </c>
      <c r="G9684" t="s">
        <v>1178</v>
      </c>
      <c r="H9684" t="s">
        <v>921</v>
      </c>
      <c r="I9684" t="s">
        <v>21</v>
      </c>
    </row>
    <row r="9685" spans="1:9" x14ac:dyDescent="0.25">
      <c r="A9685">
        <v>20140522</v>
      </c>
      <c r="B9685" t="str">
        <f t="shared" si="563"/>
        <v>115884</v>
      </c>
      <c r="C9685" t="str">
        <f t="shared" si="564"/>
        <v>80993</v>
      </c>
      <c r="D9685" t="s">
        <v>4150</v>
      </c>
      <c r="E9685">
        <v>344.44</v>
      </c>
      <c r="F9685">
        <v>20140520</v>
      </c>
      <c r="G9685" t="s">
        <v>1229</v>
      </c>
      <c r="H9685" t="s">
        <v>921</v>
      </c>
      <c r="I9685" t="s">
        <v>21</v>
      </c>
    </row>
    <row r="9686" spans="1:9" x14ac:dyDescent="0.25">
      <c r="A9686">
        <v>20140522</v>
      </c>
      <c r="B9686" t="str">
        <f t="shared" si="563"/>
        <v>115884</v>
      </c>
      <c r="C9686" t="str">
        <f t="shared" si="564"/>
        <v>80993</v>
      </c>
      <c r="D9686" t="s">
        <v>4150</v>
      </c>
      <c r="E9686">
        <v>344.44</v>
      </c>
      <c r="F9686">
        <v>20140520</v>
      </c>
      <c r="G9686" t="s">
        <v>4425</v>
      </c>
      <c r="H9686" t="s">
        <v>921</v>
      </c>
      <c r="I9686" t="s">
        <v>21</v>
      </c>
    </row>
    <row r="9687" spans="1:9" x14ac:dyDescent="0.25">
      <c r="A9687">
        <v>20140522</v>
      </c>
      <c r="B9687" t="str">
        <f t="shared" si="563"/>
        <v>115884</v>
      </c>
      <c r="C9687" t="str">
        <f t="shared" si="564"/>
        <v>80993</v>
      </c>
      <c r="D9687" t="s">
        <v>4150</v>
      </c>
      <c r="E9687">
        <v>523.20000000000005</v>
      </c>
      <c r="F9687">
        <v>20140520</v>
      </c>
      <c r="G9687" t="s">
        <v>922</v>
      </c>
      <c r="H9687" t="s">
        <v>921</v>
      </c>
      <c r="I9687" t="s">
        <v>66</v>
      </c>
    </row>
    <row r="9688" spans="1:9" x14ac:dyDescent="0.25">
      <c r="A9688">
        <v>20140522</v>
      </c>
      <c r="B9688" t="str">
        <f t="shared" si="563"/>
        <v>115884</v>
      </c>
      <c r="C9688" t="str">
        <f t="shared" si="564"/>
        <v>80993</v>
      </c>
      <c r="D9688" t="s">
        <v>4150</v>
      </c>
      <c r="E9688">
        <v>523.20000000000005</v>
      </c>
      <c r="F9688">
        <v>20140520</v>
      </c>
      <c r="G9688" t="s">
        <v>923</v>
      </c>
      <c r="H9688" t="s">
        <v>921</v>
      </c>
      <c r="I9688" t="s">
        <v>66</v>
      </c>
    </row>
    <row r="9689" spans="1:9" x14ac:dyDescent="0.25">
      <c r="A9689">
        <v>20140522</v>
      </c>
      <c r="B9689" t="str">
        <f t="shared" si="563"/>
        <v>115884</v>
      </c>
      <c r="C9689" t="str">
        <f t="shared" si="564"/>
        <v>80993</v>
      </c>
      <c r="D9689" t="s">
        <v>4150</v>
      </c>
      <c r="E9689">
        <v>523.20000000000005</v>
      </c>
      <c r="F9689">
        <v>20140520</v>
      </c>
      <c r="G9689" t="s">
        <v>924</v>
      </c>
      <c r="H9689" t="s">
        <v>921</v>
      </c>
      <c r="I9689" t="s">
        <v>66</v>
      </c>
    </row>
    <row r="9690" spans="1:9" x14ac:dyDescent="0.25">
      <c r="A9690">
        <v>20140522</v>
      </c>
      <c r="B9690" t="str">
        <f t="shared" si="563"/>
        <v>115884</v>
      </c>
      <c r="C9690" t="str">
        <f t="shared" si="564"/>
        <v>80993</v>
      </c>
      <c r="D9690" t="s">
        <v>4150</v>
      </c>
      <c r="E9690">
        <v>523.20000000000005</v>
      </c>
      <c r="F9690">
        <v>20140520</v>
      </c>
      <c r="G9690" t="s">
        <v>925</v>
      </c>
      <c r="H9690" t="s">
        <v>921</v>
      </c>
      <c r="I9690" t="s">
        <v>66</v>
      </c>
    </row>
    <row r="9691" spans="1:9" x14ac:dyDescent="0.25">
      <c r="A9691">
        <v>20140522</v>
      </c>
      <c r="B9691" t="str">
        <f t="shared" si="563"/>
        <v>115884</v>
      </c>
      <c r="C9691" t="str">
        <f t="shared" si="564"/>
        <v>80993</v>
      </c>
      <c r="D9691" t="s">
        <v>4150</v>
      </c>
      <c r="E9691">
        <v>523.20000000000005</v>
      </c>
      <c r="F9691">
        <v>20140520</v>
      </c>
      <c r="G9691" t="s">
        <v>2895</v>
      </c>
      <c r="H9691" t="s">
        <v>921</v>
      </c>
      <c r="I9691" t="s">
        <v>66</v>
      </c>
    </row>
    <row r="9692" spans="1:9" x14ac:dyDescent="0.25">
      <c r="A9692">
        <v>20140522</v>
      </c>
      <c r="B9692" t="str">
        <f>"115885"</f>
        <v>115885</v>
      </c>
      <c r="C9692" t="str">
        <f>"36970"</f>
        <v>36970</v>
      </c>
      <c r="D9692" t="s">
        <v>1253</v>
      </c>
      <c r="E9692">
        <v>92.16</v>
      </c>
      <c r="F9692">
        <v>20140521</v>
      </c>
      <c r="G9692" t="s">
        <v>1254</v>
      </c>
      <c r="H9692" t="s">
        <v>563</v>
      </c>
      <c r="I9692" t="s">
        <v>79</v>
      </c>
    </row>
    <row r="9693" spans="1:9" x14ac:dyDescent="0.25">
      <c r="A9693">
        <v>20140522</v>
      </c>
      <c r="B9693" t="str">
        <f>"115886"</f>
        <v>115886</v>
      </c>
      <c r="C9693" t="str">
        <f>"87863"</f>
        <v>87863</v>
      </c>
      <c r="D9693" t="s">
        <v>4426</v>
      </c>
      <c r="E9693">
        <v>39</v>
      </c>
      <c r="F9693">
        <v>20140520</v>
      </c>
      <c r="G9693" t="s">
        <v>1296</v>
      </c>
      <c r="H9693" t="s">
        <v>354</v>
      </c>
      <c r="I9693" t="s">
        <v>21</v>
      </c>
    </row>
    <row r="9694" spans="1:9" x14ac:dyDescent="0.25">
      <c r="A9694">
        <v>20140522</v>
      </c>
      <c r="B9694" t="str">
        <f>"115887"</f>
        <v>115887</v>
      </c>
      <c r="C9694" t="str">
        <f>"82562"</f>
        <v>82562</v>
      </c>
      <c r="D9694" t="s">
        <v>4427</v>
      </c>
      <c r="E9694">
        <v>70.290000000000006</v>
      </c>
      <c r="F9694">
        <v>20140519</v>
      </c>
      <c r="G9694" t="s">
        <v>442</v>
      </c>
      <c r="H9694" t="s">
        <v>365</v>
      </c>
      <c r="I9694" t="s">
        <v>66</v>
      </c>
    </row>
    <row r="9695" spans="1:9" x14ac:dyDescent="0.25">
      <c r="A9695">
        <v>20140522</v>
      </c>
      <c r="B9695" t="str">
        <f>"115888"</f>
        <v>115888</v>
      </c>
      <c r="C9695" t="str">
        <f>"85395"</f>
        <v>85395</v>
      </c>
      <c r="D9695" t="s">
        <v>4428</v>
      </c>
      <c r="E9695">
        <v>115.29</v>
      </c>
      <c r="F9695">
        <v>20140521</v>
      </c>
      <c r="G9695" t="s">
        <v>36</v>
      </c>
      <c r="H9695" t="s">
        <v>4429</v>
      </c>
      <c r="I9695" t="s">
        <v>38</v>
      </c>
    </row>
    <row r="9696" spans="1:9" x14ac:dyDescent="0.25">
      <c r="A9696">
        <v>20140522</v>
      </c>
      <c r="B9696" t="str">
        <f>"115889"</f>
        <v>115889</v>
      </c>
      <c r="C9696" t="str">
        <f>"87862"</f>
        <v>87862</v>
      </c>
      <c r="D9696" t="s">
        <v>4430</v>
      </c>
      <c r="E9696">
        <v>32.380000000000003</v>
      </c>
      <c r="F9696">
        <v>20140519</v>
      </c>
      <c r="G9696" t="s">
        <v>1254</v>
      </c>
      <c r="H9696" t="s">
        <v>365</v>
      </c>
      <c r="I9696" t="s">
        <v>79</v>
      </c>
    </row>
    <row r="9697" spans="1:9" x14ac:dyDescent="0.25">
      <c r="A9697">
        <v>20140522</v>
      </c>
      <c r="B9697" t="str">
        <f>"115890"</f>
        <v>115890</v>
      </c>
      <c r="C9697" t="str">
        <f>"86767"</f>
        <v>86767</v>
      </c>
      <c r="D9697" t="s">
        <v>1458</v>
      </c>
      <c r="E9697">
        <v>44.19</v>
      </c>
      <c r="F9697">
        <v>20140521</v>
      </c>
      <c r="G9697" t="s">
        <v>601</v>
      </c>
      <c r="H9697" t="s">
        <v>563</v>
      </c>
      <c r="I9697" t="s">
        <v>21</v>
      </c>
    </row>
    <row r="9698" spans="1:9" x14ac:dyDescent="0.25">
      <c r="A9698">
        <v>20140522</v>
      </c>
      <c r="B9698" t="str">
        <f>"115891"</f>
        <v>115891</v>
      </c>
      <c r="C9698" t="str">
        <f>"87557"</f>
        <v>87557</v>
      </c>
      <c r="D9698" t="s">
        <v>1629</v>
      </c>
      <c r="E9698">
        <v>184.91</v>
      </c>
      <c r="F9698">
        <v>20140521</v>
      </c>
      <c r="G9698" t="s">
        <v>1630</v>
      </c>
      <c r="H9698" t="s">
        <v>563</v>
      </c>
      <c r="I9698" t="s">
        <v>21</v>
      </c>
    </row>
    <row r="9699" spans="1:9" x14ac:dyDescent="0.25">
      <c r="A9699">
        <v>20140522</v>
      </c>
      <c r="B9699" t="str">
        <f>"115892"</f>
        <v>115892</v>
      </c>
      <c r="C9699" t="str">
        <f>"87864"</f>
        <v>87864</v>
      </c>
      <c r="D9699" t="s">
        <v>4431</v>
      </c>
      <c r="E9699">
        <v>46.84</v>
      </c>
      <c r="F9699">
        <v>20140521</v>
      </c>
      <c r="G9699" t="s">
        <v>1759</v>
      </c>
      <c r="H9699" t="s">
        <v>4432</v>
      </c>
      <c r="I9699" t="s">
        <v>61</v>
      </c>
    </row>
    <row r="9700" spans="1:9" x14ac:dyDescent="0.25">
      <c r="A9700">
        <v>20140522</v>
      </c>
      <c r="B9700" t="str">
        <f>"115893"</f>
        <v>115893</v>
      </c>
      <c r="C9700" t="str">
        <f>"86578"</f>
        <v>86578</v>
      </c>
      <c r="D9700" t="s">
        <v>905</v>
      </c>
      <c r="E9700">
        <v>17.559999999999999</v>
      </c>
      <c r="F9700">
        <v>20140520</v>
      </c>
      <c r="G9700" t="s">
        <v>181</v>
      </c>
      <c r="H9700" t="s">
        <v>354</v>
      </c>
      <c r="I9700" t="s">
        <v>38</v>
      </c>
    </row>
    <row r="9701" spans="1:9" x14ac:dyDescent="0.25">
      <c r="A9701">
        <v>20140522</v>
      </c>
      <c r="B9701" t="str">
        <f>"115894"</f>
        <v>115894</v>
      </c>
      <c r="C9701" t="str">
        <f>"00375"</f>
        <v>00375</v>
      </c>
      <c r="D9701" t="s">
        <v>4260</v>
      </c>
      <c r="E9701" s="1">
        <v>5520</v>
      </c>
      <c r="F9701">
        <v>20140521</v>
      </c>
      <c r="G9701" t="s">
        <v>191</v>
      </c>
      <c r="H9701" t="s">
        <v>4433</v>
      </c>
      <c r="I9701" t="s">
        <v>25</v>
      </c>
    </row>
    <row r="9702" spans="1:9" x14ac:dyDescent="0.25">
      <c r="A9702">
        <v>20140522</v>
      </c>
      <c r="B9702" t="str">
        <f>"115894"</f>
        <v>115894</v>
      </c>
      <c r="C9702" t="str">
        <f>"00375"</f>
        <v>00375</v>
      </c>
      <c r="D9702" t="s">
        <v>4260</v>
      </c>
      <c r="E9702" s="1">
        <v>2580</v>
      </c>
      <c r="F9702">
        <v>20140521</v>
      </c>
      <c r="G9702" t="s">
        <v>191</v>
      </c>
      <c r="H9702" t="s">
        <v>4433</v>
      </c>
      <c r="I9702" t="s">
        <v>25</v>
      </c>
    </row>
    <row r="9703" spans="1:9" x14ac:dyDescent="0.25">
      <c r="A9703">
        <v>20140522</v>
      </c>
      <c r="B9703" t="str">
        <f>"115894"</f>
        <v>115894</v>
      </c>
      <c r="C9703" t="str">
        <f>"00375"</f>
        <v>00375</v>
      </c>
      <c r="D9703" t="s">
        <v>4260</v>
      </c>
      <c r="E9703" s="1">
        <v>2580</v>
      </c>
      <c r="F9703">
        <v>20140521</v>
      </c>
      <c r="G9703" t="s">
        <v>191</v>
      </c>
      <c r="H9703" t="s">
        <v>4433</v>
      </c>
      <c r="I9703" t="s">
        <v>25</v>
      </c>
    </row>
    <row r="9704" spans="1:9" x14ac:dyDescent="0.25">
      <c r="A9704">
        <v>20140522</v>
      </c>
      <c r="B9704" t="str">
        <f>"115895"</f>
        <v>115895</v>
      </c>
      <c r="C9704" t="str">
        <f>"84193"</f>
        <v>84193</v>
      </c>
      <c r="D9704" t="s">
        <v>1110</v>
      </c>
      <c r="E9704">
        <v>36.08</v>
      </c>
      <c r="F9704">
        <v>20140520</v>
      </c>
      <c r="G9704" t="s">
        <v>2358</v>
      </c>
      <c r="H9704" t="s">
        <v>354</v>
      </c>
      <c r="I9704" t="s">
        <v>21</v>
      </c>
    </row>
    <row r="9705" spans="1:9" x14ac:dyDescent="0.25">
      <c r="A9705">
        <v>20140522</v>
      </c>
      <c r="B9705" t="str">
        <f>"115896"</f>
        <v>115896</v>
      </c>
      <c r="C9705" t="str">
        <f>"00584"</f>
        <v>00584</v>
      </c>
      <c r="D9705" t="s">
        <v>4434</v>
      </c>
      <c r="E9705">
        <v>652.79999999999995</v>
      </c>
      <c r="F9705">
        <v>20140520</v>
      </c>
      <c r="G9705" t="s">
        <v>4259</v>
      </c>
      <c r="H9705" t="s">
        <v>4435</v>
      </c>
      <c r="I9705" t="s">
        <v>25</v>
      </c>
    </row>
    <row r="9706" spans="1:9" x14ac:dyDescent="0.25">
      <c r="A9706">
        <v>20140522</v>
      </c>
      <c r="B9706" t="str">
        <f>"115897"</f>
        <v>115897</v>
      </c>
      <c r="C9706" t="str">
        <f>"82978"</f>
        <v>82978</v>
      </c>
      <c r="D9706" t="s">
        <v>2245</v>
      </c>
      <c r="E9706">
        <v>201.9</v>
      </c>
      <c r="F9706">
        <v>20140520</v>
      </c>
      <c r="G9706" t="s">
        <v>840</v>
      </c>
      <c r="H9706" t="s">
        <v>414</v>
      </c>
      <c r="I9706" t="s">
        <v>21</v>
      </c>
    </row>
    <row r="9707" spans="1:9" x14ac:dyDescent="0.25">
      <c r="A9707">
        <v>20140522</v>
      </c>
      <c r="B9707" t="str">
        <f>"115897"</f>
        <v>115897</v>
      </c>
      <c r="C9707" t="str">
        <f>"82978"</f>
        <v>82978</v>
      </c>
      <c r="D9707" t="s">
        <v>2245</v>
      </c>
      <c r="E9707">
        <v>15.96</v>
      </c>
      <c r="F9707">
        <v>20140520</v>
      </c>
      <c r="G9707" t="s">
        <v>840</v>
      </c>
      <c r="H9707" t="s">
        <v>414</v>
      </c>
      <c r="I9707" t="s">
        <v>21</v>
      </c>
    </row>
    <row r="9708" spans="1:9" x14ac:dyDescent="0.25">
      <c r="A9708">
        <v>20140522</v>
      </c>
      <c r="B9708" t="str">
        <f>"115898"</f>
        <v>115898</v>
      </c>
      <c r="C9708" t="str">
        <f>"55675"</f>
        <v>55675</v>
      </c>
      <c r="D9708" t="s">
        <v>1114</v>
      </c>
      <c r="E9708">
        <v>219.89</v>
      </c>
      <c r="F9708">
        <v>20140521</v>
      </c>
      <c r="G9708" t="s">
        <v>4436</v>
      </c>
      <c r="H9708" t="s">
        <v>1788</v>
      </c>
      <c r="I9708" t="s">
        <v>21</v>
      </c>
    </row>
    <row r="9709" spans="1:9" x14ac:dyDescent="0.25">
      <c r="A9709">
        <v>20140522</v>
      </c>
      <c r="B9709" t="str">
        <f>"115898"</f>
        <v>115898</v>
      </c>
      <c r="C9709" t="str">
        <f>"55675"</f>
        <v>55675</v>
      </c>
      <c r="D9709" t="s">
        <v>1114</v>
      </c>
      <c r="E9709">
        <v>66.92</v>
      </c>
      <c r="F9709">
        <v>20140521</v>
      </c>
      <c r="G9709" t="s">
        <v>4436</v>
      </c>
      <c r="H9709" t="s">
        <v>1788</v>
      </c>
      <c r="I9709" t="s">
        <v>21</v>
      </c>
    </row>
    <row r="9710" spans="1:9" x14ac:dyDescent="0.25">
      <c r="A9710">
        <v>20140522</v>
      </c>
      <c r="B9710" t="str">
        <f>"115898"</f>
        <v>115898</v>
      </c>
      <c r="C9710" t="str">
        <f>"55675"</f>
        <v>55675</v>
      </c>
      <c r="D9710" t="s">
        <v>1114</v>
      </c>
      <c r="E9710">
        <v>-219.89</v>
      </c>
      <c r="F9710">
        <v>20140729</v>
      </c>
      <c r="G9710" t="s">
        <v>4436</v>
      </c>
      <c r="H9710" t="s">
        <v>4437</v>
      </c>
      <c r="I9710" t="s">
        <v>21</v>
      </c>
    </row>
    <row r="9711" spans="1:9" x14ac:dyDescent="0.25">
      <c r="A9711">
        <v>20140522</v>
      </c>
      <c r="B9711" t="str">
        <f>"115898"</f>
        <v>115898</v>
      </c>
      <c r="C9711" t="str">
        <f>"55675"</f>
        <v>55675</v>
      </c>
      <c r="D9711" t="s">
        <v>1114</v>
      </c>
      <c r="E9711">
        <v>-66.92</v>
      </c>
      <c r="F9711">
        <v>20140729</v>
      </c>
      <c r="G9711" t="s">
        <v>4436</v>
      </c>
      <c r="H9711" t="s">
        <v>4437</v>
      </c>
      <c r="I9711" t="s">
        <v>21</v>
      </c>
    </row>
    <row r="9712" spans="1:9" x14ac:dyDescent="0.25">
      <c r="A9712">
        <v>20140522</v>
      </c>
      <c r="B9712" t="str">
        <f>"115899"</f>
        <v>115899</v>
      </c>
      <c r="C9712" t="str">
        <f>"57046"</f>
        <v>57046</v>
      </c>
      <c r="D9712" t="s">
        <v>1789</v>
      </c>
      <c r="E9712">
        <v>990</v>
      </c>
      <c r="F9712">
        <v>20140520</v>
      </c>
      <c r="G9712" t="s">
        <v>545</v>
      </c>
      <c r="H9712" t="s">
        <v>4438</v>
      </c>
      <c r="I9712" t="s">
        <v>21</v>
      </c>
    </row>
    <row r="9713" spans="1:9" x14ac:dyDescent="0.25">
      <c r="A9713">
        <v>20140522</v>
      </c>
      <c r="B9713" t="str">
        <f>"115900"</f>
        <v>115900</v>
      </c>
      <c r="C9713" t="str">
        <f>"84669"</f>
        <v>84669</v>
      </c>
      <c r="D9713" t="s">
        <v>2250</v>
      </c>
      <c r="E9713">
        <v>180.95</v>
      </c>
      <c r="F9713">
        <v>20140521</v>
      </c>
      <c r="G9713" t="s">
        <v>2203</v>
      </c>
      <c r="H9713" t="s">
        <v>4439</v>
      </c>
      <c r="I9713" t="s">
        <v>21</v>
      </c>
    </row>
    <row r="9714" spans="1:9" x14ac:dyDescent="0.25">
      <c r="A9714">
        <v>20140522</v>
      </c>
      <c r="B9714" t="str">
        <f>"115901"</f>
        <v>115901</v>
      </c>
      <c r="C9714" t="str">
        <f>"58458"</f>
        <v>58458</v>
      </c>
      <c r="D9714" t="s">
        <v>369</v>
      </c>
      <c r="E9714">
        <v>182.36</v>
      </c>
      <c r="F9714">
        <v>20140519</v>
      </c>
      <c r="G9714" t="s">
        <v>1724</v>
      </c>
      <c r="H9714" t="s">
        <v>365</v>
      </c>
      <c r="I9714" t="s">
        <v>66</v>
      </c>
    </row>
    <row r="9715" spans="1:9" x14ac:dyDescent="0.25">
      <c r="A9715">
        <v>20140522</v>
      </c>
      <c r="B9715" t="str">
        <f>"115902"</f>
        <v>115902</v>
      </c>
      <c r="C9715" t="str">
        <f>"59500"</f>
        <v>59500</v>
      </c>
      <c r="D9715" t="s">
        <v>670</v>
      </c>
      <c r="E9715">
        <v>95.97</v>
      </c>
      <c r="F9715">
        <v>20140521</v>
      </c>
      <c r="G9715" t="s">
        <v>137</v>
      </c>
      <c r="H9715" t="s">
        <v>1741</v>
      </c>
      <c r="I9715" t="s">
        <v>21</v>
      </c>
    </row>
    <row r="9716" spans="1:9" x14ac:dyDescent="0.25">
      <c r="A9716">
        <v>20140522</v>
      </c>
      <c r="B9716" t="str">
        <f>"115903"</f>
        <v>115903</v>
      </c>
      <c r="C9716" t="str">
        <f>"81001"</f>
        <v>81001</v>
      </c>
      <c r="D9716" t="s">
        <v>2882</v>
      </c>
      <c r="E9716">
        <v>179.85</v>
      </c>
      <c r="F9716">
        <v>20140520</v>
      </c>
      <c r="G9716" t="s">
        <v>890</v>
      </c>
      <c r="H9716" t="s">
        <v>921</v>
      </c>
      <c r="I9716" t="s">
        <v>21</v>
      </c>
    </row>
    <row r="9717" spans="1:9" x14ac:dyDescent="0.25">
      <c r="A9717">
        <v>20140522</v>
      </c>
      <c r="B9717" t="str">
        <f>"115903"</f>
        <v>115903</v>
      </c>
      <c r="C9717" t="str">
        <f>"81001"</f>
        <v>81001</v>
      </c>
      <c r="D9717" t="s">
        <v>2882</v>
      </c>
      <c r="E9717">
        <v>392.4</v>
      </c>
      <c r="F9717">
        <v>20140520</v>
      </c>
      <c r="G9717" t="s">
        <v>797</v>
      </c>
      <c r="H9717" t="s">
        <v>921</v>
      </c>
      <c r="I9717" t="s">
        <v>66</v>
      </c>
    </row>
    <row r="9718" spans="1:9" x14ac:dyDescent="0.25">
      <c r="A9718">
        <v>20140522</v>
      </c>
      <c r="B9718" t="str">
        <f>"115904"</f>
        <v>115904</v>
      </c>
      <c r="C9718" t="str">
        <f>"82347"</f>
        <v>82347</v>
      </c>
      <c r="D9718" t="s">
        <v>4440</v>
      </c>
      <c r="E9718">
        <v>500.76</v>
      </c>
      <c r="F9718">
        <v>20140520</v>
      </c>
      <c r="G9718" t="s">
        <v>1197</v>
      </c>
      <c r="H9718" t="s">
        <v>921</v>
      </c>
      <c r="I9718" t="s">
        <v>21</v>
      </c>
    </row>
    <row r="9719" spans="1:9" x14ac:dyDescent="0.25">
      <c r="A9719">
        <v>20140522</v>
      </c>
      <c r="B9719" t="str">
        <f>"115905"</f>
        <v>115905</v>
      </c>
      <c r="C9719" t="str">
        <f>"86454"</f>
        <v>86454</v>
      </c>
      <c r="D9719" t="s">
        <v>4441</v>
      </c>
      <c r="E9719" s="1">
        <v>1337</v>
      </c>
      <c r="F9719">
        <v>20140521</v>
      </c>
      <c r="G9719" t="s">
        <v>289</v>
      </c>
      <c r="H9719" t="s">
        <v>4442</v>
      </c>
      <c r="I9719" t="s">
        <v>38</v>
      </c>
    </row>
    <row r="9720" spans="1:9" x14ac:dyDescent="0.25">
      <c r="A9720">
        <v>20140522</v>
      </c>
      <c r="B9720" t="str">
        <f>"115906"</f>
        <v>115906</v>
      </c>
      <c r="C9720" t="str">
        <f>"61920"</f>
        <v>61920</v>
      </c>
      <c r="D9720" t="s">
        <v>4020</v>
      </c>
      <c r="E9720">
        <v>100</v>
      </c>
      <c r="F9720">
        <v>20140516</v>
      </c>
      <c r="G9720" t="s">
        <v>694</v>
      </c>
      <c r="H9720" t="s">
        <v>4443</v>
      </c>
      <c r="I9720" t="s">
        <v>21</v>
      </c>
    </row>
    <row r="9721" spans="1:9" x14ac:dyDescent="0.25">
      <c r="A9721">
        <v>20140522</v>
      </c>
      <c r="B9721" t="str">
        <f>"115907"</f>
        <v>115907</v>
      </c>
      <c r="C9721" t="str">
        <f>"82957"</f>
        <v>82957</v>
      </c>
      <c r="D9721" t="s">
        <v>1927</v>
      </c>
      <c r="E9721">
        <v>47.25</v>
      </c>
      <c r="F9721">
        <v>20140521</v>
      </c>
      <c r="G9721" t="s">
        <v>1115</v>
      </c>
      <c r="H9721" t="s">
        <v>2618</v>
      </c>
      <c r="I9721" t="s">
        <v>21</v>
      </c>
    </row>
    <row r="9722" spans="1:9" x14ac:dyDescent="0.25">
      <c r="A9722">
        <v>20140522</v>
      </c>
      <c r="B9722" t="str">
        <f>"115908"</f>
        <v>115908</v>
      </c>
      <c r="C9722" t="str">
        <f>"62451"</f>
        <v>62451</v>
      </c>
      <c r="D9722" t="s">
        <v>1797</v>
      </c>
      <c r="E9722" s="1">
        <v>1496.25</v>
      </c>
      <c r="F9722">
        <v>20140520</v>
      </c>
      <c r="G9722" t="s">
        <v>181</v>
      </c>
      <c r="H9722" t="s">
        <v>1798</v>
      </c>
      <c r="I9722" t="s">
        <v>38</v>
      </c>
    </row>
    <row r="9723" spans="1:9" x14ac:dyDescent="0.25">
      <c r="A9723">
        <v>20140522</v>
      </c>
      <c r="B9723" t="str">
        <f>"115909"</f>
        <v>115909</v>
      </c>
      <c r="C9723" t="str">
        <f>"62450"</f>
        <v>62450</v>
      </c>
      <c r="D9723" t="s">
        <v>683</v>
      </c>
      <c r="E9723" s="1">
        <v>3150</v>
      </c>
      <c r="F9723">
        <v>20140520</v>
      </c>
      <c r="G9723" t="s">
        <v>39</v>
      </c>
      <c r="H9723" t="s">
        <v>4444</v>
      </c>
      <c r="I9723" t="s">
        <v>38</v>
      </c>
    </row>
    <row r="9724" spans="1:9" x14ac:dyDescent="0.25">
      <c r="A9724">
        <v>20140522</v>
      </c>
      <c r="B9724" t="str">
        <f>"115910"</f>
        <v>115910</v>
      </c>
      <c r="C9724" t="str">
        <f>"87463"</f>
        <v>87463</v>
      </c>
      <c r="D9724" t="s">
        <v>3433</v>
      </c>
      <c r="E9724">
        <v>81.5</v>
      </c>
      <c r="F9724">
        <v>20140519</v>
      </c>
      <c r="G9724" t="s">
        <v>1721</v>
      </c>
      <c r="H9724" t="s">
        <v>365</v>
      </c>
      <c r="I9724" t="s">
        <v>21</v>
      </c>
    </row>
    <row r="9725" spans="1:9" x14ac:dyDescent="0.25">
      <c r="A9725">
        <v>20140522</v>
      </c>
      <c r="B9725" t="str">
        <f>"115911"</f>
        <v>115911</v>
      </c>
      <c r="C9725" t="str">
        <f>"65038"</f>
        <v>65038</v>
      </c>
      <c r="D9725" t="s">
        <v>4445</v>
      </c>
      <c r="E9725">
        <v>40.5</v>
      </c>
      <c r="F9725">
        <v>20140521</v>
      </c>
      <c r="G9725" t="s">
        <v>202</v>
      </c>
      <c r="H9725" t="s">
        <v>4446</v>
      </c>
      <c r="I9725" t="s">
        <v>12</v>
      </c>
    </row>
    <row r="9726" spans="1:9" x14ac:dyDescent="0.25">
      <c r="A9726">
        <v>20140522</v>
      </c>
      <c r="B9726" t="str">
        <f>"115912"</f>
        <v>115912</v>
      </c>
      <c r="C9726" t="str">
        <f>"65430"</f>
        <v>65430</v>
      </c>
      <c r="D9726" t="s">
        <v>1518</v>
      </c>
      <c r="E9726">
        <v>14.79</v>
      </c>
      <c r="F9726">
        <v>20140521</v>
      </c>
      <c r="G9726" t="s">
        <v>413</v>
      </c>
      <c r="H9726" t="s">
        <v>414</v>
      </c>
      <c r="I9726" t="s">
        <v>21</v>
      </c>
    </row>
    <row r="9727" spans="1:9" x14ac:dyDescent="0.25">
      <c r="A9727">
        <v>20140522</v>
      </c>
      <c r="B9727" t="str">
        <f>"115912"</f>
        <v>115912</v>
      </c>
      <c r="C9727" t="str">
        <f>"65430"</f>
        <v>65430</v>
      </c>
      <c r="D9727" t="s">
        <v>1518</v>
      </c>
      <c r="E9727">
        <v>24.78</v>
      </c>
      <c r="F9727">
        <v>20140521</v>
      </c>
      <c r="G9727" t="s">
        <v>413</v>
      </c>
      <c r="H9727" t="s">
        <v>414</v>
      </c>
      <c r="I9727" t="s">
        <v>21</v>
      </c>
    </row>
    <row r="9728" spans="1:9" x14ac:dyDescent="0.25">
      <c r="A9728">
        <v>20140522</v>
      </c>
      <c r="B9728" t="str">
        <f>"115912"</f>
        <v>115912</v>
      </c>
      <c r="C9728" t="str">
        <f>"65430"</f>
        <v>65430</v>
      </c>
      <c r="D9728" t="s">
        <v>1518</v>
      </c>
      <c r="E9728">
        <v>15.73</v>
      </c>
      <c r="F9728">
        <v>20140521</v>
      </c>
      <c r="G9728" t="s">
        <v>413</v>
      </c>
      <c r="H9728" t="s">
        <v>414</v>
      </c>
      <c r="I9728" t="s">
        <v>21</v>
      </c>
    </row>
    <row r="9729" spans="1:9" x14ac:dyDescent="0.25">
      <c r="A9729">
        <v>20140522</v>
      </c>
      <c r="B9729" t="str">
        <f>"115912"</f>
        <v>115912</v>
      </c>
      <c r="C9729" t="str">
        <f>"65430"</f>
        <v>65430</v>
      </c>
      <c r="D9729" t="s">
        <v>1518</v>
      </c>
      <c r="E9729">
        <v>100.47</v>
      </c>
      <c r="F9729">
        <v>20140521</v>
      </c>
      <c r="G9729" t="s">
        <v>413</v>
      </c>
      <c r="H9729" t="s">
        <v>414</v>
      </c>
      <c r="I9729" t="s">
        <v>21</v>
      </c>
    </row>
    <row r="9730" spans="1:9" x14ac:dyDescent="0.25">
      <c r="A9730">
        <v>20140522</v>
      </c>
      <c r="B9730" t="str">
        <f>"115912"</f>
        <v>115912</v>
      </c>
      <c r="C9730" t="str">
        <f>"65430"</f>
        <v>65430</v>
      </c>
      <c r="D9730" t="s">
        <v>1518</v>
      </c>
      <c r="E9730">
        <v>-64.56</v>
      </c>
      <c r="F9730">
        <v>20140522</v>
      </c>
      <c r="G9730" t="s">
        <v>413</v>
      </c>
      <c r="H9730" t="s">
        <v>414</v>
      </c>
      <c r="I9730" t="s">
        <v>21</v>
      </c>
    </row>
    <row r="9731" spans="1:9" x14ac:dyDescent="0.25">
      <c r="A9731">
        <v>20140522</v>
      </c>
      <c r="B9731" t="str">
        <f>"115913"</f>
        <v>115913</v>
      </c>
      <c r="C9731" t="str">
        <f>"82845"</f>
        <v>82845</v>
      </c>
      <c r="D9731" t="s">
        <v>2405</v>
      </c>
      <c r="E9731">
        <v>252</v>
      </c>
      <c r="F9731">
        <v>20140521</v>
      </c>
      <c r="G9731" t="s">
        <v>866</v>
      </c>
      <c r="H9731" t="s">
        <v>1309</v>
      </c>
      <c r="I9731" t="s">
        <v>25</v>
      </c>
    </row>
    <row r="9732" spans="1:9" x14ac:dyDescent="0.25">
      <c r="A9732">
        <v>20140522</v>
      </c>
      <c r="B9732" t="str">
        <f>"115914"</f>
        <v>115914</v>
      </c>
      <c r="C9732" t="str">
        <f>"68960"</f>
        <v>68960</v>
      </c>
      <c r="D9732" t="s">
        <v>689</v>
      </c>
      <c r="E9732">
        <v>70</v>
      </c>
      <c r="F9732">
        <v>20140521</v>
      </c>
      <c r="G9732" t="s">
        <v>356</v>
      </c>
      <c r="H9732" t="s">
        <v>357</v>
      </c>
      <c r="I9732" t="s">
        <v>61</v>
      </c>
    </row>
    <row r="9733" spans="1:9" x14ac:dyDescent="0.25">
      <c r="A9733">
        <v>20140522</v>
      </c>
      <c r="B9733" t="str">
        <f>"115915"</f>
        <v>115915</v>
      </c>
      <c r="C9733" t="str">
        <f>"69500"</f>
        <v>69500</v>
      </c>
      <c r="D9733" t="s">
        <v>2030</v>
      </c>
      <c r="E9733" s="1">
        <v>1797.5</v>
      </c>
      <c r="F9733">
        <v>20140521</v>
      </c>
      <c r="G9733" t="s">
        <v>145</v>
      </c>
      <c r="H9733" t="s">
        <v>4447</v>
      </c>
      <c r="I9733" t="s">
        <v>38</v>
      </c>
    </row>
    <row r="9734" spans="1:9" x14ac:dyDescent="0.25">
      <c r="A9734">
        <v>20140522</v>
      </c>
      <c r="B9734" t="str">
        <f>"115916"</f>
        <v>115916</v>
      </c>
      <c r="C9734" t="str">
        <f>"80951"</f>
        <v>80951</v>
      </c>
      <c r="D9734" t="s">
        <v>1528</v>
      </c>
      <c r="E9734">
        <v>472.5</v>
      </c>
      <c r="F9734">
        <v>20140516</v>
      </c>
      <c r="G9734" t="s">
        <v>506</v>
      </c>
      <c r="H9734" t="s">
        <v>4448</v>
      </c>
      <c r="I9734" t="s">
        <v>21</v>
      </c>
    </row>
    <row r="9735" spans="1:9" x14ac:dyDescent="0.25">
      <c r="A9735">
        <v>20140522</v>
      </c>
      <c r="B9735" t="str">
        <f>"115917"</f>
        <v>115917</v>
      </c>
      <c r="C9735" t="str">
        <f>"86616"</f>
        <v>86616</v>
      </c>
      <c r="D9735" t="s">
        <v>1942</v>
      </c>
      <c r="E9735" s="1">
        <v>7625</v>
      </c>
      <c r="F9735">
        <v>20140521</v>
      </c>
      <c r="G9735" t="s">
        <v>1943</v>
      </c>
      <c r="H9735" t="s">
        <v>4449</v>
      </c>
      <c r="I9735" t="s">
        <v>21</v>
      </c>
    </row>
    <row r="9736" spans="1:9" x14ac:dyDescent="0.25">
      <c r="A9736">
        <v>20140522</v>
      </c>
      <c r="B9736" t="str">
        <f>"115918"</f>
        <v>115918</v>
      </c>
      <c r="C9736" t="str">
        <f>"00332"</f>
        <v>00332</v>
      </c>
      <c r="D9736" t="s">
        <v>1160</v>
      </c>
      <c r="E9736">
        <v>169</v>
      </c>
      <c r="F9736">
        <v>20140520</v>
      </c>
      <c r="G9736" t="s">
        <v>367</v>
      </c>
      <c r="H9736" t="s">
        <v>1161</v>
      </c>
      <c r="I9736" t="s">
        <v>21</v>
      </c>
    </row>
    <row r="9737" spans="1:9" x14ac:dyDescent="0.25">
      <c r="A9737">
        <v>20140522</v>
      </c>
      <c r="B9737" t="str">
        <f>"115919"</f>
        <v>115919</v>
      </c>
      <c r="C9737" t="str">
        <f>"86596"</f>
        <v>86596</v>
      </c>
      <c r="D9737" t="s">
        <v>1683</v>
      </c>
      <c r="E9737">
        <v>546.19000000000005</v>
      </c>
      <c r="F9737">
        <v>20140516</v>
      </c>
      <c r="G9737" t="s">
        <v>1684</v>
      </c>
      <c r="H9737" t="s">
        <v>1392</v>
      </c>
      <c r="I9737" t="s">
        <v>21</v>
      </c>
    </row>
    <row r="9738" spans="1:9" x14ac:dyDescent="0.25">
      <c r="A9738">
        <v>20140522</v>
      </c>
      <c r="B9738" t="str">
        <f>"115920"</f>
        <v>115920</v>
      </c>
      <c r="C9738" t="str">
        <f>"83921"</f>
        <v>83921</v>
      </c>
      <c r="D9738" t="s">
        <v>967</v>
      </c>
      <c r="E9738">
        <v>5.73</v>
      </c>
      <c r="F9738">
        <v>20140520</v>
      </c>
      <c r="G9738" t="s">
        <v>426</v>
      </c>
      <c r="H9738" t="s">
        <v>968</v>
      </c>
      <c r="I9738" t="s">
        <v>21</v>
      </c>
    </row>
    <row r="9739" spans="1:9" x14ac:dyDescent="0.25">
      <c r="A9739">
        <v>20140522</v>
      </c>
      <c r="B9739" t="str">
        <f>"115921"</f>
        <v>115921</v>
      </c>
      <c r="C9739" t="str">
        <f>"86085"</f>
        <v>86085</v>
      </c>
      <c r="D9739" t="s">
        <v>703</v>
      </c>
      <c r="E9739">
        <v>76</v>
      </c>
      <c r="F9739">
        <v>20140520</v>
      </c>
      <c r="G9739" t="s">
        <v>704</v>
      </c>
      <c r="H9739" t="s">
        <v>1535</v>
      </c>
      <c r="I9739" t="s">
        <v>21</v>
      </c>
    </row>
    <row r="9740" spans="1:9" x14ac:dyDescent="0.25">
      <c r="A9740">
        <v>20140522</v>
      </c>
      <c r="B9740" t="str">
        <f>"115922"</f>
        <v>115922</v>
      </c>
      <c r="C9740" t="str">
        <f>"87854"</f>
        <v>87854</v>
      </c>
      <c r="D9740" t="s">
        <v>4450</v>
      </c>
      <c r="E9740">
        <v>88.92</v>
      </c>
      <c r="F9740">
        <v>20140520</v>
      </c>
      <c r="G9740" t="s">
        <v>840</v>
      </c>
      <c r="H9740" t="s">
        <v>414</v>
      </c>
      <c r="I9740" t="s">
        <v>21</v>
      </c>
    </row>
    <row r="9741" spans="1:9" x14ac:dyDescent="0.25">
      <c r="A9741">
        <v>20140522</v>
      </c>
      <c r="B9741" t="str">
        <f>"115923"</f>
        <v>115923</v>
      </c>
      <c r="C9741" t="str">
        <f>"87813"</f>
        <v>87813</v>
      </c>
      <c r="D9741" t="s">
        <v>4298</v>
      </c>
      <c r="E9741" s="1">
        <v>1899</v>
      </c>
      <c r="F9741">
        <v>20140516</v>
      </c>
      <c r="G9741" t="s">
        <v>840</v>
      </c>
      <c r="H9741" t="s">
        <v>4451</v>
      </c>
      <c r="I9741" t="s">
        <v>21</v>
      </c>
    </row>
    <row r="9742" spans="1:9" x14ac:dyDescent="0.25">
      <c r="A9742">
        <v>20140522</v>
      </c>
      <c r="B9742" t="str">
        <f>"115923"</f>
        <v>115923</v>
      </c>
      <c r="C9742" t="str">
        <f>"87813"</f>
        <v>87813</v>
      </c>
      <c r="D9742" t="s">
        <v>4298</v>
      </c>
      <c r="E9742" s="1">
        <v>3798</v>
      </c>
      <c r="F9742">
        <v>20140520</v>
      </c>
      <c r="G9742" t="s">
        <v>840</v>
      </c>
      <c r="H9742" t="s">
        <v>4452</v>
      </c>
      <c r="I9742" t="s">
        <v>21</v>
      </c>
    </row>
    <row r="9743" spans="1:9" x14ac:dyDescent="0.25">
      <c r="A9743">
        <v>20140522</v>
      </c>
      <c r="B9743" t="str">
        <f>"115923"</f>
        <v>115923</v>
      </c>
      <c r="C9743" t="str">
        <f>"87813"</f>
        <v>87813</v>
      </c>
      <c r="D9743" t="s">
        <v>4298</v>
      </c>
      <c r="E9743" s="1">
        <v>1355</v>
      </c>
      <c r="F9743">
        <v>20140520</v>
      </c>
      <c r="G9743" t="s">
        <v>840</v>
      </c>
      <c r="H9743" t="s">
        <v>4453</v>
      </c>
      <c r="I9743" t="s">
        <v>21</v>
      </c>
    </row>
    <row r="9744" spans="1:9" x14ac:dyDescent="0.25">
      <c r="A9744">
        <v>20140522</v>
      </c>
      <c r="B9744" t="str">
        <f>"115923"</f>
        <v>115923</v>
      </c>
      <c r="C9744" t="str">
        <f>"87813"</f>
        <v>87813</v>
      </c>
      <c r="D9744" t="s">
        <v>4298</v>
      </c>
      <c r="E9744" s="1">
        <v>3936</v>
      </c>
      <c r="F9744">
        <v>20140520</v>
      </c>
      <c r="G9744" t="s">
        <v>2745</v>
      </c>
      <c r="H9744" t="s">
        <v>4453</v>
      </c>
      <c r="I9744" t="s">
        <v>75</v>
      </c>
    </row>
    <row r="9745" spans="1:9" x14ac:dyDescent="0.25">
      <c r="A9745">
        <v>20140522</v>
      </c>
      <c r="B9745" t="str">
        <f>"115924"</f>
        <v>115924</v>
      </c>
      <c r="C9745" t="str">
        <f>"87851"</f>
        <v>87851</v>
      </c>
      <c r="D9745" t="s">
        <v>4386</v>
      </c>
      <c r="E9745">
        <v>137.76</v>
      </c>
      <c r="F9745">
        <v>20140521</v>
      </c>
      <c r="G9745" t="s">
        <v>1846</v>
      </c>
      <c r="H9745" t="s">
        <v>765</v>
      </c>
      <c r="I9745" t="s">
        <v>63</v>
      </c>
    </row>
    <row r="9746" spans="1:9" x14ac:dyDescent="0.25">
      <c r="A9746">
        <v>20140522</v>
      </c>
      <c r="B9746" t="str">
        <f>"115925"</f>
        <v>115925</v>
      </c>
      <c r="C9746" t="str">
        <f>"86951"</f>
        <v>86951</v>
      </c>
      <c r="D9746" t="s">
        <v>394</v>
      </c>
      <c r="E9746">
        <v>257.44</v>
      </c>
      <c r="F9746">
        <v>20140520</v>
      </c>
      <c r="G9746" t="s">
        <v>337</v>
      </c>
      <c r="H9746" t="s">
        <v>766</v>
      </c>
      <c r="I9746" t="s">
        <v>21</v>
      </c>
    </row>
    <row r="9747" spans="1:9" x14ac:dyDescent="0.25">
      <c r="A9747">
        <v>20140522</v>
      </c>
      <c r="B9747" t="str">
        <f>"115926"</f>
        <v>115926</v>
      </c>
      <c r="C9747" t="str">
        <f>"00669"</f>
        <v>00669</v>
      </c>
      <c r="D9747" t="s">
        <v>4100</v>
      </c>
      <c r="E9747">
        <v>22.96</v>
      </c>
      <c r="F9747">
        <v>20140521</v>
      </c>
      <c r="G9747" t="s">
        <v>789</v>
      </c>
      <c r="H9747" t="s">
        <v>357</v>
      </c>
      <c r="I9747" t="s">
        <v>61</v>
      </c>
    </row>
    <row r="9748" spans="1:9" x14ac:dyDescent="0.25">
      <c r="A9748">
        <v>20140522</v>
      </c>
      <c r="B9748" t="str">
        <f>"115927"</f>
        <v>115927</v>
      </c>
      <c r="C9748" t="str">
        <f>"82068"</f>
        <v>82068</v>
      </c>
      <c r="D9748" t="s">
        <v>3197</v>
      </c>
      <c r="E9748">
        <v>834.78</v>
      </c>
      <c r="F9748">
        <v>20140516</v>
      </c>
      <c r="G9748" t="s">
        <v>1605</v>
      </c>
      <c r="H9748" t="s">
        <v>4454</v>
      </c>
      <c r="I9748" t="s">
        <v>21</v>
      </c>
    </row>
    <row r="9749" spans="1:9" x14ac:dyDescent="0.25">
      <c r="A9749">
        <v>20140522</v>
      </c>
      <c r="B9749" t="str">
        <f>"115928"</f>
        <v>115928</v>
      </c>
      <c r="C9749" t="str">
        <f>"83814"</f>
        <v>83814</v>
      </c>
      <c r="D9749" t="s">
        <v>3457</v>
      </c>
      <c r="E9749" s="1">
        <v>3496.46</v>
      </c>
      <c r="F9749">
        <v>20140516</v>
      </c>
      <c r="G9749" t="s">
        <v>1900</v>
      </c>
      <c r="H9749" t="s">
        <v>4455</v>
      </c>
      <c r="I9749" t="s">
        <v>608</v>
      </c>
    </row>
    <row r="9750" spans="1:9" x14ac:dyDescent="0.25">
      <c r="A9750">
        <v>20140522</v>
      </c>
      <c r="B9750" t="str">
        <f>"115928"</f>
        <v>115928</v>
      </c>
      <c r="C9750" t="str">
        <f>"83814"</f>
        <v>83814</v>
      </c>
      <c r="D9750" t="s">
        <v>3457</v>
      </c>
      <c r="E9750" s="1">
        <v>3496.46</v>
      </c>
      <c r="F9750">
        <v>20140516</v>
      </c>
      <c r="G9750" t="s">
        <v>1900</v>
      </c>
      <c r="H9750" t="s">
        <v>4455</v>
      </c>
      <c r="I9750" t="s">
        <v>608</v>
      </c>
    </row>
    <row r="9751" spans="1:9" x14ac:dyDescent="0.25">
      <c r="A9751">
        <v>20140522</v>
      </c>
      <c r="B9751" t="str">
        <f>"115929"</f>
        <v>115929</v>
      </c>
      <c r="C9751" t="str">
        <f>"86280"</f>
        <v>86280</v>
      </c>
      <c r="D9751" t="s">
        <v>3802</v>
      </c>
      <c r="E9751">
        <v>815</v>
      </c>
      <c r="F9751">
        <v>20140520</v>
      </c>
      <c r="G9751" t="s">
        <v>181</v>
      </c>
      <c r="H9751" t="s">
        <v>4456</v>
      </c>
      <c r="I9751" t="s">
        <v>38</v>
      </c>
    </row>
    <row r="9752" spans="1:9" x14ac:dyDescent="0.25">
      <c r="A9752">
        <v>20140529</v>
      </c>
      <c r="B9752" t="str">
        <f>"115930"</f>
        <v>115930</v>
      </c>
      <c r="C9752" t="str">
        <f>"01840"</f>
        <v>01840</v>
      </c>
      <c r="D9752" t="s">
        <v>3096</v>
      </c>
      <c r="E9752">
        <v>63</v>
      </c>
      <c r="F9752">
        <v>20140526</v>
      </c>
      <c r="G9752" t="s">
        <v>367</v>
      </c>
      <c r="H9752" t="s">
        <v>1009</v>
      </c>
      <c r="I9752" t="s">
        <v>21</v>
      </c>
    </row>
    <row r="9753" spans="1:9" x14ac:dyDescent="0.25">
      <c r="A9753">
        <v>20140529</v>
      </c>
      <c r="B9753" t="str">
        <f>"115931"</f>
        <v>115931</v>
      </c>
      <c r="C9753" t="str">
        <f>"00686"</f>
        <v>00686</v>
      </c>
      <c r="D9753" t="s">
        <v>3266</v>
      </c>
      <c r="E9753" s="1">
        <v>4200</v>
      </c>
      <c r="F9753">
        <v>20140528</v>
      </c>
      <c r="G9753" t="s">
        <v>150</v>
      </c>
      <c r="H9753" t="s">
        <v>4457</v>
      </c>
      <c r="I9753" t="s">
        <v>25</v>
      </c>
    </row>
    <row r="9754" spans="1:9" x14ac:dyDescent="0.25">
      <c r="A9754">
        <v>20140529</v>
      </c>
      <c r="B9754" t="str">
        <f>"115931"</f>
        <v>115931</v>
      </c>
      <c r="C9754" t="str">
        <f>"00686"</f>
        <v>00686</v>
      </c>
      <c r="D9754" t="s">
        <v>3266</v>
      </c>
      <c r="E9754" s="1">
        <v>1694</v>
      </c>
      <c r="F9754">
        <v>20140528</v>
      </c>
      <c r="G9754" t="s">
        <v>150</v>
      </c>
      <c r="H9754" t="s">
        <v>4457</v>
      </c>
      <c r="I9754" t="s">
        <v>25</v>
      </c>
    </row>
    <row r="9755" spans="1:9" x14ac:dyDescent="0.25">
      <c r="A9755">
        <v>20140529</v>
      </c>
      <c r="B9755" t="str">
        <f>"115931"</f>
        <v>115931</v>
      </c>
      <c r="C9755" t="str">
        <f>"00686"</f>
        <v>00686</v>
      </c>
      <c r="D9755" t="s">
        <v>3266</v>
      </c>
      <c r="E9755" s="1">
        <v>1196</v>
      </c>
      <c r="F9755">
        <v>20140528</v>
      </c>
      <c r="G9755" t="s">
        <v>150</v>
      </c>
      <c r="H9755" t="s">
        <v>4457</v>
      </c>
      <c r="I9755" t="s">
        <v>25</v>
      </c>
    </row>
    <row r="9756" spans="1:9" x14ac:dyDescent="0.25">
      <c r="A9756">
        <v>20140529</v>
      </c>
      <c r="B9756" t="str">
        <f>"115932"</f>
        <v>115932</v>
      </c>
      <c r="C9756" t="str">
        <f>"05800"</f>
        <v>05800</v>
      </c>
      <c r="D9756" t="s">
        <v>998</v>
      </c>
      <c r="E9756">
        <v>703</v>
      </c>
      <c r="F9756">
        <v>20140527</v>
      </c>
      <c r="G9756" t="s">
        <v>840</v>
      </c>
      <c r="H9756" t="s">
        <v>839</v>
      </c>
      <c r="I9756" t="s">
        <v>21</v>
      </c>
    </row>
    <row r="9757" spans="1:9" x14ac:dyDescent="0.25">
      <c r="A9757">
        <v>20140529</v>
      </c>
      <c r="B9757" t="str">
        <f>"115933"</f>
        <v>115933</v>
      </c>
      <c r="C9757" t="str">
        <f>"00255"</f>
        <v>00255</v>
      </c>
      <c r="D9757" t="s">
        <v>489</v>
      </c>
      <c r="E9757">
        <v>145.71</v>
      </c>
      <c r="F9757">
        <v>20140526</v>
      </c>
      <c r="G9757" t="s">
        <v>1186</v>
      </c>
      <c r="H9757" t="s">
        <v>488</v>
      </c>
      <c r="I9757" t="s">
        <v>21</v>
      </c>
    </row>
    <row r="9758" spans="1:9" x14ac:dyDescent="0.25">
      <c r="A9758">
        <v>20140529</v>
      </c>
      <c r="B9758" t="str">
        <f>"115934"</f>
        <v>115934</v>
      </c>
      <c r="C9758" t="str">
        <f>"87365"</f>
        <v>87365</v>
      </c>
      <c r="D9758" t="s">
        <v>4458</v>
      </c>
      <c r="E9758">
        <v>600</v>
      </c>
      <c r="F9758">
        <v>20140528</v>
      </c>
      <c r="G9758" t="s">
        <v>1019</v>
      </c>
      <c r="H9758" t="s">
        <v>4459</v>
      </c>
      <c r="I9758" t="s">
        <v>131</v>
      </c>
    </row>
    <row r="9759" spans="1:9" x14ac:dyDescent="0.25">
      <c r="A9759">
        <v>20140529</v>
      </c>
      <c r="B9759" t="str">
        <f>"115935"</f>
        <v>115935</v>
      </c>
      <c r="C9759" t="str">
        <f>"81034"</f>
        <v>81034</v>
      </c>
      <c r="D9759" t="s">
        <v>4460</v>
      </c>
      <c r="E9759">
        <v>764.93</v>
      </c>
      <c r="F9759">
        <v>20140526</v>
      </c>
      <c r="G9759" t="s">
        <v>4406</v>
      </c>
      <c r="H9759" t="s">
        <v>4461</v>
      </c>
      <c r="I9759" t="s">
        <v>21</v>
      </c>
    </row>
    <row r="9760" spans="1:9" x14ac:dyDescent="0.25">
      <c r="A9760">
        <v>20140529</v>
      </c>
      <c r="B9760" t="str">
        <f>"115935"</f>
        <v>115935</v>
      </c>
      <c r="C9760" t="str">
        <f>"81034"</f>
        <v>81034</v>
      </c>
      <c r="D9760" t="s">
        <v>4460</v>
      </c>
      <c r="E9760">
        <v>200</v>
      </c>
      <c r="F9760">
        <v>20140526</v>
      </c>
      <c r="G9760" t="s">
        <v>200</v>
      </c>
      <c r="H9760" t="s">
        <v>4462</v>
      </c>
      <c r="I9760" t="s">
        <v>38</v>
      </c>
    </row>
    <row r="9761" spans="1:9" x14ac:dyDescent="0.25">
      <c r="A9761">
        <v>20140529</v>
      </c>
      <c r="B9761" t="str">
        <f>"115936"</f>
        <v>115936</v>
      </c>
      <c r="C9761" t="str">
        <f>"82758"</f>
        <v>82758</v>
      </c>
      <c r="D9761" t="s">
        <v>776</v>
      </c>
      <c r="E9761" s="1">
        <v>16961.75</v>
      </c>
      <c r="F9761">
        <v>20140528</v>
      </c>
      <c r="G9761" t="s">
        <v>777</v>
      </c>
      <c r="H9761" t="s">
        <v>778</v>
      </c>
      <c r="I9761" t="s">
        <v>21</v>
      </c>
    </row>
    <row r="9762" spans="1:9" x14ac:dyDescent="0.25">
      <c r="A9762">
        <v>20140529</v>
      </c>
      <c r="B9762" t="str">
        <f>"115937"</f>
        <v>115937</v>
      </c>
      <c r="C9762" t="str">
        <f>"87465"</f>
        <v>87465</v>
      </c>
      <c r="D9762" t="s">
        <v>500</v>
      </c>
      <c r="E9762">
        <v>90</v>
      </c>
      <c r="F9762">
        <v>20140528</v>
      </c>
      <c r="G9762" t="s">
        <v>469</v>
      </c>
      <c r="H9762" t="s">
        <v>501</v>
      </c>
      <c r="I9762" t="s">
        <v>21</v>
      </c>
    </row>
    <row r="9763" spans="1:9" x14ac:dyDescent="0.25">
      <c r="A9763">
        <v>20140529</v>
      </c>
      <c r="B9763" t="str">
        <f>"115938"</f>
        <v>115938</v>
      </c>
      <c r="C9763" t="str">
        <f>"83072"</f>
        <v>83072</v>
      </c>
      <c r="D9763" t="s">
        <v>2334</v>
      </c>
      <c r="E9763">
        <v>27.81</v>
      </c>
      <c r="F9763">
        <v>20140527</v>
      </c>
      <c r="G9763" t="s">
        <v>637</v>
      </c>
      <c r="H9763" t="s">
        <v>354</v>
      </c>
      <c r="I9763" t="s">
        <v>38</v>
      </c>
    </row>
    <row r="9764" spans="1:9" x14ac:dyDescent="0.25">
      <c r="A9764">
        <v>20140529</v>
      </c>
      <c r="B9764" t="str">
        <f>"115939"</f>
        <v>115939</v>
      </c>
      <c r="C9764" t="str">
        <f>"87866"</f>
        <v>87866</v>
      </c>
      <c r="D9764" t="s">
        <v>4463</v>
      </c>
      <c r="E9764">
        <v>22.35</v>
      </c>
      <c r="F9764">
        <v>20140527</v>
      </c>
      <c r="G9764" t="s">
        <v>202</v>
      </c>
      <c r="H9764" t="s">
        <v>3013</v>
      </c>
      <c r="I9764" t="s">
        <v>12</v>
      </c>
    </row>
    <row r="9765" spans="1:9" x14ac:dyDescent="0.25">
      <c r="A9765">
        <v>20140529</v>
      </c>
      <c r="B9765" t="str">
        <f>"115940"</f>
        <v>115940</v>
      </c>
      <c r="C9765" t="str">
        <f>"86323"</f>
        <v>86323</v>
      </c>
      <c r="D9765" t="s">
        <v>4121</v>
      </c>
      <c r="E9765">
        <v>885</v>
      </c>
      <c r="F9765">
        <v>20140527</v>
      </c>
      <c r="G9765" t="s">
        <v>221</v>
      </c>
      <c r="H9765" t="s">
        <v>4464</v>
      </c>
      <c r="I9765" t="s">
        <v>25</v>
      </c>
    </row>
    <row r="9766" spans="1:9" x14ac:dyDescent="0.25">
      <c r="A9766">
        <v>20140529</v>
      </c>
      <c r="B9766" t="str">
        <f>"115941"</f>
        <v>115941</v>
      </c>
      <c r="C9766" t="str">
        <f>"18150"</f>
        <v>18150</v>
      </c>
      <c r="D9766" t="s">
        <v>3535</v>
      </c>
      <c r="E9766">
        <v>40</v>
      </c>
      <c r="F9766">
        <v>20140528</v>
      </c>
      <c r="G9766" t="s">
        <v>1660</v>
      </c>
      <c r="H9766" t="s">
        <v>4465</v>
      </c>
      <c r="I9766" t="s">
        <v>38</v>
      </c>
    </row>
    <row r="9767" spans="1:9" x14ac:dyDescent="0.25">
      <c r="A9767">
        <v>20140529</v>
      </c>
      <c r="B9767" t="str">
        <f>"115942"</f>
        <v>115942</v>
      </c>
      <c r="C9767" t="str">
        <f>"87084"</f>
        <v>87084</v>
      </c>
      <c r="D9767" t="s">
        <v>1036</v>
      </c>
      <c r="E9767">
        <v>72.900000000000006</v>
      </c>
      <c r="F9767">
        <v>20140527</v>
      </c>
      <c r="G9767" t="s">
        <v>810</v>
      </c>
      <c r="H9767" t="s">
        <v>365</v>
      </c>
      <c r="I9767" t="s">
        <v>66</v>
      </c>
    </row>
    <row r="9768" spans="1:9" x14ac:dyDescent="0.25">
      <c r="A9768">
        <v>20140529</v>
      </c>
      <c r="B9768" t="str">
        <f>"115943"</f>
        <v>115943</v>
      </c>
      <c r="C9768" t="str">
        <f>"23827"</f>
        <v>23827</v>
      </c>
      <c r="D9768" t="s">
        <v>528</v>
      </c>
      <c r="E9768" s="1">
        <v>3003</v>
      </c>
      <c r="F9768">
        <v>20140528</v>
      </c>
      <c r="G9768" t="s">
        <v>181</v>
      </c>
      <c r="H9768" t="s">
        <v>4466</v>
      </c>
      <c r="I9768" t="s">
        <v>38</v>
      </c>
    </row>
    <row r="9769" spans="1:9" x14ac:dyDescent="0.25">
      <c r="A9769">
        <v>20140529</v>
      </c>
      <c r="B9769" t="str">
        <f>"115944"</f>
        <v>115944</v>
      </c>
      <c r="C9769" t="str">
        <f>"87528"</f>
        <v>87528</v>
      </c>
      <c r="D9769" t="s">
        <v>1048</v>
      </c>
      <c r="E9769" s="1">
        <v>1050</v>
      </c>
      <c r="F9769">
        <v>20140528</v>
      </c>
      <c r="G9769" t="s">
        <v>1049</v>
      </c>
      <c r="H9769" t="s">
        <v>1050</v>
      </c>
      <c r="I9769" t="s">
        <v>21</v>
      </c>
    </row>
    <row r="9770" spans="1:9" x14ac:dyDescent="0.25">
      <c r="A9770">
        <v>20140529</v>
      </c>
      <c r="B9770" t="str">
        <f t="shared" ref="B9770:B9781" si="565">"115945"</f>
        <v>115945</v>
      </c>
      <c r="C9770" t="str">
        <f t="shared" ref="C9770:C9781" si="566">"82286"</f>
        <v>82286</v>
      </c>
      <c r="D9770" t="s">
        <v>532</v>
      </c>
      <c r="E9770" s="1">
        <v>1808.87</v>
      </c>
      <c r="F9770">
        <v>20140528</v>
      </c>
      <c r="G9770" t="s">
        <v>533</v>
      </c>
      <c r="H9770" t="s">
        <v>4467</v>
      </c>
      <c r="I9770" t="s">
        <v>21</v>
      </c>
    </row>
    <row r="9771" spans="1:9" x14ac:dyDescent="0.25">
      <c r="A9771">
        <v>20140529</v>
      </c>
      <c r="B9771" t="str">
        <f t="shared" si="565"/>
        <v>115945</v>
      </c>
      <c r="C9771" t="str">
        <f t="shared" si="566"/>
        <v>82286</v>
      </c>
      <c r="D9771" t="s">
        <v>532</v>
      </c>
      <c r="E9771">
        <v>48.89</v>
      </c>
      <c r="F9771">
        <v>20140528</v>
      </c>
      <c r="G9771" t="s">
        <v>535</v>
      </c>
      <c r="H9771" t="s">
        <v>4467</v>
      </c>
      <c r="I9771" t="s">
        <v>21</v>
      </c>
    </row>
    <row r="9772" spans="1:9" x14ac:dyDescent="0.25">
      <c r="A9772">
        <v>20140529</v>
      </c>
      <c r="B9772" t="str">
        <f t="shared" si="565"/>
        <v>115945</v>
      </c>
      <c r="C9772" t="str">
        <f t="shared" si="566"/>
        <v>82286</v>
      </c>
      <c r="D9772" t="s">
        <v>532</v>
      </c>
      <c r="E9772">
        <v>733.32</v>
      </c>
      <c r="F9772">
        <v>20140528</v>
      </c>
      <c r="G9772" t="s">
        <v>536</v>
      </c>
      <c r="H9772" t="s">
        <v>4467</v>
      </c>
      <c r="I9772" t="s">
        <v>21</v>
      </c>
    </row>
    <row r="9773" spans="1:9" x14ac:dyDescent="0.25">
      <c r="A9773">
        <v>20140529</v>
      </c>
      <c r="B9773" t="str">
        <f t="shared" si="565"/>
        <v>115945</v>
      </c>
      <c r="C9773" t="str">
        <f t="shared" si="566"/>
        <v>82286</v>
      </c>
      <c r="D9773" t="s">
        <v>532</v>
      </c>
      <c r="E9773">
        <v>244.44</v>
      </c>
      <c r="F9773">
        <v>20140528</v>
      </c>
      <c r="G9773" t="s">
        <v>537</v>
      </c>
      <c r="H9773" t="s">
        <v>4467</v>
      </c>
      <c r="I9773" t="s">
        <v>21</v>
      </c>
    </row>
    <row r="9774" spans="1:9" x14ac:dyDescent="0.25">
      <c r="A9774">
        <v>20140529</v>
      </c>
      <c r="B9774" t="str">
        <f t="shared" si="565"/>
        <v>115945</v>
      </c>
      <c r="C9774" t="str">
        <f t="shared" si="566"/>
        <v>82286</v>
      </c>
      <c r="D9774" t="s">
        <v>532</v>
      </c>
      <c r="E9774">
        <v>293.39</v>
      </c>
      <c r="F9774">
        <v>20140528</v>
      </c>
      <c r="G9774" t="s">
        <v>538</v>
      </c>
      <c r="H9774" t="s">
        <v>4467</v>
      </c>
      <c r="I9774" t="s">
        <v>21</v>
      </c>
    </row>
    <row r="9775" spans="1:9" x14ac:dyDescent="0.25">
      <c r="A9775">
        <v>20140529</v>
      </c>
      <c r="B9775" t="str">
        <f t="shared" si="565"/>
        <v>115945</v>
      </c>
      <c r="C9775" t="str">
        <f t="shared" si="566"/>
        <v>82286</v>
      </c>
      <c r="D9775" t="s">
        <v>532</v>
      </c>
      <c r="E9775">
        <v>342.21</v>
      </c>
      <c r="F9775">
        <v>20140528</v>
      </c>
      <c r="G9775" t="s">
        <v>539</v>
      </c>
      <c r="H9775" t="s">
        <v>4467</v>
      </c>
      <c r="I9775" t="s">
        <v>21</v>
      </c>
    </row>
    <row r="9776" spans="1:9" x14ac:dyDescent="0.25">
      <c r="A9776">
        <v>20140529</v>
      </c>
      <c r="B9776" t="str">
        <f t="shared" si="565"/>
        <v>115945</v>
      </c>
      <c r="C9776" t="str">
        <f t="shared" si="566"/>
        <v>82286</v>
      </c>
      <c r="D9776" t="s">
        <v>532</v>
      </c>
      <c r="E9776">
        <v>180.52</v>
      </c>
      <c r="F9776">
        <v>20140528</v>
      </c>
      <c r="G9776" t="s">
        <v>540</v>
      </c>
      <c r="H9776" t="s">
        <v>4467</v>
      </c>
      <c r="I9776" t="s">
        <v>21</v>
      </c>
    </row>
    <row r="9777" spans="1:9" x14ac:dyDescent="0.25">
      <c r="A9777">
        <v>20140529</v>
      </c>
      <c r="B9777" t="str">
        <f t="shared" si="565"/>
        <v>115945</v>
      </c>
      <c r="C9777" t="str">
        <f t="shared" si="566"/>
        <v>82286</v>
      </c>
      <c r="D9777" t="s">
        <v>532</v>
      </c>
      <c r="E9777">
        <v>180.51</v>
      </c>
      <c r="F9777">
        <v>20140528</v>
      </c>
      <c r="G9777" t="s">
        <v>541</v>
      </c>
      <c r="H9777" t="s">
        <v>4467</v>
      </c>
      <c r="I9777" t="s">
        <v>21</v>
      </c>
    </row>
    <row r="9778" spans="1:9" x14ac:dyDescent="0.25">
      <c r="A9778">
        <v>20140529</v>
      </c>
      <c r="B9778" t="str">
        <f t="shared" si="565"/>
        <v>115945</v>
      </c>
      <c r="C9778" t="str">
        <f t="shared" si="566"/>
        <v>82286</v>
      </c>
      <c r="D9778" t="s">
        <v>532</v>
      </c>
      <c r="E9778">
        <v>782.21</v>
      </c>
      <c r="F9778">
        <v>20140528</v>
      </c>
      <c r="G9778" t="s">
        <v>542</v>
      </c>
      <c r="H9778" t="s">
        <v>4467</v>
      </c>
      <c r="I9778" t="s">
        <v>21</v>
      </c>
    </row>
    <row r="9779" spans="1:9" x14ac:dyDescent="0.25">
      <c r="A9779">
        <v>20140529</v>
      </c>
      <c r="B9779" t="str">
        <f t="shared" si="565"/>
        <v>115945</v>
      </c>
      <c r="C9779" t="str">
        <f t="shared" si="566"/>
        <v>82286</v>
      </c>
      <c r="D9779" t="s">
        <v>532</v>
      </c>
      <c r="E9779">
        <v>48.89</v>
      </c>
      <c r="F9779">
        <v>20140528</v>
      </c>
      <c r="G9779" t="s">
        <v>543</v>
      </c>
      <c r="H9779" t="s">
        <v>4467</v>
      </c>
      <c r="I9779" t="s">
        <v>21</v>
      </c>
    </row>
    <row r="9780" spans="1:9" x14ac:dyDescent="0.25">
      <c r="A9780">
        <v>20140529</v>
      </c>
      <c r="B9780" t="str">
        <f t="shared" si="565"/>
        <v>115945</v>
      </c>
      <c r="C9780" t="str">
        <f t="shared" si="566"/>
        <v>82286</v>
      </c>
      <c r="D9780" t="s">
        <v>532</v>
      </c>
      <c r="E9780">
        <v>293.37</v>
      </c>
      <c r="F9780">
        <v>20140528</v>
      </c>
      <c r="G9780" t="s">
        <v>544</v>
      </c>
      <c r="H9780" t="s">
        <v>4467</v>
      </c>
      <c r="I9780" t="s">
        <v>21</v>
      </c>
    </row>
    <row r="9781" spans="1:9" x14ac:dyDescent="0.25">
      <c r="A9781">
        <v>20140529</v>
      </c>
      <c r="B9781" t="str">
        <f t="shared" si="565"/>
        <v>115945</v>
      </c>
      <c r="C9781" t="str">
        <f t="shared" si="566"/>
        <v>82286</v>
      </c>
      <c r="D9781" t="s">
        <v>532</v>
      </c>
      <c r="E9781">
        <v>293.38</v>
      </c>
      <c r="F9781">
        <v>20140528</v>
      </c>
      <c r="G9781" t="s">
        <v>545</v>
      </c>
      <c r="H9781" t="s">
        <v>4467</v>
      </c>
      <c r="I9781" t="s">
        <v>21</v>
      </c>
    </row>
    <row r="9782" spans="1:9" x14ac:dyDescent="0.25">
      <c r="A9782">
        <v>20140529</v>
      </c>
      <c r="B9782" t="str">
        <f>"115946"</f>
        <v>115946</v>
      </c>
      <c r="C9782" t="str">
        <f>"87741"</f>
        <v>87741</v>
      </c>
      <c r="D9782" t="s">
        <v>3378</v>
      </c>
      <c r="E9782">
        <v>393.34</v>
      </c>
      <c r="F9782">
        <v>20140528</v>
      </c>
      <c r="G9782" t="s">
        <v>159</v>
      </c>
      <c r="H9782" t="s">
        <v>4468</v>
      </c>
      <c r="I9782" t="s">
        <v>25</v>
      </c>
    </row>
    <row r="9783" spans="1:9" x14ac:dyDescent="0.25">
      <c r="A9783">
        <v>20140529</v>
      </c>
      <c r="B9783" t="str">
        <f>"115947"</f>
        <v>115947</v>
      </c>
      <c r="C9783" t="str">
        <f>"87871"</f>
        <v>87871</v>
      </c>
      <c r="D9783" t="s">
        <v>4469</v>
      </c>
      <c r="E9783">
        <v>215.82</v>
      </c>
      <c r="F9783">
        <v>20140527</v>
      </c>
      <c r="G9783" t="s">
        <v>1033</v>
      </c>
      <c r="H9783" t="s">
        <v>921</v>
      </c>
      <c r="I9783" t="s">
        <v>21</v>
      </c>
    </row>
    <row r="9784" spans="1:9" x14ac:dyDescent="0.25">
      <c r="A9784">
        <v>20140529</v>
      </c>
      <c r="B9784" t="str">
        <f>"115948"</f>
        <v>115948</v>
      </c>
      <c r="C9784" t="str">
        <f>"29167"</f>
        <v>29167</v>
      </c>
      <c r="D9784" t="s">
        <v>4226</v>
      </c>
      <c r="E9784">
        <v>610.4</v>
      </c>
      <c r="F9784">
        <v>20140527</v>
      </c>
      <c r="G9784" t="s">
        <v>1722</v>
      </c>
      <c r="H9784" t="s">
        <v>921</v>
      </c>
      <c r="I9784" t="s">
        <v>66</v>
      </c>
    </row>
    <row r="9785" spans="1:9" x14ac:dyDescent="0.25">
      <c r="A9785">
        <v>20140529</v>
      </c>
      <c r="B9785" t="str">
        <f>"115949"</f>
        <v>115949</v>
      </c>
      <c r="C9785" t="str">
        <f>"87355"</f>
        <v>87355</v>
      </c>
      <c r="D9785" t="s">
        <v>4470</v>
      </c>
      <c r="E9785">
        <v>171.5</v>
      </c>
      <c r="F9785">
        <v>20140528</v>
      </c>
      <c r="G9785" t="s">
        <v>157</v>
      </c>
      <c r="H9785" t="s">
        <v>354</v>
      </c>
      <c r="I9785" t="s">
        <v>25</v>
      </c>
    </row>
    <row r="9786" spans="1:9" x14ac:dyDescent="0.25">
      <c r="A9786">
        <v>20140529</v>
      </c>
      <c r="B9786" t="str">
        <f>"115950"</f>
        <v>115950</v>
      </c>
      <c r="C9786" t="str">
        <f>"30000"</f>
        <v>30000</v>
      </c>
      <c r="D9786" t="s">
        <v>556</v>
      </c>
      <c r="E9786">
        <v>660</v>
      </c>
      <c r="F9786">
        <v>20140523</v>
      </c>
      <c r="G9786" t="s">
        <v>840</v>
      </c>
      <c r="H9786" t="s">
        <v>4471</v>
      </c>
      <c r="I9786" t="s">
        <v>21</v>
      </c>
    </row>
    <row r="9787" spans="1:9" x14ac:dyDescent="0.25">
      <c r="A9787">
        <v>20140529</v>
      </c>
      <c r="B9787" t="str">
        <f>"115950"</f>
        <v>115950</v>
      </c>
      <c r="C9787" t="str">
        <f>"30000"</f>
        <v>30000</v>
      </c>
      <c r="D9787" t="s">
        <v>556</v>
      </c>
      <c r="E9787">
        <v>235.39</v>
      </c>
      <c r="F9787">
        <v>20140528</v>
      </c>
      <c r="G9787" t="s">
        <v>840</v>
      </c>
      <c r="H9787" t="s">
        <v>414</v>
      </c>
      <c r="I9787" t="s">
        <v>21</v>
      </c>
    </row>
    <row r="9788" spans="1:9" x14ac:dyDescent="0.25">
      <c r="A9788">
        <v>20140529</v>
      </c>
      <c r="B9788" t="str">
        <f>"115951"</f>
        <v>115951</v>
      </c>
      <c r="C9788" t="str">
        <f>"30125"</f>
        <v>30125</v>
      </c>
      <c r="D9788" t="s">
        <v>2509</v>
      </c>
      <c r="E9788">
        <v>539.65</v>
      </c>
      <c r="F9788">
        <v>20140523</v>
      </c>
      <c r="G9788" t="s">
        <v>1618</v>
      </c>
      <c r="H9788" t="s">
        <v>4472</v>
      </c>
      <c r="I9788" t="s">
        <v>21</v>
      </c>
    </row>
    <row r="9789" spans="1:9" x14ac:dyDescent="0.25">
      <c r="A9789">
        <v>20140529</v>
      </c>
      <c r="B9789" t="str">
        <f>"115951"</f>
        <v>115951</v>
      </c>
      <c r="C9789" t="str">
        <f>"30125"</f>
        <v>30125</v>
      </c>
      <c r="D9789" t="s">
        <v>2509</v>
      </c>
      <c r="E9789">
        <v>461.19</v>
      </c>
      <c r="F9789">
        <v>20140527</v>
      </c>
      <c r="G9789" t="s">
        <v>1775</v>
      </c>
      <c r="H9789" t="s">
        <v>4473</v>
      </c>
      <c r="I9789" t="s">
        <v>21</v>
      </c>
    </row>
    <row r="9790" spans="1:9" x14ac:dyDescent="0.25">
      <c r="A9790">
        <v>20140529</v>
      </c>
      <c r="B9790" t="str">
        <f>"115952"</f>
        <v>115952</v>
      </c>
      <c r="C9790" t="str">
        <f>"81038"</f>
        <v>81038</v>
      </c>
      <c r="D9790" t="s">
        <v>2364</v>
      </c>
      <c r="E9790">
        <v>600</v>
      </c>
      <c r="F9790">
        <v>20140528</v>
      </c>
      <c r="G9790" t="s">
        <v>119</v>
      </c>
      <c r="H9790" t="s">
        <v>4474</v>
      </c>
      <c r="I9790" t="s">
        <v>38</v>
      </c>
    </row>
    <row r="9791" spans="1:9" x14ac:dyDescent="0.25">
      <c r="A9791">
        <v>20140529</v>
      </c>
      <c r="B9791" t="str">
        <f>"115953"</f>
        <v>115953</v>
      </c>
      <c r="C9791" t="str">
        <f>"00534"</f>
        <v>00534</v>
      </c>
      <c r="D9791" t="s">
        <v>4475</v>
      </c>
      <c r="E9791">
        <v>39.950000000000003</v>
      </c>
      <c r="F9791">
        <v>20140527</v>
      </c>
      <c r="G9791" t="s">
        <v>2642</v>
      </c>
      <c r="H9791" t="s">
        <v>414</v>
      </c>
      <c r="I9791" t="s">
        <v>38</v>
      </c>
    </row>
    <row r="9792" spans="1:9" x14ac:dyDescent="0.25">
      <c r="A9792">
        <v>20140529</v>
      </c>
      <c r="B9792" t="str">
        <f>"115954"</f>
        <v>115954</v>
      </c>
      <c r="C9792" t="str">
        <f>"87874"</f>
        <v>87874</v>
      </c>
      <c r="D9792" t="s">
        <v>4476</v>
      </c>
      <c r="E9792">
        <v>30</v>
      </c>
      <c r="F9792">
        <v>20140528</v>
      </c>
      <c r="G9792" t="s">
        <v>181</v>
      </c>
      <c r="H9792" t="s">
        <v>4477</v>
      </c>
      <c r="I9792" t="s">
        <v>38</v>
      </c>
    </row>
    <row r="9793" spans="1:9" x14ac:dyDescent="0.25">
      <c r="A9793">
        <v>20140529</v>
      </c>
      <c r="B9793" t="str">
        <f>"115955"</f>
        <v>115955</v>
      </c>
      <c r="C9793" t="str">
        <f>"87363"</f>
        <v>87363</v>
      </c>
      <c r="D9793" t="s">
        <v>3355</v>
      </c>
      <c r="E9793">
        <v>249.1</v>
      </c>
      <c r="F9793">
        <v>20140527</v>
      </c>
      <c r="G9793" t="s">
        <v>189</v>
      </c>
      <c r="H9793" t="s">
        <v>354</v>
      </c>
      <c r="I9793" t="s">
        <v>25</v>
      </c>
    </row>
    <row r="9794" spans="1:9" x14ac:dyDescent="0.25">
      <c r="A9794">
        <v>20140529</v>
      </c>
      <c r="B9794" t="str">
        <f>"115956"</f>
        <v>115956</v>
      </c>
      <c r="C9794" t="str">
        <f>"00268"</f>
        <v>00268</v>
      </c>
      <c r="D9794" t="s">
        <v>1878</v>
      </c>
      <c r="E9794" s="1">
        <v>1635</v>
      </c>
      <c r="F9794">
        <v>20140526</v>
      </c>
      <c r="G9794" t="s">
        <v>2495</v>
      </c>
      <c r="H9794" t="s">
        <v>921</v>
      </c>
      <c r="I9794" t="s">
        <v>21</v>
      </c>
    </row>
    <row r="9795" spans="1:9" x14ac:dyDescent="0.25">
      <c r="A9795">
        <v>20140529</v>
      </c>
      <c r="B9795" t="str">
        <f>"115957"</f>
        <v>115957</v>
      </c>
      <c r="C9795" t="str">
        <f>"84161"</f>
        <v>84161</v>
      </c>
      <c r="D9795" t="s">
        <v>1767</v>
      </c>
      <c r="E9795">
        <v>101.34</v>
      </c>
      <c r="F9795">
        <v>20140526</v>
      </c>
      <c r="G9795" t="s">
        <v>810</v>
      </c>
      <c r="H9795" t="s">
        <v>365</v>
      </c>
      <c r="I9795" t="s">
        <v>66</v>
      </c>
    </row>
    <row r="9796" spans="1:9" x14ac:dyDescent="0.25">
      <c r="A9796">
        <v>20140529</v>
      </c>
      <c r="B9796" t="str">
        <f>"115958"</f>
        <v>115958</v>
      </c>
      <c r="C9796" t="str">
        <f>"85789"</f>
        <v>85789</v>
      </c>
      <c r="D9796" t="s">
        <v>4478</v>
      </c>
      <c r="E9796">
        <v>80.19</v>
      </c>
      <c r="F9796">
        <v>20140528</v>
      </c>
      <c r="G9796" t="s">
        <v>442</v>
      </c>
      <c r="H9796" t="s">
        <v>365</v>
      </c>
      <c r="I9796" t="s">
        <v>66</v>
      </c>
    </row>
    <row r="9797" spans="1:9" x14ac:dyDescent="0.25">
      <c r="A9797">
        <v>20140529</v>
      </c>
      <c r="B9797" t="str">
        <f>"115958"</f>
        <v>115958</v>
      </c>
      <c r="C9797" t="str">
        <f>"85789"</f>
        <v>85789</v>
      </c>
      <c r="D9797" t="s">
        <v>4478</v>
      </c>
      <c r="E9797">
        <v>114.73</v>
      </c>
      <c r="F9797">
        <v>20140528</v>
      </c>
      <c r="G9797" t="s">
        <v>2210</v>
      </c>
      <c r="H9797" t="s">
        <v>365</v>
      </c>
      <c r="I9797" t="s">
        <v>75</v>
      </c>
    </row>
    <row r="9798" spans="1:9" x14ac:dyDescent="0.25">
      <c r="A9798">
        <v>20140529</v>
      </c>
      <c r="B9798" t="str">
        <f>"115959"</f>
        <v>115959</v>
      </c>
      <c r="C9798" t="str">
        <f>"87872"</f>
        <v>87872</v>
      </c>
      <c r="D9798" t="s">
        <v>4479</v>
      </c>
      <c r="E9798">
        <v>500</v>
      </c>
      <c r="F9798">
        <v>20140528</v>
      </c>
      <c r="G9798" t="s">
        <v>289</v>
      </c>
      <c r="H9798" t="s">
        <v>4480</v>
      </c>
      <c r="I9798" t="s">
        <v>38</v>
      </c>
    </row>
    <row r="9799" spans="1:9" x14ac:dyDescent="0.25">
      <c r="A9799">
        <v>20140529</v>
      </c>
      <c r="B9799" t="str">
        <f>"115960"</f>
        <v>115960</v>
      </c>
      <c r="C9799" t="str">
        <f>"80922"</f>
        <v>80922</v>
      </c>
      <c r="D9799" t="s">
        <v>4481</v>
      </c>
      <c r="E9799">
        <v>100</v>
      </c>
      <c r="F9799">
        <v>20140528</v>
      </c>
      <c r="G9799" t="s">
        <v>3214</v>
      </c>
      <c r="H9799" t="s">
        <v>4482</v>
      </c>
      <c r="I9799" t="s">
        <v>61</v>
      </c>
    </row>
    <row r="9800" spans="1:9" x14ac:dyDescent="0.25">
      <c r="A9800">
        <v>20140529</v>
      </c>
      <c r="B9800" t="str">
        <f>"115961"</f>
        <v>115961</v>
      </c>
      <c r="C9800" t="str">
        <f>"82531"</f>
        <v>82531</v>
      </c>
      <c r="D9800" t="s">
        <v>3356</v>
      </c>
      <c r="E9800">
        <v>15.95</v>
      </c>
      <c r="F9800">
        <v>20140528</v>
      </c>
      <c r="G9800" t="s">
        <v>584</v>
      </c>
      <c r="H9800" t="s">
        <v>354</v>
      </c>
      <c r="I9800" t="s">
        <v>21</v>
      </c>
    </row>
    <row r="9801" spans="1:9" x14ac:dyDescent="0.25">
      <c r="A9801">
        <v>20140529</v>
      </c>
      <c r="B9801" t="str">
        <f>"115962"</f>
        <v>115962</v>
      </c>
      <c r="C9801" t="str">
        <f>"84067"</f>
        <v>84067</v>
      </c>
      <c r="D9801" t="s">
        <v>1892</v>
      </c>
      <c r="E9801">
        <v>300</v>
      </c>
      <c r="F9801">
        <v>20140528</v>
      </c>
      <c r="G9801" t="s">
        <v>1893</v>
      </c>
      <c r="H9801" t="s">
        <v>1894</v>
      </c>
      <c r="I9801" t="s">
        <v>21</v>
      </c>
    </row>
    <row r="9802" spans="1:9" x14ac:dyDescent="0.25">
      <c r="A9802">
        <v>20140529</v>
      </c>
      <c r="B9802" t="str">
        <f t="shared" ref="B9802:B9807" si="567">"115963"</f>
        <v>115963</v>
      </c>
      <c r="C9802" t="str">
        <f t="shared" ref="C9802:C9807" si="568">"48820"</f>
        <v>48820</v>
      </c>
      <c r="D9802" t="s">
        <v>1106</v>
      </c>
      <c r="E9802">
        <v>201.41</v>
      </c>
      <c r="F9802">
        <v>20140528</v>
      </c>
      <c r="G9802" t="s">
        <v>209</v>
      </c>
      <c r="H9802" t="s">
        <v>354</v>
      </c>
      <c r="I9802" t="s">
        <v>25</v>
      </c>
    </row>
    <row r="9803" spans="1:9" x14ac:dyDescent="0.25">
      <c r="A9803">
        <v>20140529</v>
      </c>
      <c r="B9803" t="str">
        <f t="shared" si="567"/>
        <v>115963</v>
      </c>
      <c r="C9803" t="str">
        <f t="shared" si="568"/>
        <v>48820</v>
      </c>
      <c r="D9803" t="s">
        <v>1106</v>
      </c>
      <c r="E9803">
        <v>144.80000000000001</v>
      </c>
      <c r="F9803">
        <v>20140528</v>
      </c>
      <c r="G9803" t="s">
        <v>209</v>
      </c>
      <c r="H9803" t="s">
        <v>354</v>
      </c>
      <c r="I9803" t="s">
        <v>25</v>
      </c>
    </row>
    <row r="9804" spans="1:9" x14ac:dyDescent="0.25">
      <c r="A9804">
        <v>20140529</v>
      </c>
      <c r="B9804" t="str">
        <f t="shared" si="567"/>
        <v>115963</v>
      </c>
      <c r="C9804" t="str">
        <f t="shared" si="568"/>
        <v>48820</v>
      </c>
      <c r="D9804" t="s">
        <v>1106</v>
      </c>
      <c r="E9804">
        <v>116.09</v>
      </c>
      <c r="F9804">
        <v>20140528</v>
      </c>
      <c r="G9804" t="s">
        <v>209</v>
      </c>
      <c r="H9804" t="s">
        <v>354</v>
      </c>
      <c r="I9804" t="s">
        <v>25</v>
      </c>
    </row>
    <row r="9805" spans="1:9" x14ac:dyDescent="0.25">
      <c r="A9805">
        <v>20140529</v>
      </c>
      <c r="B9805" t="str">
        <f t="shared" si="567"/>
        <v>115963</v>
      </c>
      <c r="C9805" t="str">
        <f t="shared" si="568"/>
        <v>48820</v>
      </c>
      <c r="D9805" t="s">
        <v>1106</v>
      </c>
      <c r="E9805">
        <v>23.6</v>
      </c>
      <c r="F9805">
        <v>20140528</v>
      </c>
      <c r="G9805" t="s">
        <v>209</v>
      </c>
      <c r="H9805" t="s">
        <v>354</v>
      </c>
      <c r="I9805" t="s">
        <v>25</v>
      </c>
    </row>
    <row r="9806" spans="1:9" x14ac:dyDescent="0.25">
      <c r="A9806">
        <v>20140529</v>
      </c>
      <c r="B9806" t="str">
        <f t="shared" si="567"/>
        <v>115963</v>
      </c>
      <c r="C9806" t="str">
        <f t="shared" si="568"/>
        <v>48820</v>
      </c>
      <c r="D9806" t="s">
        <v>1106</v>
      </c>
      <c r="E9806">
        <v>242.22</v>
      </c>
      <c r="F9806">
        <v>20140528</v>
      </c>
      <c r="G9806" t="s">
        <v>209</v>
      </c>
      <c r="H9806" t="s">
        <v>354</v>
      </c>
      <c r="I9806" t="s">
        <v>25</v>
      </c>
    </row>
    <row r="9807" spans="1:9" x14ac:dyDescent="0.25">
      <c r="A9807">
        <v>20140529</v>
      </c>
      <c r="B9807" t="str">
        <f t="shared" si="567"/>
        <v>115963</v>
      </c>
      <c r="C9807" t="str">
        <f t="shared" si="568"/>
        <v>48820</v>
      </c>
      <c r="D9807" t="s">
        <v>1106</v>
      </c>
      <c r="E9807">
        <v>149</v>
      </c>
      <c r="F9807">
        <v>20140528</v>
      </c>
      <c r="G9807" t="s">
        <v>209</v>
      </c>
      <c r="H9807" t="s">
        <v>354</v>
      </c>
      <c r="I9807" t="s">
        <v>25</v>
      </c>
    </row>
    <row r="9808" spans="1:9" x14ac:dyDescent="0.25">
      <c r="A9808">
        <v>20140529</v>
      </c>
      <c r="B9808" t="str">
        <f>"115964"</f>
        <v>115964</v>
      </c>
      <c r="C9808" t="str">
        <f>"85781"</f>
        <v>85781</v>
      </c>
      <c r="D9808" t="s">
        <v>2730</v>
      </c>
      <c r="E9808">
        <v>25</v>
      </c>
      <c r="F9808">
        <v>20140528</v>
      </c>
      <c r="G9808" t="s">
        <v>1153</v>
      </c>
      <c r="H9808" t="s">
        <v>4483</v>
      </c>
      <c r="I9808" t="s">
        <v>61</v>
      </c>
    </row>
    <row r="9809" spans="1:9" x14ac:dyDescent="0.25">
      <c r="A9809">
        <v>20140529</v>
      </c>
      <c r="B9809" t="str">
        <f>"115965"</f>
        <v>115965</v>
      </c>
      <c r="C9809" t="str">
        <f>"51000"</f>
        <v>51000</v>
      </c>
      <c r="D9809" t="s">
        <v>366</v>
      </c>
      <c r="E9809">
        <v>40.97</v>
      </c>
      <c r="F9809">
        <v>20140527</v>
      </c>
      <c r="G9809" t="s">
        <v>367</v>
      </c>
      <c r="H9809" t="s">
        <v>368</v>
      </c>
      <c r="I9809" t="s">
        <v>21</v>
      </c>
    </row>
    <row r="9810" spans="1:9" x14ac:dyDescent="0.25">
      <c r="A9810">
        <v>20140529</v>
      </c>
      <c r="B9810" t="str">
        <f>"115966"</f>
        <v>115966</v>
      </c>
      <c r="C9810" t="str">
        <f>"87626"</f>
        <v>87626</v>
      </c>
      <c r="D9810" t="s">
        <v>2864</v>
      </c>
      <c r="E9810">
        <v>590</v>
      </c>
      <c r="F9810">
        <v>20140528</v>
      </c>
      <c r="G9810" t="s">
        <v>1806</v>
      </c>
      <c r="H9810" t="s">
        <v>839</v>
      </c>
      <c r="I9810" t="s">
        <v>21</v>
      </c>
    </row>
    <row r="9811" spans="1:9" x14ac:dyDescent="0.25">
      <c r="A9811">
        <v>20140529</v>
      </c>
      <c r="B9811" t="str">
        <f>"115967"</f>
        <v>115967</v>
      </c>
      <c r="C9811" t="str">
        <f>"87368"</f>
        <v>87368</v>
      </c>
      <c r="D9811" t="s">
        <v>4484</v>
      </c>
      <c r="E9811">
        <v>21.75</v>
      </c>
      <c r="F9811">
        <v>20140528</v>
      </c>
      <c r="G9811" t="s">
        <v>50</v>
      </c>
      <c r="H9811" t="s">
        <v>414</v>
      </c>
      <c r="I9811" t="s">
        <v>38</v>
      </c>
    </row>
    <row r="9812" spans="1:9" x14ac:dyDescent="0.25">
      <c r="A9812">
        <v>20140529</v>
      </c>
      <c r="B9812" t="str">
        <f>"115968"</f>
        <v>115968</v>
      </c>
      <c r="C9812" t="str">
        <f>"87867"</f>
        <v>87867</v>
      </c>
      <c r="D9812" t="s">
        <v>4485</v>
      </c>
      <c r="E9812">
        <v>180</v>
      </c>
      <c r="F9812">
        <v>20140526</v>
      </c>
      <c r="G9812" t="s">
        <v>214</v>
      </c>
      <c r="H9812" t="s">
        <v>4486</v>
      </c>
      <c r="I9812" t="s">
        <v>38</v>
      </c>
    </row>
    <row r="9813" spans="1:9" x14ac:dyDescent="0.25">
      <c r="A9813">
        <v>20140529</v>
      </c>
      <c r="B9813" t="str">
        <f>"115969"</f>
        <v>115969</v>
      </c>
      <c r="C9813" t="str">
        <f>"55675"</f>
        <v>55675</v>
      </c>
      <c r="D9813" t="s">
        <v>1114</v>
      </c>
      <c r="E9813">
        <v>35.99</v>
      </c>
      <c r="F9813">
        <v>20140528</v>
      </c>
      <c r="G9813" t="s">
        <v>1910</v>
      </c>
      <c r="H9813" t="s">
        <v>414</v>
      </c>
      <c r="I9813" t="s">
        <v>21</v>
      </c>
    </row>
    <row r="9814" spans="1:9" x14ac:dyDescent="0.25">
      <c r="A9814">
        <v>20140529</v>
      </c>
      <c r="B9814" t="str">
        <f>"115969"</f>
        <v>115969</v>
      </c>
      <c r="C9814" t="str">
        <f>"55675"</f>
        <v>55675</v>
      </c>
      <c r="D9814" t="s">
        <v>1114</v>
      </c>
      <c r="E9814">
        <v>9.75</v>
      </c>
      <c r="F9814">
        <v>20140528</v>
      </c>
      <c r="G9814" t="s">
        <v>1910</v>
      </c>
      <c r="H9814" t="s">
        <v>414</v>
      </c>
      <c r="I9814" t="s">
        <v>21</v>
      </c>
    </row>
    <row r="9815" spans="1:9" x14ac:dyDescent="0.25">
      <c r="A9815">
        <v>20140529</v>
      </c>
      <c r="B9815" t="str">
        <f>"115969"</f>
        <v>115969</v>
      </c>
      <c r="C9815" t="str">
        <f>"55675"</f>
        <v>55675</v>
      </c>
      <c r="D9815" t="s">
        <v>1114</v>
      </c>
      <c r="E9815">
        <v>14.59</v>
      </c>
      <c r="F9815">
        <v>20140528</v>
      </c>
      <c r="G9815" t="s">
        <v>1910</v>
      </c>
      <c r="H9815" t="s">
        <v>414</v>
      </c>
      <c r="I9815" t="s">
        <v>21</v>
      </c>
    </row>
    <row r="9816" spans="1:9" x14ac:dyDescent="0.25">
      <c r="A9816">
        <v>20140529</v>
      </c>
      <c r="B9816" t="str">
        <f>"115969"</f>
        <v>115969</v>
      </c>
      <c r="C9816" t="str">
        <f>"55675"</f>
        <v>55675</v>
      </c>
      <c r="D9816" t="s">
        <v>1114</v>
      </c>
      <c r="E9816">
        <v>215.49</v>
      </c>
      <c r="F9816">
        <v>20140528</v>
      </c>
      <c r="G9816" t="s">
        <v>206</v>
      </c>
      <c r="H9816" t="s">
        <v>414</v>
      </c>
      <c r="I9816" t="s">
        <v>25</v>
      </c>
    </row>
    <row r="9817" spans="1:9" x14ac:dyDescent="0.25">
      <c r="A9817">
        <v>20140529</v>
      </c>
      <c r="B9817" t="str">
        <f>"115970"</f>
        <v>115970</v>
      </c>
      <c r="C9817" t="str">
        <f>"00151"</f>
        <v>00151</v>
      </c>
      <c r="D9817" t="s">
        <v>1641</v>
      </c>
      <c r="E9817">
        <v>179</v>
      </c>
      <c r="F9817">
        <v>20140526</v>
      </c>
      <c r="G9817" t="s">
        <v>3419</v>
      </c>
      <c r="H9817" t="s">
        <v>1642</v>
      </c>
      <c r="I9817" t="s">
        <v>21</v>
      </c>
    </row>
    <row r="9818" spans="1:9" x14ac:dyDescent="0.25">
      <c r="A9818">
        <v>20140529</v>
      </c>
      <c r="B9818" t="str">
        <f>"115970"</f>
        <v>115970</v>
      </c>
      <c r="C9818" t="str">
        <f>"00151"</f>
        <v>00151</v>
      </c>
      <c r="D9818" t="s">
        <v>1641</v>
      </c>
      <c r="E9818">
        <v>81</v>
      </c>
      <c r="F9818">
        <v>20140526</v>
      </c>
      <c r="G9818" t="s">
        <v>1911</v>
      </c>
      <c r="H9818" t="s">
        <v>1642</v>
      </c>
      <c r="I9818" t="s">
        <v>21</v>
      </c>
    </row>
    <row r="9819" spans="1:9" x14ac:dyDescent="0.25">
      <c r="A9819">
        <v>20140529</v>
      </c>
      <c r="B9819" t="str">
        <f>"115970"</f>
        <v>115970</v>
      </c>
      <c r="C9819" t="str">
        <f>"00151"</f>
        <v>00151</v>
      </c>
      <c r="D9819" t="s">
        <v>1641</v>
      </c>
      <c r="E9819">
        <v>260</v>
      </c>
      <c r="F9819">
        <v>20140528</v>
      </c>
      <c r="G9819" t="s">
        <v>206</v>
      </c>
      <c r="H9819" t="s">
        <v>1642</v>
      </c>
      <c r="I9819" t="s">
        <v>25</v>
      </c>
    </row>
    <row r="9820" spans="1:9" x14ac:dyDescent="0.25">
      <c r="A9820">
        <v>20140529</v>
      </c>
      <c r="B9820" t="str">
        <f>"115971"</f>
        <v>115971</v>
      </c>
      <c r="C9820" t="str">
        <f>"58766"</f>
        <v>58766</v>
      </c>
      <c r="D9820" t="s">
        <v>4487</v>
      </c>
      <c r="E9820" s="1">
        <v>4019</v>
      </c>
      <c r="F9820">
        <v>20140527</v>
      </c>
      <c r="G9820" t="s">
        <v>189</v>
      </c>
      <c r="H9820" t="s">
        <v>4488</v>
      </c>
      <c r="I9820" t="s">
        <v>25</v>
      </c>
    </row>
    <row r="9821" spans="1:9" x14ac:dyDescent="0.25">
      <c r="A9821">
        <v>20140529</v>
      </c>
      <c r="B9821" t="str">
        <f>"115972"</f>
        <v>115972</v>
      </c>
      <c r="C9821" t="str">
        <f>"59080"</f>
        <v>59080</v>
      </c>
      <c r="D9821" t="s">
        <v>2880</v>
      </c>
      <c r="E9821" s="1">
        <v>2020</v>
      </c>
      <c r="F9821">
        <v>20140527</v>
      </c>
      <c r="G9821" t="s">
        <v>367</v>
      </c>
      <c r="H9821" t="s">
        <v>2881</v>
      </c>
      <c r="I9821" t="s">
        <v>21</v>
      </c>
    </row>
    <row r="9822" spans="1:9" x14ac:dyDescent="0.25">
      <c r="A9822">
        <v>20140529</v>
      </c>
      <c r="B9822" t="str">
        <f>"115972"</f>
        <v>115972</v>
      </c>
      <c r="C9822" t="str">
        <f>"59080"</f>
        <v>59080</v>
      </c>
      <c r="D9822" t="s">
        <v>2880</v>
      </c>
      <c r="E9822" s="1">
        <v>2020</v>
      </c>
      <c r="F9822">
        <v>20140527</v>
      </c>
      <c r="G9822" t="s">
        <v>99</v>
      </c>
      <c r="H9822" t="s">
        <v>2881</v>
      </c>
      <c r="I9822" t="s">
        <v>21</v>
      </c>
    </row>
    <row r="9823" spans="1:9" x14ac:dyDescent="0.25">
      <c r="A9823">
        <v>20140529</v>
      </c>
      <c r="B9823" t="str">
        <f>"115973"</f>
        <v>115973</v>
      </c>
      <c r="C9823" t="str">
        <f>"59500"</f>
        <v>59500</v>
      </c>
      <c r="D9823" t="s">
        <v>670</v>
      </c>
      <c r="E9823">
        <v>150.5</v>
      </c>
      <c r="F9823">
        <v>20140527</v>
      </c>
      <c r="G9823" t="s">
        <v>137</v>
      </c>
      <c r="H9823" t="s">
        <v>4489</v>
      </c>
      <c r="I9823" t="s">
        <v>21</v>
      </c>
    </row>
    <row r="9824" spans="1:9" x14ac:dyDescent="0.25">
      <c r="A9824">
        <v>20140529</v>
      </c>
      <c r="B9824" t="str">
        <f>"115974"</f>
        <v>115974</v>
      </c>
      <c r="C9824" t="str">
        <f>"87865"</f>
        <v>87865</v>
      </c>
      <c r="D9824" t="s">
        <v>4490</v>
      </c>
      <c r="E9824" s="1">
        <v>2300</v>
      </c>
      <c r="F9824">
        <v>20140526</v>
      </c>
      <c r="G9824" t="s">
        <v>186</v>
      </c>
      <c r="H9824" t="s">
        <v>390</v>
      </c>
      <c r="I9824" t="s">
        <v>61</v>
      </c>
    </row>
    <row r="9825" spans="1:9" x14ac:dyDescent="0.25">
      <c r="A9825">
        <v>20140529</v>
      </c>
      <c r="B9825" t="str">
        <f>"115975"</f>
        <v>115975</v>
      </c>
      <c r="C9825" t="str">
        <f>"86454"</f>
        <v>86454</v>
      </c>
      <c r="D9825" t="s">
        <v>4441</v>
      </c>
      <c r="E9825">
        <v>40</v>
      </c>
      <c r="F9825">
        <v>20140528</v>
      </c>
      <c r="G9825" t="s">
        <v>289</v>
      </c>
      <c r="H9825" t="s">
        <v>4491</v>
      </c>
      <c r="I9825" t="s">
        <v>38</v>
      </c>
    </row>
    <row r="9826" spans="1:9" x14ac:dyDescent="0.25">
      <c r="A9826">
        <v>20140529</v>
      </c>
      <c r="B9826" t="str">
        <f>"115976"</f>
        <v>115976</v>
      </c>
      <c r="C9826" t="str">
        <f>"61920"</f>
        <v>61920</v>
      </c>
      <c r="D9826" t="s">
        <v>4020</v>
      </c>
      <c r="E9826">
        <v>120</v>
      </c>
      <c r="F9826">
        <v>20140527</v>
      </c>
      <c r="G9826" t="s">
        <v>1214</v>
      </c>
      <c r="H9826" t="s">
        <v>1316</v>
      </c>
      <c r="I9826" t="s">
        <v>79</v>
      </c>
    </row>
    <row r="9827" spans="1:9" x14ac:dyDescent="0.25">
      <c r="A9827">
        <v>20140529</v>
      </c>
      <c r="B9827" t="str">
        <f>"115977"</f>
        <v>115977</v>
      </c>
      <c r="C9827" t="str">
        <f>"84916"</f>
        <v>84916</v>
      </c>
      <c r="D9827" t="s">
        <v>4492</v>
      </c>
      <c r="E9827" s="1">
        <v>15308</v>
      </c>
      <c r="F9827">
        <v>20140528</v>
      </c>
      <c r="G9827" t="s">
        <v>4493</v>
      </c>
      <c r="H9827" t="s">
        <v>390</v>
      </c>
      <c r="I9827" t="s">
        <v>75</v>
      </c>
    </row>
    <row r="9828" spans="1:9" x14ac:dyDescent="0.25">
      <c r="A9828">
        <v>20140529</v>
      </c>
      <c r="B9828" t="str">
        <f>"115978"</f>
        <v>115978</v>
      </c>
      <c r="C9828" t="str">
        <f>"83448"</f>
        <v>83448</v>
      </c>
      <c r="D9828" t="s">
        <v>2971</v>
      </c>
      <c r="E9828">
        <v>102.04</v>
      </c>
      <c r="F9828">
        <v>20140526</v>
      </c>
      <c r="G9828" t="s">
        <v>982</v>
      </c>
      <c r="H9828" t="s">
        <v>365</v>
      </c>
      <c r="I9828" t="s">
        <v>21</v>
      </c>
    </row>
    <row r="9829" spans="1:9" x14ac:dyDescent="0.25">
      <c r="A9829">
        <v>20140529</v>
      </c>
      <c r="B9829" t="str">
        <f>"115979"</f>
        <v>115979</v>
      </c>
      <c r="C9829" t="str">
        <f>"62450"</f>
        <v>62450</v>
      </c>
      <c r="D9829" t="s">
        <v>683</v>
      </c>
      <c r="E9829">
        <v>111</v>
      </c>
      <c r="F9829">
        <v>20140528</v>
      </c>
      <c r="G9829" t="s">
        <v>2677</v>
      </c>
      <c r="H9829" t="s">
        <v>4494</v>
      </c>
      <c r="I9829" t="s">
        <v>21</v>
      </c>
    </row>
    <row r="9830" spans="1:9" x14ac:dyDescent="0.25">
      <c r="A9830">
        <v>20140529</v>
      </c>
      <c r="B9830" t="str">
        <f>"115980"</f>
        <v>115980</v>
      </c>
      <c r="C9830" t="str">
        <f>"86120"</f>
        <v>86120</v>
      </c>
      <c r="D9830" t="s">
        <v>2756</v>
      </c>
      <c r="E9830">
        <v>150</v>
      </c>
      <c r="F9830">
        <v>20140527</v>
      </c>
      <c r="G9830" t="s">
        <v>1772</v>
      </c>
      <c r="H9830" t="s">
        <v>4495</v>
      </c>
      <c r="I9830" t="s">
        <v>21</v>
      </c>
    </row>
    <row r="9831" spans="1:9" x14ac:dyDescent="0.25">
      <c r="A9831">
        <v>20140529</v>
      </c>
      <c r="B9831" t="str">
        <f>"115980"</f>
        <v>115980</v>
      </c>
      <c r="C9831" t="str">
        <f>"86120"</f>
        <v>86120</v>
      </c>
      <c r="D9831" t="s">
        <v>2756</v>
      </c>
      <c r="E9831">
        <v>200</v>
      </c>
      <c r="F9831">
        <v>20140527</v>
      </c>
      <c r="G9831" t="s">
        <v>4496</v>
      </c>
      <c r="H9831" t="s">
        <v>4495</v>
      </c>
      <c r="I9831" t="s">
        <v>21</v>
      </c>
    </row>
    <row r="9832" spans="1:9" x14ac:dyDescent="0.25">
      <c r="A9832">
        <v>20140529</v>
      </c>
      <c r="B9832" t="str">
        <f>"115981"</f>
        <v>115981</v>
      </c>
      <c r="C9832" t="str">
        <f>"84165"</f>
        <v>84165</v>
      </c>
      <c r="D9832" t="s">
        <v>1298</v>
      </c>
      <c r="E9832">
        <v>55.44</v>
      </c>
      <c r="F9832">
        <v>20140528</v>
      </c>
      <c r="G9832" t="s">
        <v>810</v>
      </c>
      <c r="H9832" t="s">
        <v>365</v>
      </c>
      <c r="I9832" t="s">
        <v>66</v>
      </c>
    </row>
    <row r="9833" spans="1:9" x14ac:dyDescent="0.25">
      <c r="A9833">
        <v>20140529</v>
      </c>
      <c r="B9833" t="str">
        <f>"115982"</f>
        <v>115982</v>
      </c>
      <c r="C9833" t="str">
        <f>"86668"</f>
        <v>86668</v>
      </c>
      <c r="D9833" t="s">
        <v>3072</v>
      </c>
      <c r="E9833">
        <v>85</v>
      </c>
      <c r="F9833">
        <v>20140526</v>
      </c>
      <c r="G9833" t="s">
        <v>2820</v>
      </c>
      <c r="H9833" t="s">
        <v>765</v>
      </c>
      <c r="I9833" t="s">
        <v>61</v>
      </c>
    </row>
    <row r="9834" spans="1:9" x14ac:dyDescent="0.25">
      <c r="A9834">
        <v>20140529</v>
      </c>
      <c r="B9834" t="str">
        <f>"115983"</f>
        <v>115983</v>
      </c>
      <c r="C9834" t="str">
        <f>"85353"</f>
        <v>85353</v>
      </c>
      <c r="D9834" t="s">
        <v>4497</v>
      </c>
      <c r="E9834" s="1">
        <v>3269</v>
      </c>
      <c r="F9834">
        <v>20140526</v>
      </c>
      <c r="G9834" t="s">
        <v>39</v>
      </c>
      <c r="H9834" t="s">
        <v>4498</v>
      </c>
      <c r="I9834" t="s">
        <v>38</v>
      </c>
    </row>
    <row r="9835" spans="1:9" x14ac:dyDescent="0.25">
      <c r="A9835">
        <v>20140529</v>
      </c>
      <c r="B9835" t="str">
        <f>"115984"</f>
        <v>115984</v>
      </c>
      <c r="C9835" t="str">
        <f>"81941"</f>
        <v>81941</v>
      </c>
      <c r="D9835" t="s">
        <v>4499</v>
      </c>
      <c r="E9835">
        <v>69.5</v>
      </c>
      <c r="F9835">
        <v>20140528</v>
      </c>
      <c r="G9835" t="s">
        <v>910</v>
      </c>
      <c r="H9835" t="s">
        <v>4500</v>
      </c>
      <c r="I9835" t="s">
        <v>25</v>
      </c>
    </row>
    <row r="9836" spans="1:9" x14ac:dyDescent="0.25">
      <c r="A9836">
        <v>20140529</v>
      </c>
      <c r="B9836" t="str">
        <f>"115985"</f>
        <v>115985</v>
      </c>
      <c r="C9836" t="str">
        <f>"87854"</f>
        <v>87854</v>
      </c>
      <c r="D9836" t="s">
        <v>4450</v>
      </c>
      <c r="E9836">
        <v>497.25</v>
      </c>
      <c r="F9836">
        <v>20140523</v>
      </c>
      <c r="G9836" t="s">
        <v>840</v>
      </c>
      <c r="H9836" t="s">
        <v>839</v>
      </c>
      <c r="I9836" t="s">
        <v>21</v>
      </c>
    </row>
    <row r="9837" spans="1:9" x14ac:dyDescent="0.25">
      <c r="A9837">
        <v>20140529</v>
      </c>
      <c r="B9837" t="str">
        <f>"115986"</f>
        <v>115986</v>
      </c>
      <c r="C9837" t="str">
        <f>"87616"</f>
        <v>87616</v>
      </c>
      <c r="D9837" t="s">
        <v>711</v>
      </c>
      <c r="E9837">
        <v>821.5</v>
      </c>
      <c r="F9837">
        <v>20140528</v>
      </c>
      <c r="G9837" t="s">
        <v>577</v>
      </c>
      <c r="H9837" t="s">
        <v>3144</v>
      </c>
      <c r="I9837" t="s">
        <v>21</v>
      </c>
    </row>
    <row r="9838" spans="1:9" x14ac:dyDescent="0.25">
      <c r="A9838">
        <v>20140529</v>
      </c>
      <c r="B9838" t="str">
        <f>"115986"</f>
        <v>115986</v>
      </c>
      <c r="C9838" t="str">
        <f>"87616"</f>
        <v>87616</v>
      </c>
      <c r="D9838" t="s">
        <v>711</v>
      </c>
      <c r="E9838">
        <v>50</v>
      </c>
      <c r="F9838">
        <v>20140528</v>
      </c>
      <c r="G9838" t="s">
        <v>289</v>
      </c>
      <c r="H9838" t="s">
        <v>3144</v>
      </c>
      <c r="I9838" t="s">
        <v>38</v>
      </c>
    </row>
    <row r="9839" spans="1:9" x14ac:dyDescent="0.25">
      <c r="A9839">
        <v>20140529</v>
      </c>
      <c r="B9839" t="str">
        <f>"115986"</f>
        <v>115986</v>
      </c>
      <c r="C9839" t="str">
        <f>"87616"</f>
        <v>87616</v>
      </c>
      <c r="D9839" t="s">
        <v>711</v>
      </c>
      <c r="E9839">
        <v>513</v>
      </c>
      <c r="F9839">
        <v>20140528</v>
      </c>
      <c r="G9839" t="s">
        <v>41</v>
      </c>
      <c r="H9839" t="s">
        <v>3144</v>
      </c>
      <c r="I9839" t="s">
        <v>38</v>
      </c>
    </row>
    <row r="9840" spans="1:9" x14ac:dyDescent="0.25">
      <c r="A9840">
        <v>20140529</v>
      </c>
      <c r="B9840" t="str">
        <f>"115986"</f>
        <v>115986</v>
      </c>
      <c r="C9840" t="str">
        <f>"87616"</f>
        <v>87616</v>
      </c>
      <c r="D9840" t="s">
        <v>711</v>
      </c>
      <c r="E9840">
        <v>525</v>
      </c>
      <c r="F9840">
        <v>20140528</v>
      </c>
      <c r="G9840" t="s">
        <v>184</v>
      </c>
      <c r="H9840" t="s">
        <v>3144</v>
      </c>
      <c r="I9840" t="s">
        <v>25</v>
      </c>
    </row>
    <row r="9841" spans="1:9" x14ac:dyDescent="0.25">
      <c r="A9841">
        <v>20140529</v>
      </c>
      <c r="B9841" t="str">
        <f>"115986"</f>
        <v>115986</v>
      </c>
      <c r="C9841" t="str">
        <f>"87616"</f>
        <v>87616</v>
      </c>
      <c r="D9841" t="s">
        <v>711</v>
      </c>
      <c r="E9841">
        <v>108</v>
      </c>
      <c r="F9841">
        <v>20140528</v>
      </c>
      <c r="G9841" t="s">
        <v>184</v>
      </c>
      <c r="H9841" t="s">
        <v>3144</v>
      </c>
      <c r="I9841" t="s">
        <v>25</v>
      </c>
    </row>
    <row r="9842" spans="1:9" x14ac:dyDescent="0.25">
      <c r="A9842">
        <v>20140529</v>
      </c>
      <c r="B9842" t="str">
        <f>"115987"</f>
        <v>115987</v>
      </c>
      <c r="C9842" t="str">
        <f>"87873"</f>
        <v>87873</v>
      </c>
      <c r="D9842" t="s">
        <v>4501</v>
      </c>
      <c r="E9842">
        <v>348.5</v>
      </c>
      <c r="F9842">
        <v>20140528</v>
      </c>
      <c r="G9842" t="s">
        <v>145</v>
      </c>
      <c r="H9842" t="s">
        <v>4502</v>
      </c>
      <c r="I9842" t="s">
        <v>38</v>
      </c>
    </row>
    <row r="9843" spans="1:9" x14ac:dyDescent="0.25">
      <c r="A9843">
        <v>20140529</v>
      </c>
      <c r="B9843" t="str">
        <f>"115988"</f>
        <v>115988</v>
      </c>
      <c r="C9843" t="str">
        <f>"00067"</f>
        <v>00067</v>
      </c>
      <c r="D9843" t="s">
        <v>1327</v>
      </c>
      <c r="E9843">
        <v>140.13999999999999</v>
      </c>
      <c r="F9843">
        <v>20140527</v>
      </c>
      <c r="G9843" t="s">
        <v>189</v>
      </c>
      <c r="H9843" t="s">
        <v>357</v>
      </c>
      <c r="I9843" t="s">
        <v>25</v>
      </c>
    </row>
    <row r="9844" spans="1:9" x14ac:dyDescent="0.25">
      <c r="A9844">
        <v>20140529</v>
      </c>
      <c r="B9844" t="str">
        <f t="shared" ref="B9844:B9856" si="569">"115989"</f>
        <v>115989</v>
      </c>
      <c r="C9844" t="str">
        <f t="shared" ref="C9844:C9856" si="570">"80825"</f>
        <v>80825</v>
      </c>
      <c r="D9844" t="s">
        <v>747</v>
      </c>
      <c r="E9844">
        <v>641.76</v>
      </c>
      <c r="F9844">
        <v>20140526</v>
      </c>
      <c r="G9844" t="s">
        <v>748</v>
      </c>
      <c r="H9844" t="s">
        <v>749</v>
      </c>
      <c r="I9844" t="s">
        <v>21</v>
      </c>
    </row>
    <row r="9845" spans="1:9" x14ac:dyDescent="0.25">
      <c r="A9845">
        <v>20140529</v>
      </c>
      <c r="B9845" t="str">
        <f t="shared" si="569"/>
        <v>115989</v>
      </c>
      <c r="C9845" t="str">
        <f t="shared" si="570"/>
        <v>80825</v>
      </c>
      <c r="D9845" t="s">
        <v>747</v>
      </c>
      <c r="E9845">
        <v>320.88</v>
      </c>
      <c r="F9845">
        <v>20140526</v>
      </c>
      <c r="G9845" t="s">
        <v>750</v>
      </c>
      <c r="H9845" t="s">
        <v>749</v>
      </c>
      <c r="I9845" t="s">
        <v>21</v>
      </c>
    </row>
    <row r="9846" spans="1:9" x14ac:dyDescent="0.25">
      <c r="A9846">
        <v>20140529</v>
      </c>
      <c r="B9846" t="str">
        <f t="shared" si="569"/>
        <v>115989</v>
      </c>
      <c r="C9846" t="str">
        <f t="shared" si="570"/>
        <v>80825</v>
      </c>
      <c r="D9846" t="s">
        <v>747</v>
      </c>
      <c r="E9846">
        <v>320.88</v>
      </c>
      <c r="F9846">
        <v>20140526</v>
      </c>
      <c r="G9846" t="s">
        <v>752</v>
      </c>
      <c r="H9846" t="s">
        <v>749</v>
      </c>
      <c r="I9846" t="s">
        <v>21</v>
      </c>
    </row>
    <row r="9847" spans="1:9" x14ac:dyDescent="0.25">
      <c r="A9847">
        <v>20140529</v>
      </c>
      <c r="B9847" t="str">
        <f t="shared" si="569"/>
        <v>115989</v>
      </c>
      <c r="C9847" t="str">
        <f t="shared" si="570"/>
        <v>80825</v>
      </c>
      <c r="D9847" t="s">
        <v>747</v>
      </c>
      <c r="E9847">
        <v>320.88</v>
      </c>
      <c r="F9847">
        <v>20140526</v>
      </c>
      <c r="G9847" t="s">
        <v>753</v>
      </c>
      <c r="H9847" t="s">
        <v>749</v>
      </c>
      <c r="I9847" t="s">
        <v>21</v>
      </c>
    </row>
    <row r="9848" spans="1:9" x14ac:dyDescent="0.25">
      <c r="A9848">
        <v>20140529</v>
      </c>
      <c r="B9848" t="str">
        <f t="shared" si="569"/>
        <v>115989</v>
      </c>
      <c r="C9848" t="str">
        <f t="shared" si="570"/>
        <v>80825</v>
      </c>
      <c r="D9848" t="s">
        <v>747</v>
      </c>
      <c r="E9848">
        <v>320.88</v>
      </c>
      <c r="F9848">
        <v>20140526</v>
      </c>
      <c r="G9848" t="s">
        <v>754</v>
      </c>
      <c r="H9848" t="s">
        <v>749</v>
      </c>
      <c r="I9848" t="s">
        <v>21</v>
      </c>
    </row>
    <row r="9849" spans="1:9" x14ac:dyDescent="0.25">
      <c r="A9849">
        <v>20140529</v>
      </c>
      <c r="B9849" t="str">
        <f t="shared" si="569"/>
        <v>115989</v>
      </c>
      <c r="C9849" t="str">
        <f t="shared" si="570"/>
        <v>80825</v>
      </c>
      <c r="D9849" t="s">
        <v>747</v>
      </c>
      <c r="E9849">
        <v>320.88</v>
      </c>
      <c r="F9849">
        <v>20140526</v>
      </c>
      <c r="G9849" t="s">
        <v>990</v>
      </c>
      <c r="H9849" t="s">
        <v>749</v>
      </c>
      <c r="I9849" t="s">
        <v>21</v>
      </c>
    </row>
    <row r="9850" spans="1:9" x14ac:dyDescent="0.25">
      <c r="A9850">
        <v>20140529</v>
      </c>
      <c r="B9850" t="str">
        <f t="shared" si="569"/>
        <v>115989</v>
      </c>
      <c r="C9850" t="str">
        <f t="shared" si="570"/>
        <v>80825</v>
      </c>
      <c r="D9850" t="s">
        <v>747</v>
      </c>
      <c r="E9850">
        <v>320.88</v>
      </c>
      <c r="F9850">
        <v>20140526</v>
      </c>
      <c r="G9850" t="s">
        <v>755</v>
      </c>
      <c r="H9850" t="s">
        <v>749</v>
      </c>
      <c r="I9850" t="s">
        <v>21</v>
      </c>
    </row>
    <row r="9851" spans="1:9" x14ac:dyDescent="0.25">
      <c r="A9851">
        <v>20140529</v>
      </c>
      <c r="B9851" t="str">
        <f t="shared" si="569"/>
        <v>115989</v>
      </c>
      <c r="C9851" t="str">
        <f t="shared" si="570"/>
        <v>80825</v>
      </c>
      <c r="D9851" t="s">
        <v>747</v>
      </c>
      <c r="E9851">
        <v>320.88</v>
      </c>
      <c r="F9851">
        <v>20140526</v>
      </c>
      <c r="G9851" t="s">
        <v>756</v>
      </c>
      <c r="H9851" t="s">
        <v>749</v>
      </c>
      <c r="I9851" t="s">
        <v>21</v>
      </c>
    </row>
    <row r="9852" spans="1:9" x14ac:dyDescent="0.25">
      <c r="A9852">
        <v>20140529</v>
      </c>
      <c r="B9852" t="str">
        <f t="shared" si="569"/>
        <v>115989</v>
      </c>
      <c r="C9852" t="str">
        <f t="shared" si="570"/>
        <v>80825</v>
      </c>
      <c r="D9852" t="s">
        <v>747</v>
      </c>
      <c r="E9852">
        <v>106.95</v>
      </c>
      <c r="F9852">
        <v>20140526</v>
      </c>
      <c r="G9852" t="s">
        <v>757</v>
      </c>
      <c r="H9852" t="s">
        <v>749</v>
      </c>
      <c r="I9852" t="s">
        <v>21</v>
      </c>
    </row>
    <row r="9853" spans="1:9" x14ac:dyDescent="0.25">
      <c r="A9853">
        <v>20140529</v>
      </c>
      <c r="B9853" t="str">
        <f t="shared" si="569"/>
        <v>115989</v>
      </c>
      <c r="C9853" t="str">
        <f t="shared" si="570"/>
        <v>80825</v>
      </c>
      <c r="D9853" t="s">
        <v>747</v>
      </c>
      <c r="E9853">
        <v>424.58</v>
      </c>
      <c r="F9853">
        <v>20140526</v>
      </c>
      <c r="G9853" t="s">
        <v>1175</v>
      </c>
      <c r="H9853" t="s">
        <v>749</v>
      </c>
      <c r="I9853" t="s">
        <v>21</v>
      </c>
    </row>
    <row r="9854" spans="1:9" x14ac:dyDescent="0.25">
      <c r="A9854">
        <v>20140529</v>
      </c>
      <c r="B9854" t="str">
        <f t="shared" si="569"/>
        <v>115989</v>
      </c>
      <c r="C9854" t="str">
        <f t="shared" si="570"/>
        <v>80825</v>
      </c>
      <c r="D9854" t="s">
        <v>747</v>
      </c>
      <c r="E9854">
        <v>106.95</v>
      </c>
      <c r="F9854">
        <v>20140526</v>
      </c>
      <c r="G9854" t="s">
        <v>544</v>
      </c>
      <c r="H9854" t="s">
        <v>749</v>
      </c>
      <c r="I9854" t="s">
        <v>21</v>
      </c>
    </row>
    <row r="9855" spans="1:9" x14ac:dyDescent="0.25">
      <c r="A9855">
        <v>20140529</v>
      </c>
      <c r="B9855" t="str">
        <f t="shared" si="569"/>
        <v>115989</v>
      </c>
      <c r="C9855" t="str">
        <f t="shared" si="570"/>
        <v>80825</v>
      </c>
      <c r="D9855" t="s">
        <v>747</v>
      </c>
      <c r="E9855">
        <v>106.95</v>
      </c>
      <c r="F9855">
        <v>20140526</v>
      </c>
      <c r="G9855" t="s">
        <v>545</v>
      </c>
      <c r="H9855" t="s">
        <v>749</v>
      </c>
      <c r="I9855" t="s">
        <v>21</v>
      </c>
    </row>
    <row r="9856" spans="1:9" x14ac:dyDescent="0.25">
      <c r="A9856">
        <v>20140529</v>
      </c>
      <c r="B9856" t="str">
        <f t="shared" si="569"/>
        <v>115989</v>
      </c>
      <c r="C9856" t="str">
        <f t="shared" si="570"/>
        <v>80825</v>
      </c>
      <c r="D9856" t="s">
        <v>747</v>
      </c>
      <c r="E9856">
        <v>345.9</v>
      </c>
      <c r="F9856">
        <v>20140526</v>
      </c>
      <c r="G9856" t="s">
        <v>1176</v>
      </c>
      <c r="H9856" t="s">
        <v>749</v>
      </c>
      <c r="I9856" t="s">
        <v>21</v>
      </c>
    </row>
    <row r="9857" spans="1:9" x14ac:dyDescent="0.25">
      <c r="A9857">
        <v>20140605</v>
      </c>
      <c r="B9857" t="str">
        <f>"115990"</f>
        <v>115990</v>
      </c>
      <c r="C9857" t="str">
        <f>"00954"</f>
        <v>00954</v>
      </c>
      <c r="D9857" t="s">
        <v>445</v>
      </c>
      <c r="E9857">
        <v>101.55</v>
      </c>
      <c r="F9857">
        <v>20140604</v>
      </c>
      <c r="G9857" t="s">
        <v>4503</v>
      </c>
      <c r="H9857" t="s">
        <v>1138</v>
      </c>
      <c r="I9857" t="s">
        <v>21</v>
      </c>
    </row>
    <row r="9858" spans="1:9" x14ac:dyDescent="0.25">
      <c r="A9858">
        <v>20140605</v>
      </c>
      <c r="B9858" t="str">
        <f>"115990"</f>
        <v>115990</v>
      </c>
      <c r="C9858" t="str">
        <f>"00954"</f>
        <v>00954</v>
      </c>
      <c r="D9858" t="s">
        <v>445</v>
      </c>
      <c r="E9858">
        <v>32</v>
      </c>
      <c r="F9858">
        <v>20140603</v>
      </c>
      <c r="G9858" t="s">
        <v>496</v>
      </c>
      <c r="H9858" t="s">
        <v>4504</v>
      </c>
      <c r="I9858" t="s">
        <v>21</v>
      </c>
    </row>
    <row r="9859" spans="1:9" x14ac:dyDescent="0.25">
      <c r="A9859">
        <v>20140605</v>
      </c>
      <c r="B9859" t="str">
        <f>"115991"</f>
        <v>115991</v>
      </c>
      <c r="C9859" t="str">
        <f>"01840"</f>
        <v>01840</v>
      </c>
      <c r="D9859" t="s">
        <v>3096</v>
      </c>
      <c r="E9859">
        <v>85</v>
      </c>
      <c r="F9859">
        <v>20140603</v>
      </c>
      <c r="G9859" t="s">
        <v>367</v>
      </c>
      <c r="H9859" t="s">
        <v>4505</v>
      </c>
      <c r="I9859" t="s">
        <v>21</v>
      </c>
    </row>
    <row r="9860" spans="1:9" x14ac:dyDescent="0.25">
      <c r="A9860">
        <v>20140605</v>
      </c>
      <c r="B9860" t="str">
        <f>"115992"</f>
        <v>115992</v>
      </c>
      <c r="C9860" t="str">
        <f>"87878"</f>
        <v>87878</v>
      </c>
      <c r="D9860" t="s">
        <v>4506</v>
      </c>
      <c r="E9860">
        <v>234.39</v>
      </c>
      <c r="F9860">
        <v>20140603</v>
      </c>
      <c r="G9860" t="s">
        <v>1846</v>
      </c>
      <c r="H9860" t="s">
        <v>765</v>
      </c>
      <c r="I9860" t="s">
        <v>63</v>
      </c>
    </row>
    <row r="9861" spans="1:9" x14ac:dyDescent="0.25">
      <c r="A9861">
        <v>20140605</v>
      </c>
      <c r="B9861" t="str">
        <f>"115992"</f>
        <v>115992</v>
      </c>
      <c r="C9861" t="str">
        <f>"87878"</f>
        <v>87878</v>
      </c>
      <c r="D9861" t="s">
        <v>4506</v>
      </c>
      <c r="E9861">
        <v>270.77</v>
      </c>
      <c r="F9861">
        <v>20140603</v>
      </c>
      <c r="G9861" t="s">
        <v>1846</v>
      </c>
      <c r="H9861" t="s">
        <v>765</v>
      </c>
      <c r="I9861" t="s">
        <v>63</v>
      </c>
    </row>
    <row r="9862" spans="1:9" x14ac:dyDescent="0.25">
      <c r="A9862">
        <v>20140605</v>
      </c>
      <c r="B9862" t="str">
        <f>"115993"</f>
        <v>115993</v>
      </c>
      <c r="C9862" t="str">
        <f>"85396"</f>
        <v>85396</v>
      </c>
      <c r="D9862" t="s">
        <v>2320</v>
      </c>
      <c r="E9862">
        <v>25</v>
      </c>
      <c r="F9862">
        <v>20140604</v>
      </c>
      <c r="G9862" t="s">
        <v>327</v>
      </c>
      <c r="H9862" t="s">
        <v>414</v>
      </c>
      <c r="I9862" t="s">
        <v>25</v>
      </c>
    </row>
    <row r="9863" spans="1:9" x14ac:dyDescent="0.25">
      <c r="A9863">
        <v>20140605</v>
      </c>
      <c r="B9863" t="str">
        <f>"115993"</f>
        <v>115993</v>
      </c>
      <c r="C9863" t="str">
        <f>"85396"</f>
        <v>85396</v>
      </c>
      <c r="D9863" t="s">
        <v>2320</v>
      </c>
      <c r="E9863">
        <v>120</v>
      </c>
      <c r="F9863">
        <v>20140604</v>
      </c>
      <c r="G9863" t="s">
        <v>327</v>
      </c>
      <c r="H9863" t="s">
        <v>414</v>
      </c>
      <c r="I9863" t="s">
        <v>25</v>
      </c>
    </row>
    <row r="9864" spans="1:9" x14ac:dyDescent="0.25">
      <c r="A9864">
        <v>20140605</v>
      </c>
      <c r="B9864" t="str">
        <f>"115993"</f>
        <v>115993</v>
      </c>
      <c r="C9864" t="str">
        <f>"85396"</f>
        <v>85396</v>
      </c>
      <c r="D9864" t="s">
        <v>2320</v>
      </c>
      <c r="E9864">
        <v>35</v>
      </c>
      <c r="F9864">
        <v>20140604</v>
      </c>
      <c r="G9864" t="s">
        <v>327</v>
      </c>
      <c r="H9864" t="s">
        <v>414</v>
      </c>
      <c r="I9864" t="s">
        <v>25</v>
      </c>
    </row>
    <row r="9865" spans="1:9" x14ac:dyDescent="0.25">
      <c r="A9865">
        <v>20140605</v>
      </c>
      <c r="B9865" t="str">
        <f>"115993"</f>
        <v>115993</v>
      </c>
      <c r="C9865" t="str">
        <f>"85396"</f>
        <v>85396</v>
      </c>
      <c r="D9865" t="s">
        <v>2320</v>
      </c>
      <c r="E9865">
        <v>35</v>
      </c>
      <c r="F9865">
        <v>20140604</v>
      </c>
      <c r="G9865" t="s">
        <v>327</v>
      </c>
      <c r="H9865" t="s">
        <v>414</v>
      </c>
      <c r="I9865" t="s">
        <v>25</v>
      </c>
    </row>
    <row r="9866" spans="1:9" x14ac:dyDescent="0.25">
      <c r="A9866">
        <v>20140605</v>
      </c>
      <c r="B9866" t="str">
        <f>"115994"</f>
        <v>115994</v>
      </c>
      <c r="C9866" t="str">
        <f>"05800"</f>
        <v>05800</v>
      </c>
      <c r="D9866" t="s">
        <v>998</v>
      </c>
      <c r="E9866">
        <v>49</v>
      </c>
      <c r="F9866">
        <v>20140604</v>
      </c>
      <c r="G9866" t="s">
        <v>840</v>
      </c>
      <c r="H9866" t="s">
        <v>4507</v>
      </c>
      <c r="I9866" t="s">
        <v>21</v>
      </c>
    </row>
    <row r="9867" spans="1:9" x14ac:dyDescent="0.25">
      <c r="A9867">
        <v>20140605</v>
      </c>
      <c r="B9867" t="str">
        <f>"115995"</f>
        <v>115995</v>
      </c>
      <c r="C9867" t="str">
        <f>"83932"</f>
        <v>83932</v>
      </c>
      <c r="D9867" t="s">
        <v>3269</v>
      </c>
      <c r="E9867">
        <v>27.45</v>
      </c>
      <c r="F9867">
        <v>20140605</v>
      </c>
      <c r="G9867" t="s">
        <v>410</v>
      </c>
      <c r="H9867" t="s">
        <v>411</v>
      </c>
      <c r="I9867" t="s">
        <v>12</v>
      </c>
    </row>
    <row r="9868" spans="1:9" x14ac:dyDescent="0.25">
      <c r="A9868">
        <v>20140605</v>
      </c>
      <c r="B9868" t="str">
        <f>"115996"</f>
        <v>115996</v>
      </c>
      <c r="C9868" t="str">
        <f>"00500"</f>
        <v>00500</v>
      </c>
      <c r="D9868" t="s">
        <v>486</v>
      </c>
      <c r="E9868" s="1">
        <v>4598.6000000000004</v>
      </c>
      <c r="F9868">
        <v>20140603</v>
      </c>
      <c r="G9868" t="s">
        <v>1705</v>
      </c>
      <c r="H9868" t="s">
        <v>488</v>
      </c>
      <c r="I9868" t="s">
        <v>21</v>
      </c>
    </row>
    <row r="9869" spans="1:9" x14ac:dyDescent="0.25">
      <c r="A9869">
        <v>20140605</v>
      </c>
      <c r="B9869" t="str">
        <f>"115997"</f>
        <v>115997</v>
      </c>
      <c r="C9869" t="str">
        <f>"00500"</f>
        <v>00500</v>
      </c>
      <c r="D9869" t="s">
        <v>486</v>
      </c>
      <c r="E9869" s="1">
        <v>3260.55</v>
      </c>
      <c r="F9869">
        <v>20140604</v>
      </c>
      <c r="G9869" t="s">
        <v>1705</v>
      </c>
      <c r="H9869" t="s">
        <v>488</v>
      </c>
      <c r="I9869" t="s">
        <v>21</v>
      </c>
    </row>
    <row r="9870" spans="1:9" x14ac:dyDescent="0.25">
      <c r="A9870">
        <v>20140605</v>
      </c>
      <c r="B9870" t="str">
        <f>"115998"</f>
        <v>115998</v>
      </c>
      <c r="C9870" t="str">
        <f>"00500"</f>
        <v>00500</v>
      </c>
      <c r="D9870" t="s">
        <v>486</v>
      </c>
      <c r="E9870">
        <v>205.35</v>
      </c>
      <c r="F9870">
        <v>20140603</v>
      </c>
      <c r="G9870" t="s">
        <v>1705</v>
      </c>
      <c r="H9870" t="s">
        <v>488</v>
      </c>
      <c r="I9870" t="s">
        <v>21</v>
      </c>
    </row>
    <row r="9871" spans="1:9" x14ac:dyDescent="0.25">
      <c r="A9871">
        <v>20140605</v>
      </c>
      <c r="B9871" t="str">
        <f>"115999"</f>
        <v>115999</v>
      </c>
      <c r="C9871" t="str">
        <f>"00500"</f>
        <v>00500</v>
      </c>
      <c r="D9871" t="s">
        <v>486</v>
      </c>
      <c r="E9871">
        <v>81.45</v>
      </c>
      <c r="F9871">
        <v>20140604</v>
      </c>
      <c r="G9871" t="s">
        <v>1705</v>
      </c>
      <c r="H9871" t="s">
        <v>488</v>
      </c>
      <c r="I9871" t="s">
        <v>21</v>
      </c>
    </row>
    <row r="9872" spans="1:9" x14ac:dyDescent="0.25">
      <c r="A9872">
        <v>20140605</v>
      </c>
      <c r="B9872" t="str">
        <f>"116000"</f>
        <v>116000</v>
      </c>
      <c r="C9872" t="str">
        <f>"87884"</f>
        <v>87884</v>
      </c>
      <c r="D9872" t="s">
        <v>4508</v>
      </c>
      <c r="E9872" s="1">
        <v>34329</v>
      </c>
      <c r="F9872">
        <v>20140604</v>
      </c>
      <c r="G9872" t="s">
        <v>3899</v>
      </c>
      <c r="H9872" t="s">
        <v>4509</v>
      </c>
      <c r="I9872" t="s">
        <v>21</v>
      </c>
    </row>
    <row r="9873" spans="1:9" x14ac:dyDescent="0.25">
      <c r="A9873">
        <v>20140605</v>
      </c>
      <c r="B9873" t="str">
        <f>"116001"</f>
        <v>116001</v>
      </c>
      <c r="C9873" t="str">
        <f>"10470"</f>
        <v>10470</v>
      </c>
      <c r="D9873" t="s">
        <v>4510</v>
      </c>
      <c r="E9873" s="1">
        <v>3815.26</v>
      </c>
      <c r="F9873">
        <v>20140604</v>
      </c>
      <c r="G9873" t="s">
        <v>4406</v>
      </c>
      <c r="H9873" t="s">
        <v>4511</v>
      </c>
      <c r="I9873" t="s">
        <v>21</v>
      </c>
    </row>
    <row r="9874" spans="1:9" x14ac:dyDescent="0.25">
      <c r="A9874">
        <v>20140605</v>
      </c>
      <c r="B9874" t="str">
        <f>"116002"</f>
        <v>116002</v>
      </c>
      <c r="C9874" t="str">
        <f>"11488"</f>
        <v>11488</v>
      </c>
      <c r="D9874" t="s">
        <v>1561</v>
      </c>
      <c r="E9874">
        <v>111.04</v>
      </c>
      <c r="F9874">
        <v>20140604</v>
      </c>
      <c r="G9874" t="s">
        <v>498</v>
      </c>
      <c r="H9874" t="s">
        <v>499</v>
      </c>
      <c r="I9874" t="s">
        <v>21</v>
      </c>
    </row>
    <row r="9875" spans="1:9" x14ac:dyDescent="0.25">
      <c r="A9875">
        <v>20140605</v>
      </c>
      <c r="B9875" t="str">
        <f>"116003"</f>
        <v>116003</v>
      </c>
      <c r="C9875" t="str">
        <f>"86850"</f>
        <v>86850</v>
      </c>
      <c r="D9875" t="s">
        <v>4512</v>
      </c>
      <c r="E9875" s="1">
        <v>9840</v>
      </c>
      <c r="F9875">
        <v>20140604</v>
      </c>
      <c r="G9875" t="s">
        <v>145</v>
      </c>
      <c r="H9875" t="s">
        <v>4513</v>
      </c>
      <c r="I9875" t="s">
        <v>38</v>
      </c>
    </row>
    <row r="9876" spans="1:9" x14ac:dyDescent="0.25">
      <c r="A9876">
        <v>20140605</v>
      </c>
      <c r="B9876" t="str">
        <f>"116004"</f>
        <v>116004</v>
      </c>
      <c r="C9876" t="str">
        <f>"86576"</f>
        <v>86576</v>
      </c>
      <c r="D9876" t="s">
        <v>409</v>
      </c>
      <c r="E9876">
        <v>29.7</v>
      </c>
      <c r="F9876">
        <v>20140605</v>
      </c>
      <c r="G9876" t="s">
        <v>410</v>
      </c>
      <c r="H9876" t="s">
        <v>411</v>
      </c>
      <c r="I9876" t="s">
        <v>12</v>
      </c>
    </row>
    <row r="9877" spans="1:9" x14ac:dyDescent="0.25">
      <c r="A9877">
        <v>20140605</v>
      </c>
      <c r="B9877" t="str">
        <f>"116005"</f>
        <v>116005</v>
      </c>
      <c r="C9877" t="str">
        <f>"78600"</f>
        <v>78600</v>
      </c>
      <c r="D9877" t="s">
        <v>1203</v>
      </c>
      <c r="E9877" s="1">
        <v>3843.77</v>
      </c>
      <c r="F9877">
        <v>20140604</v>
      </c>
      <c r="G9877" t="s">
        <v>340</v>
      </c>
      <c r="H9877" t="s">
        <v>656</v>
      </c>
      <c r="I9877" t="s">
        <v>21</v>
      </c>
    </row>
    <row r="9878" spans="1:9" x14ac:dyDescent="0.25">
      <c r="A9878">
        <v>20140605</v>
      </c>
      <c r="B9878" t="str">
        <f>"116005"</f>
        <v>116005</v>
      </c>
      <c r="C9878" t="str">
        <f>"78600"</f>
        <v>78600</v>
      </c>
      <c r="D9878" t="s">
        <v>1203</v>
      </c>
      <c r="E9878">
        <v>14.63</v>
      </c>
      <c r="F9878">
        <v>20140604</v>
      </c>
      <c r="G9878" t="s">
        <v>498</v>
      </c>
      <c r="H9878" t="s">
        <v>499</v>
      </c>
      <c r="I9878" t="s">
        <v>21</v>
      </c>
    </row>
    <row r="9879" spans="1:9" x14ac:dyDescent="0.25">
      <c r="A9879">
        <v>20140605</v>
      </c>
      <c r="B9879" t="str">
        <f>"116005"</f>
        <v>116005</v>
      </c>
      <c r="C9879" t="str">
        <f>"78600"</f>
        <v>78600</v>
      </c>
      <c r="D9879" t="s">
        <v>1203</v>
      </c>
      <c r="E9879">
        <v>23.82</v>
      </c>
      <c r="F9879">
        <v>20140604</v>
      </c>
      <c r="G9879" t="s">
        <v>498</v>
      </c>
      <c r="H9879" t="s">
        <v>499</v>
      </c>
      <c r="I9879" t="s">
        <v>21</v>
      </c>
    </row>
    <row r="9880" spans="1:9" x14ac:dyDescent="0.25">
      <c r="A9880">
        <v>20140605</v>
      </c>
      <c r="B9880" t="str">
        <f>"116005"</f>
        <v>116005</v>
      </c>
      <c r="C9880" t="str">
        <f>"78600"</f>
        <v>78600</v>
      </c>
      <c r="D9880" t="s">
        <v>1203</v>
      </c>
      <c r="E9880">
        <v>15.37</v>
      </c>
      <c r="F9880">
        <v>20140604</v>
      </c>
      <c r="G9880" t="s">
        <v>498</v>
      </c>
      <c r="H9880" t="s">
        <v>499</v>
      </c>
      <c r="I9880" t="s">
        <v>21</v>
      </c>
    </row>
    <row r="9881" spans="1:9" x14ac:dyDescent="0.25">
      <c r="A9881">
        <v>20140605</v>
      </c>
      <c r="B9881" t="str">
        <f>"116006"</f>
        <v>116006</v>
      </c>
      <c r="C9881" t="str">
        <f>"16500"</f>
        <v>16500</v>
      </c>
      <c r="D9881" t="s">
        <v>798</v>
      </c>
      <c r="E9881">
        <v>30</v>
      </c>
      <c r="F9881">
        <v>20140603</v>
      </c>
      <c r="G9881" t="s">
        <v>2358</v>
      </c>
      <c r="H9881" t="s">
        <v>784</v>
      </c>
      <c r="I9881" t="s">
        <v>21</v>
      </c>
    </row>
    <row r="9882" spans="1:9" x14ac:dyDescent="0.25">
      <c r="A9882">
        <v>20140605</v>
      </c>
      <c r="B9882" t="str">
        <f>"116006"</f>
        <v>116006</v>
      </c>
      <c r="C9882" t="str">
        <f>"16500"</f>
        <v>16500</v>
      </c>
      <c r="D9882" t="s">
        <v>798</v>
      </c>
      <c r="E9882">
        <v>56</v>
      </c>
      <c r="F9882">
        <v>20140604</v>
      </c>
      <c r="G9882" t="s">
        <v>145</v>
      </c>
      <c r="H9882" t="s">
        <v>784</v>
      </c>
      <c r="I9882" t="s">
        <v>38</v>
      </c>
    </row>
    <row r="9883" spans="1:9" x14ac:dyDescent="0.25">
      <c r="A9883">
        <v>20140605</v>
      </c>
      <c r="B9883" t="str">
        <f>"116006"</f>
        <v>116006</v>
      </c>
      <c r="C9883" t="str">
        <f>"16500"</f>
        <v>16500</v>
      </c>
      <c r="D9883" t="s">
        <v>798</v>
      </c>
      <c r="E9883">
        <v>30</v>
      </c>
      <c r="F9883">
        <v>20140603</v>
      </c>
      <c r="G9883" t="s">
        <v>4189</v>
      </c>
      <c r="H9883" t="s">
        <v>4514</v>
      </c>
      <c r="I9883" t="s">
        <v>38</v>
      </c>
    </row>
    <row r="9884" spans="1:9" x14ac:dyDescent="0.25">
      <c r="A9884">
        <v>20140605</v>
      </c>
      <c r="B9884" t="str">
        <f>"116007"</f>
        <v>116007</v>
      </c>
      <c r="C9884" t="str">
        <f>"86339"</f>
        <v>86339</v>
      </c>
      <c r="D9884" t="s">
        <v>4515</v>
      </c>
      <c r="E9884">
        <v>160</v>
      </c>
      <c r="F9884">
        <v>20140604</v>
      </c>
      <c r="G9884" t="s">
        <v>1112</v>
      </c>
      <c r="H9884" t="s">
        <v>954</v>
      </c>
      <c r="I9884" t="s">
        <v>66</v>
      </c>
    </row>
    <row r="9885" spans="1:9" x14ac:dyDescent="0.25">
      <c r="A9885">
        <v>20140605</v>
      </c>
      <c r="B9885" t="str">
        <f>"116007"</f>
        <v>116007</v>
      </c>
      <c r="C9885" t="str">
        <f>"86339"</f>
        <v>86339</v>
      </c>
      <c r="D9885" t="s">
        <v>4515</v>
      </c>
      <c r="E9885">
        <v>160</v>
      </c>
      <c r="F9885">
        <v>20140604</v>
      </c>
      <c r="G9885" t="s">
        <v>1250</v>
      </c>
      <c r="H9885" t="s">
        <v>954</v>
      </c>
      <c r="I9885" t="s">
        <v>66</v>
      </c>
    </row>
    <row r="9886" spans="1:9" x14ac:dyDescent="0.25">
      <c r="A9886">
        <v>20140605</v>
      </c>
      <c r="B9886" t="str">
        <f>"116007"</f>
        <v>116007</v>
      </c>
      <c r="C9886" t="str">
        <f>"86339"</f>
        <v>86339</v>
      </c>
      <c r="D9886" t="s">
        <v>4515</v>
      </c>
      <c r="E9886">
        <v>160</v>
      </c>
      <c r="F9886">
        <v>20140604</v>
      </c>
      <c r="G9886" t="s">
        <v>438</v>
      </c>
      <c r="H9886" t="s">
        <v>954</v>
      </c>
      <c r="I9886" t="s">
        <v>66</v>
      </c>
    </row>
    <row r="9887" spans="1:9" x14ac:dyDescent="0.25">
      <c r="A9887">
        <v>20140605</v>
      </c>
      <c r="B9887" t="str">
        <f>"116007"</f>
        <v>116007</v>
      </c>
      <c r="C9887" t="str">
        <f>"86339"</f>
        <v>86339</v>
      </c>
      <c r="D9887" t="s">
        <v>4515</v>
      </c>
      <c r="E9887">
        <v>160</v>
      </c>
      <c r="F9887">
        <v>20140604</v>
      </c>
      <c r="G9887" t="s">
        <v>440</v>
      </c>
      <c r="H9887" t="s">
        <v>954</v>
      </c>
      <c r="I9887" t="s">
        <v>66</v>
      </c>
    </row>
    <row r="9888" spans="1:9" x14ac:dyDescent="0.25">
      <c r="A9888">
        <v>20140605</v>
      </c>
      <c r="B9888" t="str">
        <f>"116007"</f>
        <v>116007</v>
      </c>
      <c r="C9888" t="str">
        <f>"86339"</f>
        <v>86339</v>
      </c>
      <c r="D9888" t="s">
        <v>4515</v>
      </c>
      <c r="E9888">
        <v>160</v>
      </c>
      <c r="F9888">
        <v>20140604</v>
      </c>
      <c r="G9888" t="s">
        <v>442</v>
      </c>
      <c r="H9888" t="s">
        <v>954</v>
      </c>
      <c r="I9888" t="s">
        <v>66</v>
      </c>
    </row>
    <row r="9889" spans="1:9" x14ac:dyDescent="0.25">
      <c r="A9889">
        <v>20140605</v>
      </c>
      <c r="B9889" t="str">
        <f t="shared" ref="B9889:B9916" si="571">"116008"</f>
        <v>116008</v>
      </c>
      <c r="C9889" t="str">
        <f t="shared" ref="C9889:C9916" si="572">"18200"</f>
        <v>18200</v>
      </c>
      <c r="D9889" t="s">
        <v>516</v>
      </c>
      <c r="E9889">
        <v>98.52</v>
      </c>
      <c r="F9889">
        <v>20140604</v>
      </c>
      <c r="G9889" t="s">
        <v>453</v>
      </c>
      <c r="H9889" t="s">
        <v>488</v>
      </c>
      <c r="I9889" t="s">
        <v>21</v>
      </c>
    </row>
    <row r="9890" spans="1:9" x14ac:dyDescent="0.25">
      <c r="A9890">
        <v>20140605</v>
      </c>
      <c r="B9890" t="str">
        <f t="shared" si="571"/>
        <v>116008</v>
      </c>
      <c r="C9890" t="str">
        <f t="shared" si="572"/>
        <v>18200</v>
      </c>
      <c r="D9890" t="s">
        <v>516</v>
      </c>
      <c r="E9890">
        <v>84.12</v>
      </c>
      <c r="F9890">
        <v>20140604</v>
      </c>
      <c r="G9890" t="s">
        <v>455</v>
      </c>
      <c r="H9890" t="s">
        <v>488</v>
      </c>
      <c r="I9890" t="s">
        <v>21</v>
      </c>
    </row>
    <row r="9891" spans="1:9" x14ac:dyDescent="0.25">
      <c r="A9891">
        <v>20140605</v>
      </c>
      <c r="B9891" t="str">
        <f t="shared" si="571"/>
        <v>116008</v>
      </c>
      <c r="C9891" t="str">
        <f t="shared" si="572"/>
        <v>18200</v>
      </c>
      <c r="D9891" t="s">
        <v>516</v>
      </c>
      <c r="E9891" s="1">
        <v>1021.94</v>
      </c>
      <c r="F9891">
        <v>20140604</v>
      </c>
      <c r="G9891" t="s">
        <v>455</v>
      </c>
      <c r="H9891" t="s">
        <v>488</v>
      </c>
      <c r="I9891" t="s">
        <v>21</v>
      </c>
    </row>
    <row r="9892" spans="1:9" x14ac:dyDescent="0.25">
      <c r="A9892">
        <v>20140605</v>
      </c>
      <c r="B9892" t="str">
        <f t="shared" si="571"/>
        <v>116008</v>
      </c>
      <c r="C9892" t="str">
        <f t="shared" si="572"/>
        <v>18200</v>
      </c>
      <c r="D9892" t="s">
        <v>516</v>
      </c>
      <c r="E9892">
        <v>242.24</v>
      </c>
      <c r="F9892">
        <v>20140604</v>
      </c>
      <c r="G9892" t="s">
        <v>455</v>
      </c>
      <c r="H9892" t="s">
        <v>488</v>
      </c>
      <c r="I9892" t="s">
        <v>21</v>
      </c>
    </row>
    <row r="9893" spans="1:9" x14ac:dyDescent="0.25">
      <c r="A9893">
        <v>20140605</v>
      </c>
      <c r="B9893" t="str">
        <f t="shared" si="571"/>
        <v>116008</v>
      </c>
      <c r="C9893" t="str">
        <f t="shared" si="572"/>
        <v>18200</v>
      </c>
      <c r="D9893" t="s">
        <v>516</v>
      </c>
      <c r="E9893">
        <v>120.42</v>
      </c>
      <c r="F9893">
        <v>20140603</v>
      </c>
      <c r="G9893" t="s">
        <v>456</v>
      </c>
      <c r="H9893" t="s">
        <v>488</v>
      </c>
      <c r="I9893" t="s">
        <v>21</v>
      </c>
    </row>
    <row r="9894" spans="1:9" x14ac:dyDescent="0.25">
      <c r="A9894">
        <v>20140605</v>
      </c>
      <c r="B9894" t="str">
        <f t="shared" si="571"/>
        <v>116008</v>
      </c>
      <c r="C9894" t="str">
        <f t="shared" si="572"/>
        <v>18200</v>
      </c>
      <c r="D9894" t="s">
        <v>516</v>
      </c>
      <c r="E9894">
        <v>426.12</v>
      </c>
      <c r="F9894">
        <v>20140603</v>
      </c>
      <c r="G9894" t="s">
        <v>456</v>
      </c>
      <c r="H9894" t="s">
        <v>488</v>
      </c>
      <c r="I9894" t="s">
        <v>21</v>
      </c>
    </row>
    <row r="9895" spans="1:9" x14ac:dyDescent="0.25">
      <c r="A9895">
        <v>20140605</v>
      </c>
      <c r="B9895" t="str">
        <f t="shared" si="571"/>
        <v>116008</v>
      </c>
      <c r="C9895" t="str">
        <f t="shared" si="572"/>
        <v>18200</v>
      </c>
      <c r="D9895" t="s">
        <v>516</v>
      </c>
      <c r="E9895">
        <v>509.35</v>
      </c>
      <c r="F9895">
        <v>20140603</v>
      </c>
      <c r="G9895" t="s">
        <v>456</v>
      </c>
      <c r="H9895" t="s">
        <v>488</v>
      </c>
      <c r="I9895" t="s">
        <v>21</v>
      </c>
    </row>
    <row r="9896" spans="1:9" x14ac:dyDescent="0.25">
      <c r="A9896">
        <v>20140605</v>
      </c>
      <c r="B9896" t="str">
        <f t="shared" si="571"/>
        <v>116008</v>
      </c>
      <c r="C9896" t="str">
        <f t="shared" si="572"/>
        <v>18200</v>
      </c>
      <c r="D9896" t="s">
        <v>516</v>
      </c>
      <c r="E9896">
        <v>761.15</v>
      </c>
      <c r="F9896">
        <v>20140603</v>
      </c>
      <c r="G9896" t="s">
        <v>457</v>
      </c>
      <c r="H9896" t="s">
        <v>488</v>
      </c>
      <c r="I9896" t="s">
        <v>21</v>
      </c>
    </row>
    <row r="9897" spans="1:9" x14ac:dyDescent="0.25">
      <c r="A9897">
        <v>20140605</v>
      </c>
      <c r="B9897" t="str">
        <f t="shared" si="571"/>
        <v>116008</v>
      </c>
      <c r="C9897" t="str">
        <f t="shared" si="572"/>
        <v>18200</v>
      </c>
      <c r="D9897" t="s">
        <v>516</v>
      </c>
      <c r="E9897">
        <v>533.62</v>
      </c>
      <c r="F9897">
        <v>20140603</v>
      </c>
      <c r="G9897" t="s">
        <v>458</v>
      </c>
      <c r="H9897" t="s">
        <v>488</v>
      </c>
      <c r="I9897" t="s">
        <v>21</v>
      </c>
    </row>
    <row r="9898" spans="1:9" x14ac:dyDescent="0.25">
      <c r="A9898">
        <v>20140605</v>
      </c>
      <c r="B9898" t="str">
        <f t="shared" si="571"/>
        <v>116008</v>
      </c>
      <c r="C9898" t="str">
        <f t="shared" si="572"/>
        <v>18200</v>
      </c>
      <c r="D9898" t="s">
        <v>516</v>
      </c>
      <c r="E9898">
        <v>553.1</v>
      </c>
      <c r="F9898">
        <v>20140603</v>
      </c>
      <c r="G9898" t="s">
        <v>458</v>
      </c>
      <c r="H9898" t="s">
        <v>488</v>
      </c>
      <c r="I9898" t="s">
        <v>21</v>
      </c>
    </row>
    <row r="9899" spans="1:9" x14ac:dyDescent="0.25">
      <c r="A9899">
        <v>20140605</v>
      </c>
      <c r="B9899" t="str">
        <f t="shared" si="571"/>
        <v>116008</v>
      </c>
      <c r="C9899" t="str">
        <f t="shared" si="572"/>
        <v>18200</v>
      </c>
      <c r="D9899" t="s">
        <v>516</v>
      </c>
      <c r="E9899" s="1">
        <v>1171.05</v>
      </c>
      <c r="F9899">
        <v>20140604</v>
      </c>
      <c r="G9899" t="s">
        <v>459</v>
      </c>
      <c r="H9899" t="s">
        <v>488</v>
      </c>
      <c r="I9899" t="s">
        <v>21</v>
      </c>
    </row>
    <row r="9900" spans="1:9" x14ac:dyDescent="0.25">
      <c r="A9900">
        <v>20140605</v>
      </c>
      <c r="B9900" t="str">
        <f t="shared" si="571"/>
        <v>116008</v>
      </c>
      <c r="C9900" t="str">
        <f t="shared" si="572"/>
        <v>18200</v>
      </c>
      <c r="D9900" t="s">
        <v>516</v>
      </c>
      <c r="E9900">
        <v>341.87</v>
      </c>
      <c r="F9900">
        <v>20140603</v>
      </c>
      <c r="G9900" t="s">
        <v>460</v>
      </c>
      <c r="H9900" t="s">
        <v>488</v>
      </c>
      <c r="I9900" t="s">
        <v>21</v>
      </c>
    </row>
    <row r="9901" spans="1:9" x14ac:dyDescent="0.25">
      <c r="A9901">
        <v>20140605</v>
      </c>
      <c r="B9901" t="str">
        <f t="shared" si="571"/>
        <v>116008</v>
      </c>
      <c r="C9901" t="str">
        <f t="shared" si="572"/>
        <v>18200</v>
      </c>
      <c r="D9901" t="s">
        <v>516</v>
      </c>
      <c r="E9901">
        <v>28.49</v>
      </c>
      <c r="F9901">
        <v>20140603</v>
      </c>
      <c r="G9901" t="s">
        <v>460</v>
      </c>
      <c r="H9901" t="s">
        <v>488</v>
      </c>
      <c r="I9901" t="s">
        <v>21</v>
      </c>
    </row>
    <row r="9902" spans="1:9" x14ac:dyDescent="0.25">
      <c r="A9902">
        <v>20140605</v>
      </c>
      <c r="B9902" t="str">
        <f t="shared" si="571"/>
        <v>116008</v>
      </c>
      <c r="C9902" t="str">
        <f t="shared" si="572"/>
        <v>18200</v>
      </c>
      <c r="D9902" t="s">
        <v>516</v>
      </c>
      <c r="E9902">
        <v>122.9</v>
      </c>
      <c r="F9902">
        <v>20140603</v>
      </c>
      <c r="G9902" t="s">
        <v>461</v>
      </c>
      <c r="H9902" t="s">
        <v>488</v>
      </c>
      <c r="I9902" t="s">
        <v>21</v>
      </c>
    </row>
    <row r="9903" spans="1:9" x14ac:dyDescent="0.25">
      <c r="A9903">
        <v>20140605</v>
      </c>
      <c r="B9903" t="str">
        <f t="shared" si="571"/>
        <v>116008</v>
      </c>
      <c r="C9903" t="str">
        <f t="shared" si="572"/>
        <v>18200</v>
      </c>
      <c r="D9903" t="s">
        <v>516</v>
      </c>
      <c r="E9903">
        <v>401.12</v>
      </c>
      <c r="F9903">
        <v>20140603</v>
      </c>
      <c r="G9903" t="s">
        <v>461</v>
      </c>
      <c r="H9903" t="s">
        <v>488</v>
      </c>
      <c r="I9903" t="s">
        <v>21</v>
      </c>
    </row>
    <row r="9904" spans="1:9" x14ac:dyDescent="0.25">
      <c r="A9904">
        <v>20140605</v>
      </c>
      <c r="B9904" t="str">
        <f t="shared" si="571"/>
        <v>116008</v>
      </c>
      <c r="C9904" t="str">
        <f t="shared" si="572"/>
        <v>18200</v>
      </c>
      <c r="D9904" t="s">
        <v>516</v>
      </c>
      <c r="E9904">
        <v>110.49</v>
      </c>
      <c r="F9904">
        <v>20140603</v>
      </c>
      <c r="G9904" t="s">
        <v>461</v>
      </c>
      <c r="H9904" t="s">
        <v>488</v>
      </c>
      <c r="I9904" t="s">
        <v>21</v>
      </c>
    </row>
    <row r="9905" spans="1:9" x14ac:dyDescent="0.25">
      <c r="A9905">
        <v>20140605</v>
      </c>
      <c r="B9905" t="str">
        <f t="shared" si="571"/>
        <v>116008</v>
      </c>
      <c r="C9905" t="str">
        <f t="shared" si="572"/>
        <v>18200</v>
      </c>
      <c r="D9905" t="s">
        <v>516</v>
      </c>
      <c r="E9905">
        <v>476.12</v>
      </c>
      <c r="F9905">
        <v>20140604</v>
      </c>
      <c r="G9905" t="s">
        <v>462</v>
      </c>
      <c r="H9905" t="s">
        <v>488</v>
      </c>
      <c r="I9905" t="s">
        <v>21</v>
      </c>
    </row>
    <row r="9906" spans="1:9" x14ac:dyDescent="0.25">
      <c r="A9906">
        <v>20140605</v>
      </c>
      <c r="B9906" t="str">
        <f t="shared" si="571"/>
        <v>116008</v>
      </c>
      <c r="C9906" t="str">
        <f t="shared" si="572"/>
        <v>18200</v>
      </c>
      <c r="D9906" t="s">
        <v>516</v>
      </c>
      <c r="E9906">
        <v>172.12</v>
      </c>
      <c r="F9906">
        <v>20140603</v>
      </c>
      <c r="G9906" t="s">
        <v>463</v>
      </c>
      <c r="H9906" t="s">
        <v>488</v>
      </c>
      <c r="I9906" t="s">
        <v>21</v>
      </c>
    </row>
    <row r="9907" spans="1:9" x14ac:dyDescent="0.25">
      <c r="A9907">
        <v>20140605</v>
      </c>
      <c r="B9907" t="str">
        <f t="shared" si="571"/>
        <v>116008</v>
      </c>
      <c r="C9907" t="str">
        <f t="shared" si="572"/>
        <v>18200</v>
      </c>
      <c r="D9907" t="s">
        <v>516</v>
      </c>
      <c r="E9907">
        <v>28.49</v>
      </c>
      <c r="F9907">
        <v>20140603</v>
      </c>
      <c r="G9907" t="s">
        <v>463</v>
      </c>
      <c r="H9907" t="s">
        <v>488</v>
      </c>
      <c r="I9907" t="s">
        <v>21</v>
      </c>
    </row>
    <row r="9908" spans="1:9" x14ac:dyDescent="0.25">
      <c r="A9908">
        <v>20140605</v>
      </c>
      <c r="B9908" t="str">
        <f t="shared" si="571"/>
        <v>116008</v>
      </c>
      <c r="C9908" t="str">
        <f t="shared" si="572"/>
        <v>18200</v>
      </c>
      <c r="D9908" t="s">
        <v>516</v>
      </c>
      <c r="E9908">
        <v>74.489999999999995</v>
      </c>
      <c r="F9908">
        <v>20140603</v>
      </c>
      <c r="G9908" t="s">
        <v>463</v>
      </c>
      <c r="H9908" t="s">
        <v>488</v>
      </c>
      <c r="I9908" t="s">
        <v>21</v>
      </c>
    </row>
    <row r="9909" spans="1:9" x14ac:dyDescent="0.25">
      <c r="A9909">
        <v>20140605</v>
      </c>
      <c r="B9909" t="str">
        <f t="shared" si="571"/>
        <v>116008</v>
      </c>
      <c r="C9909" t="str">
        <f t="shared" si="572"/>
        <v>18200</v>
      </c>
      <c r="D9909" t="s">
        <v>516</v>
      </c>
      <c r="E9909">
        <v>38</v>
      </c>
      <c r="F9909">
        <v>20140603</v>
      </c>
      <c r="G9909" t="s">
        <v>464</v>
      </c>
      <c r="H9909" t="s">
        <v>488</v>
      </c>
      <c r="I9909" t="s">
        <v>21</v>
      </c>
    </row>
    <row r="9910" spans="1:9" x14ac:dyDescent="0.25">
      <c r="A9910">
        <v>20140605</v>
      </c>
      <c r="B9910" t="str">
        <f t="shared" si="571"/>
        <v>116008</v>
      </c>
      <c r="C9910" t="str">
        <f t="shared" si="572"/>
        <v>18200</v>
      </c>
      <c r="D9910" t="s">
        <v>516</v>
      </c>
      <c r="E9910">
        <v>178.12</v>
      </c>
      <c r="F9910">
        <v>20140603</v>
      </c>
      <c r="G9910" t="s">
        <v>464</v>
      </c>
      <c r="H9910" t="s">
        <v>488</v>
      </c>
      <c r="I9910" t="s">
        <v>21</v>
      </c>
    </row>
    <row r="9911" spans="1:9" x14ac:dyDescent="0.25">
      <c r="A9911">
        <v>20140605</v>
      </c>
      <c r="B9911" t="str">
        <f t="shared" si="571"/>
        <v>116008</v>
      </c>
      <c r="C9911" t="str">
        <f t="shared" si="572"/>
        <v>18200</v>
      </c>
      <c r="D9911" t="s">
        <v>516</v>
      </c>
      <c r="E9911">
        <v>844.87</v>
      </c>
      <c r="F9911">
        <v>20140604</v>
      </c>
      <c r="G9911" t="s">
        <v>465</v>
      </c>
      <c r="H9911" t="s">
        <v>488</v>
      </c>
      <c r="I9911" t="s">
        <v>21</v>
      </c>
    </row>
    <row r="9912" spans="1:9" x14ac:dyDescent="0.25">
      <c r="A9912">
        <v>20140605</v>
      </c>
      <c r="B9912" t="str">
        <f t="shared" si="571"/>
        <v>116008</v>
      </c>
      <c r="C9912" t="str">
        <f t="shared" si="572"/>
        <v>18200</v>
      </c>
      <c r="D9912" t="s">
        <v>516</v>
      </c>
      <c r="E9912">
        <v>47</v>
      </c>
      <c r="F9912">
        <v>20140603</v>
      </c>
      <c r="G9912" t="s">
        <v>1212</v>
      </c>
      <c r="H9912" t="s">
        <v>488</v>
      </c>
      <c r="I9912" t="s">
        <v>21</v>
      </c>
    </row>
    <row r="9913" spans="1:9" x14ac:dyDescent="0.25">
      <c r="A9913">
        <v>20140605</v>
      </c>
      <c r="B9913" t="str">
        <f t="shared" si="571"/>
        <v>116008</v>
      </c>
      <c r="C9913" t="str">
        <f t="shared" si="572"/>
        <v>18200</v>
      </c>
      <c r="D9913" t="s">
        <v>516</v>
      </c>
      <c r="E9913">
        <v>267.60000000000002</v>
      </c>
      <c r="F9913">
        <v>20140604</v>
      </c>
      <c r="G9913" t="s">
        <v>466</v>
      </c>
      <c r="H9913" t="s">
        <v>488</v>
      </c>
      <c r="I9913" t="s">
        <v>21</v>
      </c>
    </row>
    <row r="9914" spans="1:9" x14ac:dyDescent="0.25">
      <c r="A9914">
        <v>20140605</v>
      </c>
      <c r="B9914" t="str">
        <f t="shared" si="571"/>
        <v>116008</v>
      </c>
      <c r="C9914" t="str">
        <f t="shared" si="572"/>
        <v>18200</v>
      </c>
      <c r="D9914" t="s">
        <v>516</v>
      </c>
      <c r="E9914" s="1">
        <v>2400.5</v>
      </c>
      <c r="F9914">
        <v>20140604</v>
      </c>
      <c r="G9914" t="s">
        <v>466</v>
      </c>
      <c r="H9914" t="s">
        <v>488</v>
      </c>
      <c r="I9914" t="s">
        <v>21</v>
      </c>
    </row>
    <row r="9915" spans="1:9" x14ac:dyDescent="0.25">
      <c r="A9915">
        <v>20140605</v>
      </c>
      <c r="B9915" t="str">
        <f t="shared" si="571"/>
        <v>116008</v>
      </c>
      <c r="C9915" t="str">
        <f t="shared" si="572"/>
        <v>18200</v>
      </c>
      <c r="D9915" t="s">
        <v>516</v>
      </c>
      <c r="E9915">
        <v>84.12</v>
      </c>
      <c r="F9915">
        <v>20140604</v>
      </c>
      <c r="G9915" t="s">
        <v>466</v>
      </c>
      <c r="H9915" t="s">
        <v>488</v>
      </c>
      <c r="I9915" t="s">
        <v>21</v>
      </c>
    </row>
    <row r="9916" spans="1:9" x14ac:dyDescent="0.25">
      <c r="A9916">
        <v>20140605</v>
      </c>
      <c r="B9916" t="str">
        <f t="shared" si="571"/>
        <v>116008</v>
      </c>
      <c r="C9916" t="str">
        <f t="shared" si="572"/>
        <v>18200</v>
      </c>
      <c r="D9916" t="s">
        <v>516</v>
      </c>
      <c r="E9916">
        <v>53</v>
      </c>
      <c r="F9916">
        <v>20140604</v>
      </c>
      <c r="G9916" t="s">
        <v>467</v>
      </c>
      <c r="H9916" t="s">
        <v>488</v>
      </c>
      <c r="I9916" t="s">
        <v>21</v>
      </c>
    </row>
    <row r="9917" spans="1:9" x14ac:dyDescent="0.25">
      <c r="A9917">
        <v>20140605</v>
      </c>
      <c r="B9917" t="str">
        <f>"116009"</f>
        <v>116009</v>
      </c>
      <c r="C9917" t="str">
        <f>"21325"</f>
        <v>21325</v>
      </c>
      <c r="D9917" t="s">
        <v>1216</v>
      </c>
      <c r="E9917">
        <v>27.77</v>
      </c>
      <c r="F9917">
        <v>20140604</v>
      </c>
      <c r="G9917" t="s">
        <v>4516</v>
      </c>
      <c r="H9917" t="s">
        <v>4517</v>
      </c>
      <c r="I9917" t="s">
        <v>21</v>
      </c>
    </row>
    <row r="9918" spans="1:9" x14ac:dyDescent="0.25">
      <c r="A9918">
        <v>20140605</v>
      </c>
      <c r="B9918" t="str">
        <f>"116010"</f>
        <v>116010</v>
      </c>
      <c r="C9918" t="str">
        <f>"81251"</f>
        <v>81251</v>
      </c>
      <c r="D9918" t="s">
        <v>1571</v>
      </c>
      <c r="E9918">
        <v>49.12</v>
      </c>
      <c r="F9918">
        <v>20140604</v>
      </c>
      <c r="G9918" t="s">
        <v>404</v>
      </c>
      <c r="H9918" t="s">
        <v>4518</v>
      </c>
      <c r="I9918" t="s">
        <v>12</v>
      </c>
    </row>
    <row r="9919" spans="1:9" x14ac:dyDescent="0.25">
      <c r="A9919">
        <v>20140605</v>
      </c>
      <c r="B9919" t="str">
        <f>"116010"</f>
        <v>116010</v>
      </c>
      <c r="C9919" t="str">
        <f>"81251"</f>
        <v>81251</v>
      </c>
      <c r="D9919" t="s">
        <v>1571</v>
      </c>
      <c r="E9919">
        <v>10.5</v>
      </c>
      <c r="F9919">
        <v>20140604</v>
      </c>
      <c r="G9919" t="s">
        <v>1404</v>
      </c>
      <c r="H9919" t="s">
        <v>4519</v>
      </c>
      <c r="I9919" t="s">
        <v>12</v>
      </c>
    </row>
    <row r="9920" spans="1:9" x14ac:dyDescent="0.25">
      <c r="A9920">
        <v>20140605</v>
      </c>
      <c r="B9920" t="str">
        <f>"116010"</f>
        <v>116010</v>
      </c>
      <c r="C9920" t="str">
        <f>"81251"</f>
        <v>81251</v>
      </c>
      <c r="D9920" t="s">
        <v>1571</v>
      </c>
      <c r="E9920">
        <v>107.88</v>
      </c>
      <c r="F9920">
        <v>20140604</v>
      </c>
      <c r="G9920" t="s">
        <v>331</v>
      </c>
      <c r="H9920" t="s">
        <v>4520</v>
      </c>
      <c r="I9920" t="s">
        <v>12</v>
      </c>
    </row>
    <row r="9921" spans="1:9" x14ac:dyDescent="0.25">
      <c r="A9921">
        <v>20140605</v>
      </c>
      <c r="B9921" t="str">
        <f>"116010"</f>
        <v>116010</v>
      </c>
      <c r="C9921" t="str">
        <f>"81251"</f>
        <v>81251</v>
      </c>
      <c r="D9921" t="s">
        <v>1571</v>
      </c>
      <c r="E9921">
        <v>20</v>
      </c>
      <c r="F9921">
        <v>20140604</v>
      </c>
      <c r="G9921" t="s">
        <v>202</v>
      </c>
      <c r="H9921" t="s">
        <v>3815</v>
      </c>
      <c r="I9921" t="s">
        <v>12</v>
      </c>
    </row>
    <row r="9922" spans="1:9" x14ac:dyDescent="0.25">
      <c r="A9922">
        <v>20140605</v>
      </c>
      <c r="B9922" t="str">
        <f>"116011"</f>
        <v>116011</v>
      </c>
      <c r="C9922" t="str">
        <f>"22500"</f>
        <v>22500</v>
      </c>
      <c r="D9922" t="s">
        <v>523</v>
      </c>
      <c r="E9922">
        <v>284.02</v>
      </c>
      <c r="F9922">
        <v>20140604</v>
      </c>
      <c r="G9922" t="s">
        <v>621</v>
      </c>
      <c r="H9922" t="s">
        <v>525</v>
      </c>
      <c r="I9922" t="s">
        <v>21</v>
      </c>
    </row>
    <row r="9923" spans="1:9" x14ac:dyDescent="0.25">
      <c r="A9923">
        <v>20140605</v>
      </c>
      <c r="B9923" t="str">
        <f>"116011"</f>
        <v>116011</v>
      </c>
      <c r="C9923" t="str">
        <f>"22500"</f>
        <v>22500</v>
      </c>
      <c r="D9923" t="s">
        <v>523</v>
      </c>
      <c r="E9923">
        <v>472.7</v>
      </c>
      <c r="F9923">
        <v>20140604</v>
      </c>
      <c r="G9923" t="s">
        <v>1270</v>
      </c>
      <c r="H9923" t="s">
        <v>525</v>
      </c>
      <c r="I9923" t="s">
        <v>21</v>
      </c>
    </row>
    <row r="9924" spans="1:9" x14ac:dyDescent="0.25">
      <c r="A9924">
        <v>20140605</v>
      </c>
      <c r="B9924" t="str">
        <f>"116011"</f>
        <v>116011</v>
      </c>
      <c r="C9924" t="str">
        <f>"22500"</f>
        <v>22500</v>
      </c>
      <c r="D9924" t="s">
        <v>523</v>
      </c>
      <c r="E9924">
        <v>30</v>
      </c>
      <c r="F9924">
        <v>20140604</v>
      </c>
      <c r="G9924" t="s">
        <v>950</v>
      </c>
      <c r="H9924" t="s">
        <v>525</v>
      </c>
      <c r="I9924" t="s">
        <v>21</v>
      </c>
    </row>
    <row r="9925" spans="1:9" x14ac:dyDescent="0.25">
      <c r="A9925">
        <v>20140605</v>
      </c>
      <c r="B9925" t="str">
        <f>"116011"</f>
        <v>116011</v>
      </c>
      <c r="C9925" t="str">
        <f>"22500"</f>
        <v>22500</v>
      </c>
      <c r="D9925" t="s">
        <v>523</v>
      </c>
      <c r="E9925">
        <v>671.25</v>
      </c>
      <c r="F9925">
        <v>20140604</v>
      </c>
      <c r="G9925" t="s">
        <v>3820</v>
      </c>
      <c r="H9925" t="s">
        <v>525</v>
      </c>
      <c r="I9925" t="s">
        <v>21</v>
      </c>
    </row>
    <row r="9926" spans="1:9" x14ac:dyDescent="0.25">
      <c r="A9926">
        <v>20140605</v>
      </c>
      <c r="B9926" t="str">
        <f>"116012"</f>
        <v>116012</v>
      </c>
      <c r="C9926" t="str">
        <f>"21600"</f>
        <v>21600</v>
      </c>
      <c r="D9926" t="s">
        <v>1735</v>
      </c>
      <c r="E9926">
        <v>9.98</v>
      </c>
      <c r="F9926">
        <v>20140603</v>
      </c>
      <c r="G9926" t="s">
        <v>482</v>
      </c>
      <c r="H9926" t="s">
        <v>414</v>
      </c>
      <c r="I9926" t="s">
        <v>21</v>
      </c>
    </row>
    <row r="9927" spans="1:9" x14ac:dyDescent="0.25">
      <c r="A9927">
        <v>20140605</v>
      </c>
      <c r="B9927" t="str">
        <f>"116013"</f>
        <v>116013</v>
      </c>
      <c r="C9927" t="str">
        <f>"86392"</f>
        <v>86392</v>
      </c>
      <c r="D9927" t="s">
        <v>3479</v>
      </c>
      <c r="E9927">
        <v>48.33</v>
      </c>
      <c r="F9927">
        <v>20140603</v>
      </c>
      <c r="G9927" t="s">
        <v>986</v>
      </c>
      <c r="H9927" t="s">
        <v>1677</v>
      </c>
      <c r="I9927" t="s">
        <v>21</v>
      </c>
    </row>
    <row r="9928" spans="1:9" x14ac:dyDescent="0.25">
      <c r="A9928">
        <v>20140605</v>
      </c>
      <c r="B9928" t="str">
        <f>"116014"</f>
        <v>116014</v>
      </c>
      <c r="C9928" t="str">
        <f>"23827"</f>
        <v>23827</v>
      </c>
      <c r="D9928" t="s">
        <v>528</v>
      </c>
      <c r="E9928">
        <v>241</v>
      </c>
      <c r="F9928">
        <v>20140604</v>
      </c>
      <c r="G9928" t="s">
        <v>206</v>
      </c>
      <c r="H9928" t="s">
        <v>4521</v>
      </c>
      <c r="I9928" t="s">
        <v>25</v>
      </c>
    </row>
    <row r="9929" spans="1:9" x14ac:dyDescent="0.25">
      <c r="A9929">
        <v>20140605</v>
      </c>
      <c r="B9929" t="str">
        <f>"116015"</f>
        <v>116015</v>
      </c>
      <c r="C9929" t="str">
        <f>"87599"</f>
        <v>87599</v>
      </c>
      <c r="D9929" t="s">
        <v>2154</v>
      </c>
      <c r="E9929">
        <v>22.05</v>
      </c>
      <c r="F9929">
        <v>20140605</v>
      </c>
      <c r="G9929" t="s">
        <v>410</v>
      </c>
      <c r="H9929" t="s">
        <v>411</v>
      </c>
      <c r="I9929" t="s">
        <v>12</v>
      </c>
    </row>
    <row r="9930" spans="1:9" x14ac:dyDescent="0.25">
      <c r="A9930">
        <v>20140605</v>
      </c>
      <c r="B9930" t="str">
        <f t="shared" ref="B9930:B9941" si="573">"116016"</f>
        <v>116016</v>
      </c>
      <c r="C9930" t="str">
        <f t="shared" ref="C9930:C9941" si="574">"24530"</f>
        <v>24530</v>
      </c>
      <c r="D9930" t="s">
        <v>412</v>
      </c>
      <c r="E9930">
        <v>152.19999999999999</v>
      </c>
      <c r="F9930">
        <v>20140604</v>
      </c>
      <c r="G9930" t="s">
        <v>413</v>
      </c>
      <c r="H9930" t="s">
        <v>414</v>
      </c>
      <c r="I9930" t="s">
        <v>21</v>
      </c>
    </row>
    <row r="9931" spans="1:9" x14ac:dyDescent="0.25">
      <c r="A9931">
        <v>20140605</v>
      </c>
      <c r="B9931" t="str">
        <f t="shared" si="573"/>
        <v>116016</v>
      </c>
      <c r="C9931" t="str">
        <f t="shared" si="574"/>
        <v>24530</v>
      </c>
      <c r="D9931" t="s">
        <v>412</v>
      </c>
      <c r="E9931">
        <v>580.11</v>
      </c>
      <c r="F9931">
        <v>20140604</v>
      </c>
      <c r="G9931" t="s">
        <v>415</v>
      </c>
      <c r="H9931" t="s">
        <v>414</v>
      </c>
      <c r="I9931" t="s">
        <v>21</v>
      </c>
    </row>
    <row r="9932" spans="1:9" x14ac:dyDescent="0.25">
      <c r="A9932">
        <v>20140605</v>
      </c>
      <c r="B9932" t="str">
        <f t="shared" si="573"/>
        <v>116016</v>
      </c>
      <c r="C9932" t="str">
        <f t="shared" si="574"/>
        <v>24530</v>
      </c>
      <c r="D9932" t="s">
        <v>412</v>
      </c>
      <c r="E9932">
        <v>997.96</v>
      </c>
      <c r="F9932">
        <v>20140604</v>
      </c>
      <c r="G9932" t="s">
        <v>627</v>
      </c>
      <c r="H9932" t="s">
        <v>414</v>
      </c>
      <c r="I9932" t="s">
        <v>21</v>
      </c>
    </row>
    <row r="9933" spans="1:9" x14ac:dyDescent="0.25">
      <c r="A9933">
        <v>20140605</v>
      </c>
      <c r="B9933" t="str">
        <f t="shared" si="573"/>
        <v>116016</v>
      </c>
      <c r="C9933" t="str">
        <f t="shared" si="574"/>
        <v>24530</v>
      </c>
      <c r="D9933" t="s">
        <v>412</v>
      </c>
      <c r="E9933">
        <v>9.06</v>
      </c>
      <c r="F9933">
        <v>20140604</v>
      </c>
      <c r="G9933" t="s">
        <v>1222</v>
      </c>
      <c r="H9933" t="s">
        <v>414</v>
      </c>
      <c r="I9933" t="s">
        <v>21</v>
      </c>
    </row>
    <row r="9934" spans="1:9" x14ac:dyDescent="0.25">
      <c r="A9934">
        <v>20140605</v>
      </c>
      <c r="B9934" t="str">
        <f t="shared" si="573"/>
        <v>116016</v>
      </c>
      <c r="C9934" t="str">
        <f t="shared" si="574"/>
        <v>24530</v>
      </c>
      <c r="D9934" t="s">
        <v>412</v>
      </c>
      <c r="E9934">
        <v>24.26</v>
      </c>
      <c r="F9934">
        <v>20140604</v>
      </c>
      <c r="G9934" t="s">
        <v>630</v>
      </c>
      <c r="H9934" t="s">
        <v>414</v>
      </c>
      <c r="I9934" t="s">
        <v>21</v>
      </c>
    </row>
    <row r="9935" spans="1:9" x14ac:dyDescent="0.25">
      <c r="A9935">
        <v>20140605</v>
      </c>
      <c r="B9935" t="str">
        <f t="shared" si="573"/>
        <v>116016</v>
      </c>
      <c r="C9935" t="str">
        <f t="shared" si="574"/>
        <v>24530</v>
      </c>
      <c r="D9935" t="s">
        <v>412</v>
      </c>
      <c r="E9935">
        <v>101.7</v>
      </c>
      <c r="F9935">
        <v>20140604</v>
      </c>
      <c r="G9935" t="s">
        <v>530</v>
      </c>
      <c r="H9935" t="s">
        <v>414</v>
      </c>
      <c r="I9935" t="s">
        <v>21</v>
      </c>
    </row>
    <row r="9936" spans="1:9" x14ac:dyDescent="0.25">
      <c r="A9936">
        <v>20140605</v>
      </c>
      <c r="B9936" t="str">
        <f t="shared" si="573"/>
        <v>116016</v>
      </c>
      <c r="C9936" t="str">
        <f t="shared" si="574"/>
        <v>24530</v>
      </c>
      <c r="D9936" t="s">
        <v>412</v>
      </c>
      <c r="E9936">
        <v>12.49</v>
      </c>
      <c r="F9936">
        <v>20140604</v>
      </c>
      <c r="G9936" t="s">
        <v>631</v>
      </c>
      <c r="H9936" t="s">
        <v>414</v>
      </c>
      <c r="I9936" t="s">
        <v>21</v>
      </c>
    </row>
    <row r="9937" spans="1:9" x14ac:dyDescent="0.25">
      <c r="A9937">
        <v>20140605</v>
      </c>
      <c r="B9937" t="str">
        <f t="shared" si="573"/>
        <v>116016</v>
      </c>
      <c r="C9937" t="str">
        <f t="shared" si="574"/>
        <v>24530</v>
      </c>
      <c r="D9937" t="s">
        <v>412</v>
      </c>
      <c r="E9937">
        <v>105.54</v>
      </c>
      <c r="F9937">
        <v>20140604</v>
      </c>
      <c r="G9937" t="s">
        <v>392</v>
      </c>
      <c r="H9937" t="s">
        <v>414</v>
      </c>
      <c r="I9937" t="s">
        <v>21</v>
      </c>
    </row>
    <row r="9938" spans="1:9" x14ac:dyDescent="0.25">
      <c r="A9938">
        <v>20140605</v>
      </c>
      <c r="B9938" t="str">
        <f t="shared" si="573"/>
        <v>116016</v>
      </c>
      <c r="C9938" t="str">
        <f t="shared" si="574"/>
        <v>24530</v>
      </c>
      <c r="D9938" t="s">
        <v>412</v>
      </c>
      <c r="E9938">
        <v>-49.5</v>
      </c>
      <c r="F9938">
        <v>20140605</v>
      </c>
      <c r="G9938" t="s">
        <v>392</v>
      </c>
      <c r="H9938" t="s">
        <v>416</v>
      </c>
      <c r="I9938" t="s">
        <v>21</v>
      </c>
    </row>
    <row r="9939" spans="1:9" x14ac:dyDescent="0.25">
      <c r="A9939">
        <v>20140605</v>
      </c>
      <c r="B9939" t="str">
        <f t="shared" si="573"/>
        <v>116016</v>
      </c>
      <c r="C9939" t="str">
        <f t="shared" si="574"/>
        <v>24530</v>
      </c>
      <c r="D9939" t="s">
        <v>412</v>
      </c>
      <c r="E9939">
        <v>82.76</v>
      </c>
      <c r="F9939">
        <v>20140604</v>
      </c>
      <c r="G9939" t="s">
        <v>417</v>
      </c>
      <c r="H9939" t="s">
        <v>414</v>
      </c>
      <c r="I9939" t="s">
        <v>21</v>
      </c>
    </row>
    <row r="9940" spans="1:9" x14ac:dyDescent="0.25">
      <c r="A9940">
        <v>20140605</v>
      </c>
      <c r="B9940" t="str">
        <f t="shared" si="573"/>
        <v>116016</v>
      </c>
      <c r="C9940" t="str">
        <f t="shared" si="574"/>
        <v>24530</v>
      </c>
      <c r="D9940" t="s">
        <v>412</v>
      </c>
      <c r="E9940" s="1">
        <v>1423.22</v>
      </c>
      <c r="F9940">
        <v>20140604</v>
      </c>
      <c r="G9940" t="s">
        <v>3820</v>
      </c>
      <c r="H9940" t="s">
        <v>414</v>
      </c>
      <c r="I9940" t="s">
        <v>21</v>
      </c>
    </row>
    <row r="9941" spans="1:9" x14ac:dyDescent="0.25">
      <c r="A9941">
        <v>20140605</v>
      </c>
      <c r="B9941" t="str">
        <f t="shared" si="573"/>
        <v>116016</v>
      </c>
      <c r="C9941" t="str">
        <f t="shared" si="574"/>
        <v>24530</v>
      </c>
      <c r="D9941" t="s">
        <v>412</v>
      </c>
      <c r="E9941">
        <v>6.21</v>
      </c>
      <c r="F9941">
        <v>20140604</v>
      </c>
      <c r="G9941" t="s">
        <v>1408</v>
      </c>
      <c r="H9941" t="s">
        <v>414</v>
      </c>
      <c r="I9941" t="s">
        <v>12</v>
      </c>
    </row>
    <row r="9942" spans="1:9" x14ac:dyDescent="0.25">
      <c r="A9942">
        <v>20140605</v>
      </c>
      <c r="B9942" t="str">
        <f>"116017"</f>
        <v>116017</v>
      </c>
      <c r="C9942" t="str">
        <f>"87741"</f>
        <v>87741</v>
      </c>
      <c r="D9942" t="s">
        <v>3378</v>
      </c>
      <c r="E9942">
        <v>60</v>
      </c>
      <c r="F9942">
        <v>20140604</v>
      </c>
      <c r="G9942" t="s">
        <v>866</v>
      </c>
      <c r="H9942" t="s">
        <v>414</v>
      </c>
      <c r="I9942" t="s">
        <v>25</v>
      </c>
    </row>
    <row r="9943" spans="1:9" x14ac:dyDescent="0.25">
      <c r="A9943">
        <v>20140605</v>
      </c>
      <c r="B9943" t="str">
        <f>"116018"</f>
        <v>116018</v>
      </c>
      <c r="C9943" t="str">
        <f>"26990"</f>
        <v>26990</v>
      </c>
      <c r="D9943" t="s">
        <v>548</v>
      </c>
      <c r="E9943">
        <v>40</v>
      </c>
      <c r="F9943">
        <v>20140604</v>
      </c>
      <c r="G9943" t="s">
        <v>364</v>
      </c>
      <c r="H9943" t="s">
        <v>954</v>
      </c>
      <c r="I9943" t="s">
        <v>21</v>
      </c>
    </row>
    <row r="9944" spans="1:9" x14ac:dyDescent="0.25">
      <c r="A9944">
        <v>20140605</v>
      </c>
      <c r="B9944" t="str">
        <f>"116018"</f>
        <v>116018</v>
      </c>
      <c r="C9944" t="str">
        <f>"26990"</f>
        <v>26990</v>
      </c>
      <c r="D9944" t="s">
        <v>548</v>
      </c>
      <c r="E9944">
        <v>70</v>
      </c>
      <c r="F9944">
        <v>20140604</v>
      </c>
      <c r="G9944" t="s">
        <v>908</v>
      </c>
      <c r="H9944" t="s">
        <v>1054</v>
      </c>
      <c r="I9944" t="s">
        <v>66</v>
      </c>
    </row>
    <row r="9945" spans="1:9" x14ac:dyDescent="0.25">
      <c r="A9945">
        <v>20140605</v>
      </c>
      <c r="B9945" t="str">
        <f>"116018"</f>
        <v>116018</v>
      </c>
      <c r="C9945" t="str">
        <f>"26990"</f>
        <v>26990</v>
      </c>
      <c r="D9945" t="s">
        <v>548</v>
      </c>
      <c r="E9945">
        <v>60</v>
      </c>
      <c r="F9945">
        <v>20140604</v>
      </c>
      <c r="G9945" t="s">
        <v>410</v>
      </c>
      <c r="H9945" t="s">
        <v>1228</v>
      </c>
      <c r="I9945" t="s">
        <v>12</v>
      </c>
    </row>
    <row r="9946" spans="1:9" x14ac:dyDescent="0.25">
      <c r="A9946">
        <v>20140605</v>
      </c>
      <c r="B9946" t="str">
        <f>"116019"</f>
        <v>116019</v>
      </c>
      <c r="C9946" t="str">
        <f>"84866"</f>
        <v>84866</v>
      </c>
      <c r="D9946" t="s">
        <v>1060</v>
      </c>
      <c r="E9946">
        <v>175.35</v>
      </c>
      <c r="F9946">
        <v>20140604</v>
      </c>
      <c r="G9946" t="s">
        <v>289</v>
      </c>
      <c r="H9946" t="s">
        <v>4522</v>
      </c>
      <c r="I9946" t="s">
        <v>38</v>
      </c>
    </row>
    <row r="9947" spans="1:9" x14ac:dyDescent="0.25">
      <c r="A9947">
        <v>20140605</v>
      </c>
      <c r="B9947" t="str">
        <f>"116020"</f>
        <v>116020</v>
      </c>
      <c r="C9947" t="str">
        <f>"87355"</f>
        <v>87355</v>
      </c>
      <c r="D9947" t="s">
        <v>4470</v>
      </c>
      <c r="E9947">
        <v>112</v>
      </c>
      <c r="F9947">
        <v>20140604</v>
      </c>
      <c r="G9947" t="s">
        <v>157</v>
      </c>
      <c r="H9947" t="s">
        <v>354</v>
      </c>
      <c r="I9947" t="s">
        <v>25</v>
      </c>
    </row>
    <row r="9948" spans="1:9" x14ac:dyDescent="0.25">
      <c r="A9948">
        <v>20140605</v>
      </c>
      <c r="B9948" t="str">
        <f>"116021"</f>
        <v>116021</v>
      </c>
      <c r="C9948" t="str">
        <f>"29235"</f>
        <v>29235</v>
      </c>
      <c r="D9948" t="s">
        <v>2355</v>
      </c>
      <c r="E9948" s="1">
        <v>3500</v>
      </c>
      <c r="F9948">
        <v>20140604</v>
      </c>
      <c r="G9948" t="s">
        <v>99</v>
      </c>
      <c r="H9948" t="s">
        <v>1109</v>
      </c>
      <c r="I9948" t="s">
        <v>21</v>
      </c>
    </row>
    <row r="9949" spans="1:9" x14ac:dyDescent="0.25">
      <c r="A9949">
        <v>20140605</v>
      </c>
      <c r="B9949" t="str">
        <f>"116022"</f>
        <v>116022</v>
      </c>
      <c r="C9949" t="str">
        <f>"30000"</f>
        <v>30000</v>
      </c>
      <c r="D9949" t="s">
        <v>556</v>
      </c>
      <c r="E9949">
        <v>159.78</v>
      </c>
      <c r="F9949">
        <v>20140604</v>
      </c>
      <c r="G9949" t="s">
        <v>935</v>
      </c>
      <c r="H9949" t="s">
        <v>839</v>
      </c>
      <c r="I9949" t="s">
        <v>21</v>
      </c>
    </row>
    <row r="9950" spans="1:9" x14ac:dyDescent="0.25">
      <c r="A9950">
        <v>20140605</v>
      </c>
      <c r="B9950" t="str">
        <f>"116022"</f>
        <v>116022</v>
      </c>
      <c r="C9950" t="str">
        <f>"30000"</f>
        <v>30000</v>
      </c>
      <c r="D9950" t="s">
        <v>556</v>
      </c>
      <c r="E9950">
        <v>92.99</v>
      </c>
      <c r="F9950">
        <v>20140604</v>
      </c>
      <c r="G9950" t="s">
        <v>1712</v>
      </c>
      <c r="H9950" t="s">
        <v>4523</v>
      </c>
      <c r="I9950" t="s">
        <v>21</v>
      </c>
    </row>
    <row r="9951" spans="1:9" x14ac:dyDescent="0.25">
      <c r="A9951">
        <v>20140605</v>
      </c>
      <c r="B9951" t="str">
        <f>"116023"</f>
        <v>116023</v>
      </c>
      <c r="C9951" t="str">
        <f>"30125"</f>
        <v>30125</v>
      </c>
      <c r="D9951" t="s">
        <v>2509</v>
      </c>
      <c r="E9951" s="1">
        <v>3591.53</v>
      </c>
      <c r="F9951">
        <v>20140604</v>
      </c>
      <c r="G9951" t="s">
        <v>2677</v>
      </c>
      <c r="H9951" t="s">
        <v>607</v>
      </c>
      <c r="I9951" t="s">
        <v>21</v>
      </c>
    </row>
    <row r="9952" spans="1:9" x14ac:dyDescent="0.25">
      <c r="A9952">
        <v>20140605</v>
      </c>
      <c r="B9952" t="str">
        <f>"116024"</f>
        <v>116024</v>
      </c>
      <c r="C9952" t="str">
        <f>"83496"</f>
        <v>83496</v>
      </c>
      <c r="D9952" t="s">
        <v>567</v>
      </c>
      <c r="E9952">
        <v>81.96</v>
      </c>
      <c r="F9952">
        <v>20140603</v>
      </c>
      <c r="G9952" t="s">
        <v>568</v>
      </c>
      <c r="H9952" t="s">
        <v>4015</v>
      </c>
      <c r="I9952" t="s">
        <v>21</v>
      </c>
    </row>
    <row r="9953" spans="1:9" x14ac:dyDescent="0.25">
      <c r="A9953">
        <v>20140605</v>
      </c>
      <c r="B9953" t="str">
        <f>"116025"</f>
        <v>116025</v>
      </c>
      <c r="C9953" t="str">
        <f>"83262"</f>
        <v>83262</v>
      </c>
      <c r="D9953" t="s">
        <v>4524</v>
      </c>
      <c r="E9953" s="1">
        <v>8883.4</v>
      </c>
      <c r="F9953">
        <v>20140603</v>
      </c>
      <c r="G9953" t="s">
        <v>4525</v>
      </c>
      <c r="H9953" t="s">
        <v>4526</v>
      </c>
      <c r="I9953" t="s">
        <v>21</v>
      </c>
    </row>
    <row r="9954" spans="1:9" x14ac:dyDescent="0.25">
      <c r="A9954">
        <v>20140605</v>
      </c>
      <c r="B9954" t="str">
        <f>"116026"</f>
        <v>116026</v>
      </c>
      <c r="C9954" t="str">
        <f>"87811"</f>
        <v>87811</v>
      </c>
      <c r="D9954" t="s">
        <v>4073</v>
      </c>
      <c r="E9954">
        <v>200.04</v>
      </c>
      <c r="F9954">
        <v>20140604</v>
      </c>
      <c r="G9954" t="s">
        <v>415</v>
      </c>
      <c r="H9954" t="s">
        <v>839</v>
      </c>
      <c r="I9954" t="s">
        <v>21</v>
      </c>
    </row>
    <row r="9955" spans="1:9" x14ac:dyDescent="0.25">
      <c r="A9955">
        <v>20140605</v>
      </c>
      <c r="B9955" t="str">
        <f>"116027"</f>
        <v>116027</v>
      </c>
      <c r="C9955" t="str">
        <f>"87031"</f>
        <v>87031</v>
      </c>
      <c r="D9955" t="s">
        <v>418</v>
      </c>
      <c r="E9955">
        <v>36</v>
      </c>
      <c r="F9955">
        <v>20140605</v>
      </c>
      <c r="G9955" t="s">
        <v>410</v>
      </c>
      <c r="H9955" t="s">
        <v>411</v>
      </c>
      <c r="I9955" t="s">
        <v>12</v>
      </c>
    </row>
    <row r="9956" spans="1:9" x14ac:dyDescent="0.25">
      <c r="A9956">
        <v>20140605</v>
      </c>
      <c r="B9956" t="str">
        <f>"116028"</f>
        <v>116028</v>
      </c>
      <c r="C9956" t="str">
        <f>"81038"</f>
        <v>81038</v>
      </c>
      <c r="D9956" t="s">
        <v>2364</v>
      </c>
      <c r="E9956">
        <v>500</v>
      </c>
      <c r="F9956">
        <v>20140604</v>
      </c>
      <c r="G9956" t="s">
        <v>124</v>
      </c>
      <c r="H9956" t="s">
        <v>4527</v>
      </c>
      <c r="I9956" t="s">
        <v>38</v>
      </c>
    </row>
    <row r="9957" spans="1:9" x14ac:dyDescent="0.25">
      <c r="A9957">
        <v>20140605</v>
      </c>
      <c r="B9957" t="str">
        <f>"116029"</f>
        <v>116029</v>
      </c>
      <c r="C9957" t="str">
        <f>"87877"</f>
        <v>87877</v>
      </c>
      <c r="D9957" t="s">
        <v>4528</v>
      </c>
      <c r="E9957">
        <v>219.97</v>
      </c>
      <c r="F9957">
        <v>20140603</v>
      </c>
      <c r="G9957" t="s">
        <v>1846</v>
      </c>
      <c r="H9957" t="s">
        <v>765</v>
      </c>
      <c r="I9957" t="s">
        <v>63</v>
      </c>
    </row>
    <row r="9958" spans="1:9" x14ac:dyDescent="0.25">
      <c r="A9958">
        <v>20140605</v>
      </c>
      <c r="B9958" t="str">
        <f>"116029"</f>
        <v>116029</v>
      </c>
      <c r="C9958" t="str">
        <f>"87877"</f>
        <v>87877</v>
      </c>
      <c r="D9958" t="s">
        <v>4528</v>
      </c>
      <c r="E9958">
        <v>135</v>
      </c>
      <c r="F9958">
        <v>20140603</v>
      </c>
      <c r="G9958" t="s">
        <v>1846</v>
      </c>
      <c r="H9958" t="s">
        <v>765</v>
      </c>
      <c r="I9958" t="s">
        <v>63</v>
      </c>
    </row>
    <row r="9959" spans="1:9" x14ac:dyDescent="0.25">
      <c r="A9959">
        <v>20140605</v>
      </c>
      <c r="B9959" t="str">
        <f>"116030"</f>
        <v>116030</v>
      </c>
      <c r="C9959" t="str">
        <f>"87456"</f>
        <v>87456</v>
      </c>
      <c r="D9959" t="s">
        <v>1434</v>
      </c>
      <c r="E9959" s="1">
        <v>2024</v>
      </c>
      <c r="F9959">
        <v>20140603</v>
      </c>
      <c r="G9959" t="s">
        <v>1281</v>
      </c>
      <c r="H9959" t="s">
        <v>4529</v>
      </c>
      <c r="I9959" t="s">
        <v>21</v>
      </c>
    </row>
    <row r="9960" spans="1:9" x14ac:dyDescent="0.25">
      <c r="A9960">
        <v>20140605</v>
      </c>
      <c r="B9960" t="str">
        <f>"116030"</f>
        <v>116030</v>
      </c>
      <c r="C9960" t="str">
        <f>"87456"</f>
        <v>87456</v>
      </c>
      <c r="D9960" t="s">
        <v>1434</v>
      </c>
      <c r="E9960" s="1">
        <v>1916</v>
      </c>
      <c r="F9960">
        <v>20140603</v>
      </c>
      <c r="G9960" t="s">
        <v>1281</v>
      </c>
      <c r="H9960" t="s">
        <v>4529</v>
      </c>
      <c r="I9960" t="s">
        <v>21</v>
      </c>
    </row>
    <row r="9961" spans="1:9" x14ac:dyDescent="0.25">
      <c r="A9961">
        <v>20140605</v>
      </c>
      <c r="B9961" t="str">
        <f>"116031"</f>
        <v>116031</v>
      </c>
      <c r="C9961" t="str">
        <f>"87380"</f>
        <v>87380</v>
      </c>
      <c r="D9961" t="s">
        <v>355</v>
      </c>
      <c r="E9961">
        <v>68.260000000000005</v>
      </c>
      <c r="F9961">
        <v>20140604</v>
      </c>
      <c r="G9961" t="s">
        <v>271</v>
      </c>
      <c r="H9961" t="s">
        <v>354</v>
      </c>
      <c r="I9961" t="s">
        <v>25</v>
      </c>
    </row>
    <row r="9962" spans="1:9" x14ac:dyDescent="0.25">
      <c r="A9962">
        <v>20140605</v>
      </c>
      <c r="B9962" t="str">
        <f>"116032"</f>
        <v>116032</v>
      </c>
      <c r="C9962" t="str">
        <f>"87475"</f>
        <v>87475</v>
      </c>
      <c r="D9962" t="s">
        <v>359</v>
      </c>
      <c r="E9962">
        <v>120</v>
      </c>
      <c r="F9962">
        <v>20140603</v>
      </c>
      <c r="G9962" t="s">
        <v>1738</v>
      </c>
      <c r="H9962" t="s">
        <v>354</v>
      </c>
      <c r="I9962" t="s">
        <v>21</v>
      </c>
    </row>
    <row r="9963" spans="1:9" x14ac:dyDescent="0.25">
      <c r="A9963">
        <v>20140605</v>
      </c>
      <c r="B9963" t="str">
        <f>"116033"</f>
        <v>116033</v>
      </c>
      <c r="C9963" t="str">
        <f>"87883"</f>
        <v>87883</v>
      </c>
      <c r="D9963" t="s">
        <v>4530</v>
      </c>
      <c r="E9963">
        <v>825</v>
      </c>
      <c r="F9963">
        <v>20140604</v>
      </c>
      <c r="G9963" t="s">
        <v>159</v>
      </c>
      <c r="H9963" t="s">
        <v>4457</v>
      </c>
      <c r="I9963" t="s">
        <v>25</v>
      </c>
    </row>
    <row r="9964" spans="1:9" x14ac:dyDescent="0.25">
      <c r="A9964">
        <v>20140605</v>
      </c>
      <c r="B9964" t="str">
        <f>"116034"</f>
        <v>116034</v>
      </c>
      <c r="C9964" t="str">
        <f>"87484"</f>
        <v>87484</v>
      </c>
      <c r="D9964" t="s">
        <v>588</v>
      </c>
      <c r="E9964" s="1">
        <v>5395</v>
      </c>
      <c r="F9964">
        <v>20140603</v>
      </c>
      <c r="G9964" t="s">
        <v>589</v>
      </c>
      <c r="H9964" t="s">
        <v>590</v>
      </c>
      <c r="I9964" t="s">
        <v>68</v>
      </c>
    </row>
    <row r="9965" spans="1:9" x14ac:dyDescent="0.25">
      <c r="A9965">
        <v>20140605</v>
      </c>
      <c r="B9965" t="str">
        <f>"116035"</f>
        <v>116035</v>
      </c>
      <c r="C9965" t="str">
        <f>"87495"</f>
        <v>87495</v>
      </c>
      <c r="D9965" t="s">
        <v>859</v>
      </c>
      <c r="E9965">
        <v>643.87</v>
      </c>
      <c r="F9965">
        <v>20140604</v>
      </c>
      <c r="G9965" t="s">
        <v>191</v>
      </c>
      <c r="H9965" t="s">
        <v>354</v>
      </c>
      <c r="I9965" t="s">
        <v>25</v>
      </c>
    </row>
    <row r="9966" spans="1:9" x14ac:dyDescent="0.25">
      <c r="A9966">
        <v>20140605</v>
      </c>
      <c r="B9966" t="str">
        <f>"116036"</f>
        <v>116036</v>
      </c>
      <c r="C9966" t="str">
        <f>"87385"</f>
        <v>87385</v>
      </c>
      <c r="D9966" t="s">
        <v>1089</v>
      </c>
      <c r="E9966">
        <v>-22.39</v>
      </c>
      <c r="F9966">
        <v>20140605</v>
      </c>
      <c r="G9966" t="s">
        <v>392</v>
      </c>
      <c r="H9966" t="s">
        <v>414</v>
      </c>
      <c r="I9966" t="s">
        <v>21</v>
      </c>
    </row>
    <row r="9967" spans="1:9" x14ac:dyDescent="0.25">
      <c r="A9967">
        <v>20140605</v>
      </c>
      <c r="B9967" t="str">
        <f>"116036"</f>
        <v>116036</v>
      </c>
      <c r="C9967" t="str">
        <f>"87385"</f>
        <v>87385</v>
      </c>
      <c r="D9967" t="s">
        <v>1089</v>
      </c>
      <c r="E9967">
        <v>1.37</v>
      </c>
      <c r="F9967">
        <v>20140604</v>
      </c>
      <c r="G9967" t="s">
        <v>3820</v>
      </c>
      <c r="H9967" t="s">
        <v>414</v>
      </c>
      <c r="I9967" t="s">
        <v>21</v>
      </c>
    </row>
    <row r="9968" spans="1:9" x14ac:dyDescent="0.25">
      <c r="A9968">
        <v>20140605</v>
      </c>
      <c r="B9968" t="str">
        <f>"116036"</f>
        <v>116036</v>
      </c>
      <c r="C9968" t="str">
        <f>"87385"</f>
        <v>87385</v>
      </c>
      <c r="D9968" t="s">
        <v>1089</v>
      </c>
      <c r="E9968">
        <v>15.88</v>
      </c>
      <c r="F9968">
        <v>20140604</v>
      </c>
      <c r="G9968" t="s">
        <v>3820</v>
      </c>
      <c r="H9968" t="s">
        <v>414</v>
      </c>
      <c r="I9968" t="s">
        <v>21</v>
      </c>
    </row>
    <row r="9969" spans="1:9" x14ac:dyDescent="0.25">
      <c r="A9969">
        <v>20140605</v>
      </c>
      <c r="B9969" t="str">
        <f>"116036"</f>
        <v>116036</v>
      </c>
      <c r="C9969" t="str">
        <f>"87385"</f>
        <v>87385</v>
      </c>
      <c r="D9969" t="s">
        <v>1089</v>
      </c>
      <c r="E9969">
        <v>705.62</v>
      </c>
      <c r="F9969">
        <v>20140604</v>
      </c>
      <c r="G9969" t="s">
        <v>3820</v>
      </c>
      <c r="H9969" t="s">
        <v>414</v>
      </c>
      <c r="I9969" t="s">
        <v>21</v>
      </c>
    </row>
    <row r="9970" spans="1:9" x14ac:dyDescent="0.25">
      <c r="A9970">
        <v>20140605</v>
      </c>
      <c r="B9970" t="str">
        <f>"116037"</f>
        <v>116037</v>
      </c>
      <c r="C9970" t="str">
        <f>"84038"</f>
        <v>84038</v>
      </c>
      <c r="D9970" t="s">
        <v>419</v>
      </c>
      <c r="E9970">
        <v>14.4</v>
      </c>
      <c r="F9970">
        <v>20140605</v>
      </c>
      <c r="G9970" t="s">
        <v>410</v>
      </c>
      <c r="H9970" t="s">
        <v>411</v>
      </c>
      <c r="I9970" t="s">
        <v>12</v>
      </c>
    </row>
    <row r="9971" spans="1:9" x14ac:dyDescent="0.25">
      <c r="A9971">
        <v>20140605</v>
      </c>
      <c r="B9971" t="str">
        <f>"116038"</f>
        <v>116038</v>
      </c>
      <c r="C9971" t="str">
        <f>"33590"</f>
        <v>33590</v>
      </c>
      <c r="D9971" t="s">
        <v>1754</v>
      </c>
      <c r="E9971">
        <v>130.80000000000001</v>
      </c>
      <c r="F9971">
        <v>20140604</v>
      </c>
      <c r="G9971" t="s">
        <v>1112</v>
      </c>
      <c r="H9971" t="s">
        <v>921</v>
      </c>
      <c r="I9971" t="s">
        <v>66</v>
      </c>
    </row>
    <row r="9972" spans="1:9" x14ac:dyDescent="0.25">
      <c r="A9972">
        <v>20140605</v>
      </c>
      <c r="B9972" t="str">
        <f>"116038"</f>
        <v>116038</v>
      </c>
      <c r="C9972" t="str">
        <f>"33590"</f>
        <v>33590</v>
      </c>
      <c r="D9972" t="s">
        <v>1754</v>
      </c>
      <c r="E9972">
        <v>130.80000000000001</v>
      </c>
      <c r="F9972">
        <v>20140604</v>
      </c>
      <c r="G9972" t="s">
        <v>1250</v>
      </c>
      <c r="H9972" t="s">
        <v>921</v>
      </c>
      <c r="I9972" t="s">
        <v>66</v>
      </c>
    </row>
    <row r="9973" spans="1:9" x14ac:dyDescent="0.25">
      <c r="A9973">
        <v>20140605</v>
      </c>
      <c r="B9973" t="str">
        <f>"116038"</f>
        <v>116038</v>
      </c>
      <c r="C9973" t="str">
        <f>"33590"</f>
        <v>33590</v>
      </c>
      <c r="D9973" t="s">
        <v>1754</v>
      </c>
      <c r="E9973">
        <v>130.80000000000001</v>
      </c>
      <c r="F9973">
        <v>20140604</v>
      </c>
      <c r="G9973" t="s">
        <v>438</v>
      </c>
      <c r="H9973" t="s">
        <v>921</v>
      </c>
      <c r="I9973" t="s">
        <v>66</v>
      </c>
    </row>
    <row r="9974" spans="1:9" x14ac:dyDescent="0.25">
      <c r="A9974">
        <v>20140605</v>
      </c>
      <c r="B9974" t="str">
        <f>"116038"</f>
        <v>116038</v>
      </c>
      <c r="C9974" t="str">
        <f>"33590"</f>
        <v>33590</v>
      </c>
      <c r="D9974" t="s">
        <v>1754</v>
      </c>
      <c r="E9974">
        <v>130.80000000000001</v>
      </c>
      <c r="F9974">
        <v>20140604</v>
      </c>
      <c r="G9974" t="s">
        <v>440</v>
      </c>
      <c r="H9974" t="s">
        <v>921</v>
      </c>
      <c r="I9974" t="s">
        <v>66</v>
      </c>
    </row>
    <row r="9975" spans="1:9" x14ac:dyDescent="0.25">
      <c r="A9975">
        <v>20140605</v>
      </c>
      <c r="B9975" t="str">
        <f>"116038"</f>
        <v>116038</v>
      </c>
      <c r="C9975" t="str">
        <f>"33590"</f>
        <v>33590</v>
      </c>
      <c r="D9975" t="s">
        <v>1754</v>
      </c>
      <c r="E9975">
        <v>130.80000000000001</v>
      </c>
      <c r="F9975">
        <v>20140604</v>
      </c>
      <c r="G9975" t="s">
        <v>442</v>
      </c>
      <c r="H9975" t="s">
        <v>921</v>
      </c>
      <c r="I9975" t="s">
        <v>66</v>
      </c>
    </row>
    <row r="9976" spans="1:9" x14ac:dyDescent="0.25">
      <c r="A9976">
        <v>20140605</v>
      </c>
      <c r="B9976" t="str">
        <f>"116039"</f>
        <v>116039</v>
      </c>
      <c r="C9976" t="str">
        <f>"83880"</f>
        <v>83880</v>
      </c>
      <c r="D9976" t="s">
        <v>865</v>
      </c>
      <c r="E9976">
        <v>274.63</v>
      </c>
      <c r="F9976">
        <v>20140604</v>
      </c>
      <c r="G9976" t="s">
        <v>41</v>
      </c>
      <c r="H9976" t="s">
        <v>354</v>
      </c>
      <c r="I9976" t="s">
        <v>38</v>
      </c>
    </row>
    <row r="9977" spans="1:9" x14ac:dyDescent="0.25">
      <c r="A9977">
        <v>20140605</v>
      </c>
      <c r="B9977" t="str">
        <f>"116039"</f>
        <v>116039</v>
      </c>
      <c r="C9977" t="str">
        <f>"83880"</f>
        <v>83880</v>
      </c>
      <c r="D9977" t="s">
        <v>865</v>
      </c>
      <c r="E9977">
        <v>-224.01</v>
      </c>
      <c r="F9977">
        <v>20140605</v>
      </c>
      <c r="G9977" t="s">
        <v>41</v>
      </c>
      <c r="H9977" t="s">
        <v>354</v>
      </c>
      <c r="I9977" t="s">
        <v>38</v>
      </c>
    </row>
    <row r="9978" spans="1:9" x14ac:dyDescent="0.25">
      <c r="A9978">
        <v>20140605</v>
      </c>
      <c r="B9978" t="str">
        <f>"116040"</f>
        <v>116040</v>
      </c>
      <c r="C9978" t="str">
        <f>"33185"</f>
        <v>33185</v>
      </c>
      <c r="D9978" t="s">
        <v>4531</v>
      </c>
      <c r="E9978" s="1">
        <v>1475</v>
      </c>
      <c r="F9978">
        <v>20140603</v>
      </c>
      <c r="G9978" t="s">
        <v>214</v>
      </c>
      <c r="H9978" t="s">
        <v>4532</v>
      </c>
      <c r="I9978" t="s">
        <v>38</v>
      </c>
    </row>
    <row r="9979" spans="1:9" x14ac:dyDescent="0.25">
      <c r="A9979">
        <v>20140605</v>
      </c>
      <c r="B9979" t="str">
        <f>"116041"</f>
        <v>116041</v>
      </c>
      <c r="C9979" t="str">
        <f>"81525"</f>
        <v>81525</v>
      </c>
      <c r="D9979" t="s">
        <v>1252</v>
      </c>
      <c r="E9979">
        <v>17.28</v>
      </c>
      <c r="F9979">
        <v>20140604</v>
      </c>
      <c r="G9979" t="s">
        <v>601</v>
      </c>
      <c r="H9979" t="s">
        <v>563</v>
      </c>
      <c r="I9979" t="s">
        <v>21</v>
      </c>
    </row>
    <row r="9980" spans="1:9" x14ac:dyDescent="0.25">
      <c r="A9980">
        <v>20140605</v>
      </c>
      <c r="B9980" t="str">
        <f>"116042"</f>
        <v>116042</v>
      </c>
      <c r="C9980" t="str">
        <f>"35817"</f>
        <v>35817</v>
      </c>
      <c r="D9980" t="s">
        <v>600</v>
      </c>
      <c r="E9980">
        <v>28.67</v>
      </c>
      <c r="F9980">
        <v>20140604</v>
      </c>
      <c r="G9980" t="s">
        <v>601</v>
      </c>
      <c r="H9980" t="s">
        <v>563</v>
      </c>
      <c r="I9980" t="s">
        <v>21</v>
      </c>
    </row>
    <row r="9981" spans="1:9" x14ac:dyDescent="0.25">
      <c r="A9981">
        <v>20140605</v>
      </c>
      <c r="B9981" t="str">
        <f>"116043"</f>
        <v>116043</v>
      </c>
      <c r="C9981" t="str">
        <f>"39315"</f>
        <v>39315</v>
      </c>
      <c r="D9981" t="s">
        <v>420</v>
      </c>
      <c r="E9981">
        <v>154.80000000000001</v>
      </c>
      <c r="F9981">
        <v>20140605</v>
      </c>
      <c r="G9981" t="s">
        <v>410</v>
      </c>
      <c r="H9981" t="s">
        <v>411</v>
      </c>
      <c r="I9981" t="s">
        <v>12</v>
      </c>
    </row>
    <row r="9982" spans="1:9" x14ac:dyDescent="0.25">
      <c r="A9982">
        <v>20140605</v>
      </c>
      <c r="B9982" t="str">
        <f>"116044"</f>
        <v>116044</v>
      </c>
      <c r="C9982" t="str">
        <f>"40371"</f>
        <v>40371</v>
      </c>
      <c r="D9982" t="s">
        <v>3207</v>
      </c>
      <c r="E9982">
        <v>131.25</v>
      </c>
      <c r="F9982">
        <v>20140604</v>
      </c>
      <c r="G9982" t="s">
        <v>637</v>
      </c>
      <c r="H9982" t="s">
        <v>4533</v>
      </c>
      <c r="I9982" t="s">
        <v>38</v>
      </c>
    </row>
    <row r="9983" spans="1:9" x14ac:dyDescent="0.25">
      <c r="A9983">
        <v>20140605</v>
      </c>
      <c r="B9983" t="str">
        <f>"116044"</f>
        <v>116044</v>
      </c>
      <c r="C9983" t="str">
        <f>"40371"</f>
        <v>40371</v>
      </c>
      <c r="D9983" t="s">
        <v>3207</v>
      </c>
      <c r="E9983">
        <v>98.31</v>
      </c>
      <c r="F9983">
        <v>20140604</v>
      </c>
      <c r="G9983" t="s">
        <v>39</v>
      </c>
      <c r="H9983" t="s">
        <v>839</v>
      </c>
      <c r="I9983" t="s">
        <v>38</v>
      </c>
    </row>
    <row r="9984" spans="1:9" x14ac:dyDescent="0.25">
      <c r="A9984">
        <v>20140605</v>
      </c>
      <c r="B9984" t="str">
        <f>"116045"</f>
        <v>116045</v>
      </c>
      <c r="C9984" t="str">
        <f>"40462"</f>
        <v>40462</v>
      </c>
      <c r="D9984" t="s">
        <v>4534</v>
      </c>
      <c r="E9984">
        <v>170.85</v>
      </c>
      <c r="F9984">
        <v>20140604</v>
      </c>
      <c r="G9984" t="s">
        <v>935</v>
      </c>
      <c r="H9984" t="s">
        <v>839</v>
      </c>
      <c r="I9984" t="s">
        <v>21</v>
      </c>
    </row>
    <row r="9985" spans="1:9" x14ac:dyDescent="0.25">
      <c r="A9985">
        <v>20140605</v>
      </c>
      <c r="B9985" t="str">
        <f>"116046"</f>
        <v>116046</v>
      </c>
      <c r="C9985" t="str">
        <f>"87869"</f>
        <v>87869</v>
      </c>
      <c r="D9985" t="s">
        <v>4535</v>
      </c>
      <c r="E9985">
        <v>55.85</v>
      </c>
      <c r="F9985">
        <v>20140604</v>
      </c>
      <c r="G9985" t="s">
        <v>202</v>
      </c>
      <c r="H9985" t="s">
        <v>4536</v>
      </c>
      <c r="I9985" t="s">
        <v>12</v>
      </c>
    </row>
    <row r="9986" spans="1:9" x14ac:dyDescent="0.25">
      <c r="A9986">
        <v>20140605</v>
      </c>
      <c r="B9986" t="str">
        <f>"116047"</f>
        <v>116047</v>
      </c>
      <c r="C9986" t="str">
        <f>"43186"</f>
        <v>43186</v>
      </c>
      <c r="D9986" t="s">
        <v>4537</v>
      </c>
      <c r="E9986">
        <v>166.19</v>
      </c>
      <c r="F9986">
        <v>20140603</v>
      </c>
      <c r="G9986" t="s">
        <v>1846</v>
      </c>
      <c r="H9986" t="s">
        <v>765</v>
      </c>
      <c r="I9986" t="s">
        <v>63</v>
      </c>
    </row>
    <row r="9987" spans="1:9" x14ac:dyDescent="0.25">
      <c r="A9987">
        <v>20140605</v>
      </c>
      <c r="B9987" t="str">
        <f>"116047"</f>
        <v>116047</v>
      </c>
      <c r="C9987" t="str">
        <f>"43186"</f>
        <v>43186</v>
      </c>
      <c r="D9987" t="s">
        <v>4537</v>
      </c>
      <c r="E9987">
        <v>166.19</v>
      </c>
      <c r="F9987">
        <v>20140603</v>
      </c>
      <c r="G9987" t="s">
        <v>1846</v>
      </c>
      <c r="H9987" t="s">
        <v>765</v>
      </c>
      <c r="I9987" t="s">
        <v>63</v>
      </c>
    </row>
    <row r="9988" spans="1:9" x14ac:dyDescent="0.25">
      <c r="A9988">
        <v>20140605</v>
      </c>
      <c r="B9988" t="str">
        <f>"116048"</f>
        <v>116048</v>
      </c>
      <c r="C9988" t="str">
        <f>"43193"</f>
        <v>43193</v>
      </c>
      <c r="D9988" t="s">
        <v>1889</v>
      </c>
      <c r="E9988">
        <v>222.8</v>
      </c>
      <c r="F9988">
        <v>20140604</v>
      </c>
      <c r="G9988" t="s">
        <v>1759</v>
      </c>
      <c r="H9988" t="s">
        <v>4538</v>
      </c>
      <c r="I9988" t="s">
        <v>61</v>
      </c>
    </row>
    <row r="9989" spans="1:9" x14ac:dyDescent="0.25">
      <c r="A9989">
        <v>20140605</v>
      </c>
      <c r="B9989" t="str">
        <f>"116049"</f>
        <v>116049</v>
      </c>
      <c r="C9989" t="str">
        <f>"83430"</f>
        <v>83430</v>
      </c>
      <c r="D9989" t="s">
        <v>423</v>
      </c>
      <c r="E9989">
        <v>32.4</v>
      </c>
      <c r="F9989">
        <v>20140605</v>
      </c>
      <c r="G9989" t="s">
        <v>410</v>
      </c>
      <c r="H9989" t="s">
        <v>411</v>
      </c>
      <c r="I9989" t="s">
        <v>12</v>
      </c>
    </row>
    <row r="9990" spans="1:9" x14ac:dyDescent="0.25">
      <c r="A9990">
        <v>20140605</v>
      </c>
      <c r="B9990" t="str">
        <f>"116050"</f>
        <v>116050</v>
      </c>
      <c r="C9990" t="str">
        <f>"86856"</f>
        <v>86856</v>
      </c>
      <c r="D9990" t="s">
        <v>4539</v>
      </c>
      <c r="E9990">
        <v>185</v>
      </c>
      <c r="F9990">
        <v>20140604</v>
      </c>
      <c r="G9990" t="s">
        <v>124</v>
      </c>
      <c r="H9990" t="s">
        <v>2336</v>
      </c>
      <c r="I9990" t="s">
        <v>38</v>
      </c>
    </row>
    <row r="9991" spans="1:9" x14ac:dyDescent="0.25">
      <c r="A9991">
        <v>20140605</v>
      </c>
      <c r="B9991" t="str">
        <f>"116051"</f>
        <v>116051</v>
      </c>
      <c r="C9991" t="str">
        <f>"87649"</f>
        <v>87649</v>
      </c>
      <c r="D9991" t="s">
        <v>3768</v>
      </c>
      <c r="E9991">
        <v>575</v>
      </c>
      <c r="F9991">
        <v>20140604</v>
      </c>
      <c r="G9991" t="s">
        <v>1722</v>
      </c>
      <c r="H9991" t="s">
        <v>1410</v>
      </c>
      <c r="I9991" t="s">
        <v>66</v>
      </c>
    </row>
    <row r="9992" spans="1:9" x14ac:dyDescent="0.25">
      <c r="A9992">
        <v>20140605</v>
      </c>
      <c r="B9992" t="str">
        <f>"116052"</f>
        <v>116052</v>
      </c>
      <c r="C9992" t="str">
        <f>"44875"</f>
        <v>44875</v>
      </c>
      <c r="D9992" t="s">
        <v>424</v>
      </c>
      <c r="E9992">
        <v>86.85</v>
      </c>
      <c r="F9992">
        <v>20140605</v>
      </c>
      <c r="G9992" t="s">
        <v>410</v>
      </c>
      <c r="H9992" t="s">
        <v>411</v>
      </c>
      <c r="I9992" t="s">
        <v>12</v>
      </c>
    </row>
    <row r="9993" spans="1:9" x14ac:dyDescent="0.25">
      <c r="A9993">
        <v>20140605</v>
      </c>
      <c r="B9993" t="str">
        <f>"116053"</f>
        <v>116053</v>
      </c>
      <c r="C9993" t="str">
        <f>"82532"</f>
        <v>82532</v>
      </c>
      <c r="D9993" t="s">
        <v>2005</v>
      </c>
      <c r="E9993" s="1">
        <v>5728.5</v>
      </c>
      <c r="F9993">
        <v>20140604</v>
      </c>
      <c r="G9993" t="s">
        <v>340</v>
      </c>
      <c r="H9993" t="s">
        <v>2006</v>
      </c>
      <c r="I9993" t="s">
        <v>21</v>
      </c>
    </row>
    <row r="9994" spans="1:9" x14ac:dyDescent="0.25">
      <c r="A9994">
        <v>20140605</v>
      </c>
      <c r="B9994" t="str">
        <f>"116053"</f>
        <v>116053</v>
      </c>
      <c r="C9994" t="str">
        <f>"82532"</f>
        <v>82532</v>
      </c>
      <c r="D9994" t="s">
        <v>2005</v>
      </c>
      <c r="E9994">
        <v>-100</v>
      </c>
      <c r="F9994">
        <v>20140605</v>
      </c>
      <c r="G9994" t="s">
        <v>340</v>
      </c>
      <c r="H9994" t="s">
        <v>4540</v>
      </c>
      <c r="I9994" t="s">
        <v>21</v>
      </c>
    </row>
    <row r="9995" spans="1:9" x14ac:dyDescent="0.25">
      <c r="A9995">
        <v>20140605</v>
      </c>
      <c r="B9995" t="str">
        <f>"116054"</f>
        <v>116054</v>
      </c>
      <c r="C9995" t="str">
        <f>"84445"</f>
        <v>84445</v>
      </c>
      <c r="D9995" t="s">
        <v>1472</v>
      </c>
      <c r="E9995">
        <v>53.78</v>
      </c>
      <c r="F9995">
        <v>20140604</v>
      </c>
      <c r="G9995" t="s">
        <v>562</v>
      </c>
      <c r="H9995" t="s">
        <v>563</v>
      </c>
      <c r="I9995" t="s">
        <v>21</v>
      </c>
    </row>
    <row r="9996" spans="1:9" x14ac:dyDescent="0.25">
      <c r="A9996">
        <v>20140605</v>
      </c>
      <c r="B9996" t="str">
        <f>"116055"</f>
        <v>116055</v>
      </c>
      <c r="C9996" t="str">
        <f>"81788"</f>
        <v>81788</v>
      </c>
      <c r="D9996" t="s">
        <v>1104</v>
      </c>
      <c r="E9996" s="1">
        <v>2500</v>
      </c>
      <c r="F9996">
        <v>20140604</v>
      </c>
      <c r="G9996" t="s">
        <v>580</v>
      </c>
      <c r="H9996" t="s">
        <v>4541</v>
      </c>
      <c r="I9996" t="s">
        <v>21</v>
      </c>
    </row>
    <row r="9997" spans="1:9" x14ac:dyDescent="0.25">
      <c r="A9997">
        <v>20140605</v>
      </c>
      <c r="B9997" t="str">
        <f>"116056"</f>
        <v>116056</v>
      </c>
      <c r="C9997" t="str">
        <f>"48820"</f>
        <v>48820</v>
      </c>
      <c r="D9997" t="s">
        <v>1106</v>
      </c>
      <c r="E9997">
        <v>135.88999999999999</v>
      </c>
      <c r="F9997">
        <v>20140603</v>
      </c>
      <c r="G9997" t="s">
        <v>1067</v>
      </c>
      <c r="H9997" t="s">
        <v>354</v>
      </c>
      <c r="I9997" t="s">
        <v>21</v>
      </c>
    </row>
    <row r="9998" spans="1:9" x14ac:dyDescent="0.25">
      <c r="A9998">
        <v>20140605</v>
      </c>
      <c r="B9998" t="str">
        <f>"116056"</f>
        <v>116056</v>
      </c>
      <c r="C9998" t="str">
        <f>"48820"</f>
        <v>48820</v>
      </c>
      <c r="D9998" t="s">
        <v>1106</v>
      </c>
      <c r="E9998">
        <v>83.9</v>
      </c>
      <c r="F9998">
        <v>20140603</v>
      </c>
      <c r="G9998" t="s">
        <v>1067</v>
      </c>
      <c r="H9998" t="s">
        <v>354</v>
      </c>
      <c r="I9998" t="s">
        <v>21</v>
      </c>
    </row>
    <row r="9999" spans="1:9" x14ac:dyDescent="0.25">
      <c r="A9999">
        <v>20140605</v>
      </c>
      <c r="B9999" t="str">
        <f>"116056"</f>
        <v>116056</v>
      </c>
      <c r="C9999" t="str">
        <f>"48820"</f>
        <v>48820</v>
      </c>
      <c r="D9999" t="s">
        <v>1106</v>
      </c>
      <c r="E9999">
        <v>10.8</v>
      </c>
      <c r="F9999">
        <v>20140604</v>
      </c>
      <c r="G9999" t="s">
        <v>209</v>
      </c>
      <c r="H9999" t="s">
        <v>354</v>
      </c>
      <c r="I9999" t="s">
        <v>25</v>
      </c>
    </row>
    <row r="10000" spans="1:9" x14ac:dyDescent="0.25">
      <c r="A10000">
        <v>20140605</v>
      </c>
      <c r="B10000" t="str">
        <f>"116056"</f>
        <v>116056</v>
      </c>
      <c r="C10000" t="str">
        <f>"48820"</f>
        <v>48820</v>
      </c>
      <c r="D10000" t="s">
        <v>1106</v>
      </c>
      <c r="E10000">
        <v>44.17</v>
      </c>
      <c r="F10000">
        <v>20140604</v>
      </c>
      <c r="G10000" t="s">
        <v>209</v>
      </c>
      <c r="H10000" t="s">
        <v>354</v>
      </c>
      <c r="I10000" t="s">
        <v>25</v>
      </c>
    </row>
    <row r="10001" spans="1:9" x14ac:dyDescent="0.25">
      <c r="A10001">
        <v>20140605</v>
      </c>
      <c r="B10001" t="str">
        <f>"116057"</f>
        <v>116057</v>
      </c>
      <c r="C10001" t="str">
        <f>"87032"</f>
        <v>87032</v>
      </c>
      <c r="D10001" t="s">
        <v>4542</v>
      </c>
      <c r="E10001">
        <v>6.3</v>
      </c>
      <c r="F10001">
        <v>20140605</v>
      </c>
      <c r="G10001" t="s">
        <v>410</v>
      </c>
      <c r="H10001" t="s">
        <v>411</v>
      </c>
      <c r="I10001" t="s">
        <v>12</v>
      </c>
    </row>
    <row r="10002" spans="1:9" x14ac:dyDescent="0.25">
      <c r="A10002">
        <v>20140605</v>
      </c>
      <c r="B10002" t="str">
        <f>"116058"</f>
        <v>116058</v>
      </c>
      <c r="C10002" t="str">
        <f>"81004"</f>
        <v>81004</v>
      </c>
      <c r="D10002" t="s">
        <v>4543</v>
      </c>
      <c r="E10002" s="1">
        <v>2210.5300000000002</v>
      </c>
      <c r="F10002">
        <v>20140604</v>
      </c>
      <c r="G10002" t="s">
        <v>150</v>
      </c>
      <c r="H10002" t="s">
        <v>921</v>
      </c>
      <c r="I10002" t="s">
        <v>25</v>
      </c>
    </row>
    <row r="10003" spans="1:9" x14ac:dyDescent="0.25">
      <c r="A10003">
        <v>20140605</v>
      </c>
      <c r="B10003" t="str">
        <f>"116058"</f>
        <v>116058</v>
      </c>
      <c r="C10003" t="str">
        <f>"81004"</f>
        <v>81004</v>
      </c>
      <c r="D10003" t="s">
        <v>4543</v>
      </c>
      <c r="E10003" s="1">
        <v>-2210.5300000000002</v>
      </c>
      <c r="F10003">
        <v>20140717</v>
      </c>
      <c r="G10003" t="s">
        <v>150</v>
      </c>
      <c r="H10003" t="s">
        <v>4544</v>
      </c>
      <c r="I10003" t="s">
        <v>25</v>
      </c>
    </row>
    <row r="10004" spans="1:9" x14ac:dyDescent="0.25">
      <c r="A10004">
        <v>20140605</v>
      </c>
      <c r="B10004" t="str">
        <f>"116059"</f>
        <v>116059</v>
      </c>
      <c r="C10004" t="str">
        <f>"87781"</f>
        <v>87781</v>
      </c>
      <c r="D10004" t="s">
        <v>3679</v>
      </c>
      <c r="E10004">
        <v>159.30000000000001</v>
      </c>
      <c r="F10004">
        <v>20140603</v>
      </c>
      <c r="G10004" t="s">
        <v>4545</v>
      </c>
      <c r="H10004" t="s">
        <v>354</v>
      </c>
      <c r="I10004" t="s">
        <v>21</v>
      </c>
    </row>
    <row r="10005" spans="1:9" x14ac:dyDescent="0.25">
      <c r="A10005">
        <v>20140605</v>
      </c>
      <c r="B10005" t="str">
        <f>"116059"</f>
        <v>116059</v>
      </c>
      <c r="C10005" t="str">
        <f>"87781"</f>
        <v>87781</v>
      </c>
      <c r="D10005" t="s">
        <v>3679</v>
      </c>
      <c r="E10005">
        <v>115.2</v>
      </c>
      <c r="F10005">
        <v>20140603</v>
      </c>
      <c r="G10005" t="s">
        <v>4545</v>
      </c>
      <c r="H10005" t="s">
        <v>365</v>
      </c>
      <c r="I10005" t="s">
        <v>21</v>
      </c>
    </row>
    <row r="10006" spans="1:9" x14ac:dyDescent="0.25">
      <c r="A10006">
        <v>20140605</v>
      </c>
      <c r="B10006" t="str">
        <f>"116060"</f>
        <v>116060</v>
      </c>
      <c r="C10006" t="str">
        <f>"87404"</f>
        <v>87404</v>
      </c>
      <c r="D10006" t="s">
        <v>1108</v>
      </c>
      <c r="E10006">
        <v>17.54</v>
      </c>
      <c r="F10006">
        <v>20140603</v>
      </c>
      <c r="G10006" t="s">
        <v>426</v>
      </c>
      <c r="H10006" t="s">
        <v>968</v>
      </c>
      <c r="I10006" t="s">
        <v>21</v>
      </c>
    </row>
    <row r="10007" spans="1:9" x14ac:dyDescent="0.25">
      <c r="A10007">
        <v>20140605</v>
      </c>
      <c r="B10007" t="str">
        <f>"116061"</f>
        <v>116061</v>
      </c>
      <c r="C10007" t="str">
        <f>"87404"</f>
        <v>87404</v>
      </c>
      <c r="D10007" t="s">
        <v>1108</v>
      </c>
      <c r="E10007">
        <v>15.39</v>
      </c>
      <c r="F10007">
        <v>20140603</v>
      </c>
      <c r="G10007" t="s">
        <v>426</v>
      </c>
      <c r="H10007" t="s">
        <v>968</v>
      </c>
      <c r="I10007" t="s">
        <v>21</v>
      </c>
    </row>
    <row r="10008" spans="1:9" x14ac:dyDescent="0.25">
      <c r="A10008">
        <v>20140605</v>
      </c>
      <c r="B10008" t="str">
        <f>"116062"</f>
        <v>116062</v>
      </c>
      <c r="C10008" t="str">
        <f>"87404"</f>
        <v>87404</v>
      </c>
      <c r="D10008" t="s">
        <v>1108</v>
      </c>
      <c r="E10008">
        <v>14.59</v>
      </c>
      <c r="F10008">
        <v>20140603</v>
      </c>
      <c r="G10008" t="s">
        <v>426</v>
      </c>
      <c r="H10008" t="s">
        <v>968</v>
      </c>
      <c r="I10008" t="s">
        <v>21</v>
      </c>
    </row>
    <row r="10009" spans="1:9" x14ac:dyDescent="0.25">
      <c r="A10009">
        <v>20140605</v>
      </c>
      <c r="B10009" t="str">
        <f>"116063"</f>
        <v>116063</v>
      </c>
      <c r="C10009" t="str">
        <f>"87404"</f>
        <v>87404</v>
      </c>
      <c r="D10009" t="s">
        <v>1108</v>
      </c>
      <c r="E10009">
        <v>6.74</v>
      </c>
      <c r="F10009">
        <v>20140603</v>
      </c>
      <c r="G10009" t="s">
        <v>426</v>
      </c>
      <c r="H10009" t="s">
        <v>968</v>
      </c>
      <c r="I10009" t="s">
        <v>21</v>
      </c>
    </row>
    <row r="10010" spans="1:9" x14ac:dyDescent="0.25">
      <c r="A10010">
        <v>20140605</v>
      </c>
      <c r="B10010" t="str">
        <f>"116064"</f>
        <v>116064</v>
      </c>
      <c r="C10010" t="str">
        <f>"83944"</f>
        <v>83944</v>
      </c>
      <c r="D10010" t="s">
        <v>642</v>
      </c>
      <c r="E10010" s="1">
        <v>19161.22</v>
      </c>
      <c r="F10010">
        <v>20140603</v>
      </c>
      <c r="G10010" t="s">
        <v>4328</v>
      </c>
      <c r="I10010" t="s">
        <v>21</v>
      </c>
    </row>
    <row r="10011" spans="1:9" x14ac:dyDescent="0.25">
      <c r="A10011">
        <v>20140605</v>
      </c>
      <c r="B10011" t="str">
        <f>"116065"</f>
        <v>116065</v>
      </c>
      <c r="C10011" t="str">
        <f>"82192"</f>
        <v>82192</v>
      </c>
      <c r="D10011" t="s">
        <v>642</v>
      </c>
      <c r="E10011" s="1">
        <v>5304</v>
      </c>
      <c r="F10011">
        <v>20140604</v>
      </c>
      <c r="G10011" t="s">
        <v>643</v>
      </c>
      <c r="H10011" t="s">
        <v>488</v>
      </c>
      <c r="I10011" t="s">
        <v>21</v>
      </c>
    </row>
    <row r="10012" spans="1:9" x14ac:dyDescent="0.25">
      <c r="A10012">
        <v>20140605</v>
      </c>
      <c r="B10012" t="str">
        <f>"116066"</f>
        <v>116066</v>
      </c>
      <c r="C10012" t="str">
        <f>"84193"</f>
        <v>84193</v>
      </c>
      <c r="D10012" t="s">
        <v>1110</v>
      </c>
      <c r="E10012">
        <v>25.56</v>
      </c>
      <c r="F10012">
        <v>20140604</v>
      </c>
      <c r="G10012" t="s">
        <v>562</v>
      </c>
      <c r="H10012" t="s">
        <v>563</v>
      </c>
      <c r="I10012" t="s">
        <v>21</v>
      </c>
    </row>
    <row r="10013" spans="1:9" x14ac:dyDescent="0.25">
      <c r="A10013">
        <v>20140605</v>
      </c>
      <c r="B10013" t="str">
        <f>"116067"</f>
        <v>116067</v>
      </c>
      <c r="C10013" t="str">
        <f>"87870"</f>
        <v>87870</v>
      </c>
      <c r="D10013" t="s">
        <v>4546</v>
      </c>
      <c r="E10013">
        <v>53.33</v>
      </c>
      <c r="F10013">
        <v>20140604</v>
      </c>
      <c r="G10013" t="s">
        <v>202</v>
      </c>
      <c r="H10013" t="s">
        <v>4536</v>
      </c>
      <c r="I10013" t="s">
        <v>12</v>
      </c>
    </row>
    <row r="10014" spans="1:9" x14ac:dyDescent="0.25">
      <c r="A10014">
        <v>20140605</v>
      </c>
      <c r="B10014" t="str">
        <f>"116068"</f>
        <v>116068</v>
      </c>
      <c r="C10014" t="str">
        <f>"85770"</f>
        <v>85770</v>
      </c>
      <c r="D10014" t="s">
        <v>363</v>
      </c>
      <c r="E10014">
        <v>48.51</v>
      </c>
      <c r="F10014">
        <v>20140603</v>
      </c>
      <c r="G10014" t="s">
        <v>364</v>
      </c>
      <c r="H10014" t="s">
        <v>563</v>
      </c>
      <c r="I10014" t="s">
        <v>21</v>
      </c>
    </row>
    <row r="10015" spans="1:9" x14ac:dyDescent="0.25">
      <c r="A10015">
        <v>20140605</v>
      </c>
      <c r="B10015" t="str">
        <f>"116069"</f>
        <v>116069</v>
      </c>
      <c r="C10015" t="str">
        <f>"87626"</f>
        <v>87626</v>
      </c>
      <c r="D10015" t="s">
        <v>2864</v>
      </c>
      <c r="E10015" s="1">
        <v>4221.47</v>
      </c>
      <c r="F10015">
        <v>20140604</v>
      </c>
      <c r="G10015" t="s">
        <v>2147</v>
      </c>
      <c r="H10015" t="s">
        <v>4547</v>
      </c>
      <c r="I10015" t="s">
        <v>21</v>
      </c>
    </row>
    <row r="10016" spans="1:9" x14ac:dyDescent="0.25">
      <c r="A10016">
        <v>20140605</v>
      </c>
      <c r="B10016" t="str">
        <f>"116069"</f>
        <v>116069</v>
      </c>
      <c r="C10016" t="str">
        <f>"87626"</f>
        <v>87626</v>
      </c>
      <c r="D10016" t="s">
        <v>2864</v>
      </c>
      <c r="E10016">
        <v>560</v>
      </c>
      <c r="F10016">
        <v>20140604</v>
      </c>
      <c r="G10016" t="s">
        <v>2147</v>
      </c>
      <c r="H10016" t="s">
        <v>4548</v>
      </c>
      <c r="I10016" t="s">
        <v>21</v>
      </c>
    </row>
    <row r="10017" spans="1:9" x14ac:dyDescent="0.25">
      <c r="A10017">
        <v>20140605</v>
      </c>
      <c r="B10017" t="str">
        <f>"116070"</f>
        <v>116070</v>
      </c>
      <c r="C10017" t="str">
        <f>"53300"</f>
        <v>53300</v>
      </c>
      <c r="D10017" t="s">
        <v>1491</v>
      </c>
      <c r="E10017">
        <v>7.48</v>
      </c>
      <c r="F10017">
        <v>20140604</v>
      </c>
      <c r="G10017" t="s">
        <v>631</v>
      </c>
      <c r="H10017" t="s">
        <v>414</v>
      </c>
      <c r="I10017" t="s">
        <v>21</v>
      </c>
    </row>
    <row r="10018" spans="1:9" x14ac:dyDescent="0.25">
      <c r="A10018">
        <v>20140605</v>
      </c>
      <c r="B10018" t="str">
        <f>"116070"</f>
        <v>116070</v>
      </c>
      <c r="C10018" t="str">
        <f>"53300"</f>
        <v>53300</v>
      </c>
      <c r="D10018" t="s">
        <v>1491</v>
      </c>
      <c r="E10018">
        <v>91.27</v>
      </c>
      <c r="F10018">
        <v>20140604</v>
      </c>
      <c r="G10018" t="s">
        <v>392</v>
      </c>
      <c r="H10018" t="s">
        <v>414</v>
      </c>
      <c r="I10018" t="s">
        <v>21</v>
      </c>
    </row>
    <row r="10019" spans="1:9" x14ac:dyDescent="0.25">
      <c r="A10019">
        <v>20140605</v>
      </c>
      <c r="B10019" t="str">
        <f>"116070"</f>
        <v>116070</v>
      </c>
      <c r="C10019" t="str">
        <f>"53300"</f>
        <v>53300</v>
      </c>
      <c r="D10019" t="s">
        <v>1491</v>
      </c>
      <c r="E10019">
        <v>29.23</v>
      </c>
      <c r="F10019">
        <v>20140604</v>
      </c>
      <c r="G10019" t="s">
        <v>3820</v>
      </c>
      <c r="H10019" t="s">
        <v>414</v>
      </c>
      <c r="I10019" t="s">
        <v>21</v>
      </c>
    </row>
    <row r="10020" spans="1:9" x14ac:dyDescent="0.25">
      <c r="A10020">
        <v>20140605</v>
      </c>
      <c r="B10020" t="str">
        <f>"116071"</f>
        <v>116071</v>
      </c>
      <c r="C10020" t="str">
        <f>"82978"</f>
        <v>82978</v>
      </c>
      <c r="D10020" t="s">
        <v>2245</v>
      </c>
      <c r="E10020">
        <v>477</v>
      </c>
      <c r="F10020">
        <v>20140604</v>
      </c>
      <c r="G10020" t="s">
        <v>840</v>
      </c>
      <c r="H10020" t="s">
        <v>839</v>
      </c>
      <c r="I10020" t="s">
        <v>21</v>
      </c>
    </row>
    <row r="10021" spans="1:9" x14ac:dyDescent="0.25">
      <c r="A10021">
        <v>20140605</v>
      </c>
      <c r="B10021" t="str">
        <f>"116072"</f>
        <v>116072</v>
      </c>
      <c r="C10021" t="str">
        <f>"57041"</f>
        <v>57041</v>
      </c>
      <c r="D10021" t="s">
        <v>1496</v>
      </c>
      <c r="E10021">
        <v>126</v>
      </c>
      <c r="F10021">
        <v>20140603</v>
      </c>
      <c r="G10021" t="s">
        <v>392</v>
      </c>
      <c r="H10021" t="s">
        <v>414</v>
      </c>
      <c r="I10021" t="s">
        <v>21</v>
      </c>
    </row>
    <row r="10022" spans="1:9" x14ac:dyDescent="0.25">
      <c r="A10022">
        <v>20140605</v>
      </c>
      <c r="B10022" t="str">
        <f>"116073"</f>
        <v>116073</v>
      </c>
      <c r="C10022" t="str">
        <f>"57046"</f>
        <v>57046</v>
      </c>
      <c r="D10022" t="s">
        <v>1789</v>
      </c>
      <c r="E10022">
        <v>130</v>
      </c>
      <c r="F10022">
        <v>20140603</v>
      </c>
      <c r="G10022" t="s">
        <v>137</v>
      </c>
      <c r="H10022" t="s">
        <v>4549</v>
      </c>
      <c r="I10022" t="s">
        <v>21</v>
      </c>
    </row>
    <row r="10023" spans="1:9" x14ac:dyDescent="0.25">
      <c r="A10023">
        <v>20140605</v>
      </c>
      <c r="B10023" t="str">
        <f>"116074"</f>
        <v>116074</v>
      </c>
      <c r="C10023" t="str">
        <f>"58000"</f>
        <v>58000</v>
      </c>
      <c r="D10023" t="s">
        <v>3425</v>
      </c>
      <c r="E10023">
        <v>71</v>
      </c>
      <c r="F10023">
        <v>20140604</v>
      </c>
      <c r="G10023" t="s">
        <v>4550</v>
      </c>
      <c r="H10023" t="s">
        <v>4551</v>
      </c>
      <c r="I10023" t="s">
        <v>21</v>
      </c>
    </row>
    <row r="10024" spans="1:9" x14ac:dyDescent="0.25">
      <c r="A10024">
        <v>20140605</v>
      </c>
      <c r="B10024" t="str">
        <f>"116075"</f>
        <v>116075</v>
      </c>
      <c r="C10024" t="str">
        <f>"83263"</f>
        <v>83263</v>
      </c>
      <c r="D10024" t="s">
        <v>2876</v>
      </c>
      <c r="E10024">
        <v>20.7</v>
      </c>
      <c r="F10024">
        <v>20140605</v>
      </c>
      <c r="G10024" t="s">
        <v>410</v>
      </c>
      <c r="H10024" t="s">
        <v>411</v>
      </c>
      <c r="I10024" t="s">
        <v>12</v>
      </c>
    </row>
    <row r="10025" spans="1:9" x14ac:dyDescent="0.25">
      <c r="A10025">
        <v>20140605</v>
      </c>
      <c r="B10025" t="str">
        <f>"116076"</f>
        <v>116076</v>
      </c>
      <c r="C10025" t="str">
        <f>"86964"</f>
        <v>86964</v>
      </c>
      <c r="D10025" t="s">
        <v>1280</v>
      </c>
      <c r="E10025" s="1">
        <v>10584.15</v>
      </c>
      <c r="F10025">
        <v>20140604</v>
      </c>
      <c r="G10025" t="s">
        <v>1399</v>
      </c>
      <c r="H10025" t="s">
        <v>4552</v>
      </c>
      <c r="I10025" t="s">
        <v>21</v>
      </c>
    </row>
    <row r="10026" spans="1:9" x14ac:dyDescent="0.25">
      <c r="A10026">
        <v>20140605</v>
      </c>
      <c r="B10026" t="str">
        <f>"116077"</f>
        <v>116077</v>
      </c>
      <c r="C10026" t="str">
        <f>"85114"</f>
        <v>85114</v>
      </c>
      <c r="D10026" t="s">
        <v>1497</v>
      </c>
      <c r="E10026">
        <v>142</v>
      </c>
      <c r="F10026">
        <v>20140604</v>
      </c>
      <c r="G10026" t="s">
        <v>789</v>
      </c>
      <c r="H10026" t="s">
        <v>354</v>
      </c>
      <c r="I10026" t="s">
        <v>61</v>
      </c>
    </row>
    <row r="10027" spans="1:9" x14ac:dyDescent="0.25">
      <c r="A10027">
        <v>20140605</v>
      </c>
      <c r="B10027" t="str">
        <f>"116078"</f>
        <v>116078</v>
      </c>
      <c r="C10027" t="str">
        <f>"59500"</f>
        <v>59500</v>
      </c>
      <c r="D10027" t="s">
        <v>670</v>
      </c>
      <c r="E10027">
        <v>49.98</v>
      </c>
      <c r="F10027">
        <v>20140604</v>
      </c>
      <c r="G10027" t="s">
        <v>1024</v>
      </c>
      <c r="H10027" t="s">
        <v>4553</v>
      </c>
      <c r="I10027" t="s">
        <v>21</v>
      </c>
    </row>
    <row r="10028" spans="1:9" x14ac:dyDescent="0.25">
      <c r="A10028">
        <v>20140605</v>
      </c>
      <c r="B10028" t="str">
        <f>"116078"</f>
        <v>116078</v>
      </c>
      <c r="C10028" t="str">
        <f>"59500"</f>
        <v>59500</v>
      </c>
      <c r="D10028" t="s">
        <v>670</v>
      </c>
      <c r="E10028">
        <v>94.04</v>
      </c>
      <c r="F10028">
        <v>20140604</v>
      </c>
      <c r="G10028" t="s">
        <v>137</v>
      </c>
      <c r="H10028" t="s">
        <v>414</v>
      </c>
      <c r="I10028" t="s">
        <v>21</v>
      </c>
    </row>
    <row r="10029" spans="1:9" x14ac:dyDescent="0.25">
      <c r="A10029">
        <v>20140605</v>
      </c>
      <c r="B10029" t="str">
        <f>"116078"</f>
        <v>116078</v>
      </c>
      <c r="C10029" t="str">
        <f>"59500"</f>
        <v>59500</v>
      </c>
      <c r="D10029" t="s">
        <v>670</v>
      </c>
      <c r="E10029">
        <v>16.14</v>
      </c>
      <c r="F10029">
        <v>20140604</v>
      </c>
      <c r="G10029" t="s">
        <v>847</v>
      </c>
      <c r="H10029" t="s">
        <v>4355</v>
      </c>
      <c r="I10029" t="s">
        <v>79</v>
      </c>
    </row>
    <row r="10030" spans="1:9" x14ac:dyDescent="0.25">
      <c r="A10030">
        <v>20140605</v>
      </c>
      <c r="B10030" t="str">
        <f>"116079"</f>
        <v>116079</v>
      </c>
      <c r="C10030" t="str">
        <f>"81001"</f>
        <v>81001</v>
      </c>
      <c r="D10030" t="s">
        <v>2882</v>
      </c>
      <c r="E10030" s="1">
        <v>2289</v>
      </c>
      <c r="F10030">
        <v>20140604</v>
      </c>
      <c r="G10030" t="s">
        <v>2028</v>
      </c>
      <c r="H10030" t="s">
        <v>921</v>
      </c>
      <c r="I10030" t="s">
        <v>66</v>
      </c>
    </row>
    <row r="10031" spans="1:9" x14ac:dyDescent="0.25">
      <c r="A10031">
        <v>20140605</v>
      </c>
      <c r="B10031" t="str">
        <f>"116080"</f>
        <v>116080</v>
      </c>
      <c r="C10031" t="str">
        <f>"86795"</f>
        <v>86795</v>
      </c>
      <c r="D10031" t="s">
        <v>430</v>
      </c>
      <c r="E10031">
        <v>35.549999999999997</v>
      </c>
      <c r="F10031">
        <v>20140605</v>
      </c>
      <c r="G10031" t="s">
        <v>410</v>
      </c>
      <c r="H10031" t="s">
        <v>411</v>
      </c>
      <c r="I10031" t="s">
        <v>12</v>
      </c>
    </row>
    <row r="10032" spans="1:9" x14ac:dyDescent="0.25">
      <c r="A10032">
        <v>20140605</v>
      </c>
      <c r="B10032" t="str">
        <f>"116081"</f>
        <v>116081</v>
      </c>
      <c r="C10032" t="str">
        <f>"59695"</f>
        <v>59695</v>
      </c>
      <c r="D10032" t="s">
        <v>371</v>
      </c>
      <c r="E10032">
        <v>810</v>
      </c>
      <c r="F10032">
        <v>20140603</v>
      </c>
      <c r="G10032" t="s">
        <v>372</v>
      </c>
      <c r="H10032" t="s">
        <v>4554</v>
      </c>
      <c r="I10032" t="s">
        <v>21</v>
      </c>
    </row>
    <row r="10033" spans="1:9" x14ac:dyDescent="0.25">
      <c r="A10033">
        <v>20140605</v>
      </c>
      <c r="B10033" t="str">
        <f>"116081"</f>
        <v>116081</v>
      </c>
      <c r="C10033" t="str">
        <f>"59695"</f>
        <v>59695</v>
      </c>
      <c r="D10033" t="s">
        <v>371</v>
      </c>
      <c r="E10033">
        <v>405</v>
      </c>
      <c r="F10033">
        <v>20140603</v>
      </c>
      <c r="G10033" t="s">
        <v>374</v>
      </c>
      <c r="H10033" t="s">
        <v>4554</v>
      </c>
      <c r="I10033" t="s">
        <v>21</v>
      </c>
    </row>
    <row r="10034" spans="1:9" x14ac:dyDescent="0.25">
      <c r="A10034">
        <v>20140605</v>
      </c>
      <c r="B10034" t="str">
        <f>"116081"</f>
        <v>116081</v>
      </c>
      <c r="C10034" t="str">
        <f>"59695"</f>
        <v>59695</v>
      </c>
      <c r="D10034" t="s">
        <v>371</v>
      </c>
      <c r="E10034">
        <v>100</v>
      </c>
      <c r="F10034">
        <v>20140603</v>
      </c>
      <c r="G10034" t="s">
        <v>375</v>
      </c>
      <c r="H10034" t="s">
        <v>4554</v>
      </c>
      <c r="I10034" t="s">
        <v>21</v>
      </c>
    </row>
    <row r="10035" spans="1:9" x14ac:dyDescent="0.25">
      <c r="A10035">
        <v>20140605</v>
      </c>
      <c r="B10035" t="str">
        <f>"116081"</f>
        <v>116081</v>
      </c>
      <c r="C10035" t="str">
        <f>"59695"</f>
        <v>59695</v>
      </c>
      <c r="D10035" t="s">
        <v>371</v>
      </c>
      <c r="E10035">
        <v>620</v>
      </c>
      <c r="F10035">
        <v>20140603</v>
      </c>
      <c r="G10035" t="s">
        <v>376</v>
      </c>
      <c r="H10035" t="s">
        <v>4554</v>
      </c>
      <c r="I10035" t="s">
        <v>21</v>
      </c>
    </row>
    <row r="10036" spans="1:9" x14ac:dyDescent="0.25">
      <c r="A10036">
        <v>20140605</v>
      </c>
      <c r="B10036" t="str">
        <f>"116082"</f>
        <v>116082</v>
      </c>
      <c r="C10036" t="str">
        <f>"84891"</f>
        <v>84891</v>
      </c>
      <c r="D10036" t="s">
        <v>2747</v>
      </c>
      <c r="E10036">
        <v>23.4</v>
      </c>
      <c r="F10036">
        <v>20140605</v>
      </c>
      <c r="G10036" t="s">
        <v>410</v>
      </c>
      <c r="H10036" t="s">
        <v>411</v>
      </c>
      <c r="I10036" t="s">
        <v>12</v>
      </c>
    </row>
    <row r="10037" spans="1:9" x14ac:dyDescent="0.25">
      <c r="A10037">
        <v>20140605</v>
      </c>
      <c r="B10037" t="str">
        <f t="shared" ref="B10037:B10042" si="575">"116083"</f>
        <v>116083</v>
      </c>
      <c r="C10037" t="str">
        <f t="shared" ref="C10037:C10042" si="576">"61060"</f>
        <v>61060</v>
      </c>
      <c r="D10037" t="s">
        <v>4555</v>
      </c>
      <c r="E10037">
        <v>247.2</v>
      </c>
      <c r="F10037">
        <v>20140603</v>
      </c>
      <c r="G10037" t="s">
        <v>4556</v>
      </c>
      <c r="H10037" t="s">
        <v>4557</v>
      </c>
      <c r="I10037" t="s">
        <v>66</v>
      </c>
    </row>
    <row r="10038" spans="1:9" x14ac:dyDescent="0.25">
      <c r="A10038">
        <v>20140605</v>
      </c>
      <c r="B10038" t="str">
        <f t="shared" si="575"/>
        <v>116083</v>
      </c>
      <c r="C10038" t="str">
        <f t="shared" si="576"/>
        <v>61060</v>
      </c>
      <c r="D10038" t="s">
        <v>4555</v>
      </c>
      <c r="E10038">
        <v>123.6</v>
      </c>
      <c r="F10038">
        <v>20140603</v>
      </c>
      <c r="G10038" t="s">
        <v>4257</v>
      </c>
      <c r="H10038" t="s">
        <v>4557</v>
      </c>
      <c r="I10038" t="s">
        <v>66</v>
      </c>
    </row>
    <row r="10039" spans="1:9" x14ac:dyDescent="0.25">
      <c r="A10039">
        <v>20140605</v>
      </c>
      <c r="B10039" t="str">
        <f t="shared" si="575"/>
        <v>116083</v>
      </c>
      <c r="C10039" t="str">
        <f t="shared" si="576"/>
        <v>61060</v>
      </c>
      <c r="D10039" t="s">
        <v>4555</v>
      </c>
      <c r="E10039">
        <v>123.6</v>
      </c>
      <c r="F10039">
        <v>20140603</v>
      </c>
      <c r="G10039" t="s">
        <v>4257</v>
      </c>
      <c r="H10039" t="s">
        <v>4558</v>
      </c>
      <c r="I10039" t="s">
        <v>66</v>
      </c>
    </row>
    <row r="10040" spans="1:9" x14ac:dyDescent="0.25">
      <c r="A10040">
        <v>20140605</v>
      </c>
      <c r="B10040" t="str">
        <f t="shared" si="575"/>
        <v>116083</v>
      </c>
      <c r="C10040" t="str">
        <f t="shared" si="576"/>
        <v>61060</v>
      </c>
      <c r="D10040" t="s">
        <v>4555</v>
      </c>
      <c r="E10040">
        <v>247.2</v>
      </c>
      <c r="F10040">
        <v>20140603</v>
      </c>
      <c r="G10040" t="s">
        <v>4559</v>
      </c>
      <c r="H10040" t="s">
        <v>4557</v>
      </c>
      <c r="I10040" t="s">
        <v>66</v>
      </c>
    </row>
    <row r="10041" spans="1:9" x14ac:dyDescent="0.25">
      <c r="A10041">
        <v>20140605</v>
      </c>
      <c r="B10041" t="str">
        <f t="shared" si="575"/>
        <v>116083</v>
      </c>
      <c r="C10041" t="str">
        <f t="shared" si="576"/>
        <v>61060</v>
      </c>
      <c r="D10041" t="s">
        <v>4555</v>
      </c>
      <c r="E10041">
        <v>247.2</v>
      </c>
      <c r="F10041">
        <v>20140603</v>
      </c>
      <c r="G10041" t="s">
        <v>4559</v>
      </c>
      <c r="H10041" t="s">
        <v>4558</v>
      </c>
      <c r="I10041" t="s">
        <v>66</v>
      </c>
    </row>
    <row r="10042" spans="1:9" x14ac:dyDescent="0.25">
      <c r="A10042">
        <v>20140605</v>
      </c>
      <c r="B10042" t="str">
        <f t="shared" si="575"/>
        <v>116083</v>
      </c>
      <c r="C10042" t="str">
        <f t="shared" si="576"/>
        <v>61060</v>
      </c>
      <c r="D10042" t="s">
        <v>4555</v>
      </c>
      <c r="E10042">
        <v>247.2</v>
      </c>
      <c r="F10042">
        <v>20140603</v>
      </c>
      <c r="G10042" t="s">
        <v>4560</v>
      </c>
      <c r="H10042" t="s">
        <v>4558</v>
      </c>
      <c r="I10042" t="s">
        <v>66</v>
      </c>
    </row>
    <row r="10043" spans="1:9" x14ac:dyDescent="0.25">
      <c r="A10043">
        <v>20140605</v>
      </c>
      <c r="B10043" t="str">
        <f>"116084"</f>
        <v>116084</v>
      </c>
      <c r="C10043" t="str">
        <f>"84214"</f>
        <v>84214</v>
      </c>
      <c r="D10043" t="s">
        <v>431</v>
      </c>
      <c r="E10043">
        <v>40.5</v>
      </c>
      <c r="F10043">
        <v>20140605</v>
      </c>
      <c r="G10043" t="s">
        <v>410</v>
      </c>
      <c r="H10043" t="s">
        <v>411</v>
      </c>
      <c r="I10043" t="s">
        <v>12</v>
      </c>
    </row>
    <row r="10044" spans="1:9" x14ac:dyDescent="0.25">
      <c r="A10044">
        <v>20140605</v>
      </c>
      <c r="B10044" t="str">
        <f>"116085"</f>
        <v>116085</v>
      </c>
      <c r="C10044" t="str">
        <f>"81933"</f>
        <v>81933</v>
      </c>
      <c r="D10044" t="s">
        <v>432</v>
      </c>
      <c r="E10044">
        <v>58.05</v>
      </c>
      <c r="F10044">
        <v>20140605</v>
      </c>
      <c r="G10044" t="s">
        <v>410</v>
      </c>
      <c r="H10044" t="s">
        <v>411</v>
      </c>
      <c r="I10044" t="s">
        <v>12</v>
      </c>
    </row>
    <row r="10045" spans="1:9" x14ac:dyDescent="0.25">
      <c r="A10045">
        <v>20140605</v>
      </c>
      <c r="B10045" t="str">
        <f>"116086"</f>
        <v>116086</v>
      </c>
      <c r="C10045" t="str">
        <f>"62451"</f>
        <v>62451</v>
      </c>
      <c r="D10045" t="s">
        <v>1797</v>
      </c>
      <c r="E10045" s="1">
        <v>4610.5</v>
      </c>
      <c r="F10045">
        <v>20140603</v>
      </c>
      <c r="G10045" t="s">
        <v>39</v>
      </c>
      <c r="H10045" t="s">
        <v>4561</v>
      </c>
      <c r="I10045" t="s">
        <v>38</v>
      </c>
    </row>
    <row r="10046" spans="1:9" x14ac:dyDescent="0.25">
      <c r="A10046">
        <v>20140605</v>
      </c>
      <c r="B10046" t="str">
        <f>"116087"</f>
        <v>116087</v>
      </c>
      <c r="C10046" t="str">
        <f>"87463"</f>
        <v>87463</v>
      </c>
      <c r="D10046" t="s">
        <v>3433</v>
      </c>
      <c r="E10046">
        <v>54.72</v>
      </c>
      <c r="F10046">
        <v>20140604</v>
      </c>
      <c r="G10046" t="s">
        <v>3781</v>
      </c>
      <c r="H10046" t="s">
        <v>365</v>
      </c>
      <c r="I10046" t="s">
        <v>66</v>
      </c>
    </row>
    <row r="10047" spans="1:9" x14ac:dyDescent="0.25">
      <c r="A10047">
        <v>20140605</v>
      </c>
      <c r="B10047" t="str">
        <f>"116088"</f>
        <v>116088</v>
      </c>
      <c r="C10047" t="str">
        <f>"67570"</f>
        <v>67570</v>
      </c>
      <c r="D10047" t="s">
        <v>4562</v>
      </c>
      <c r="E10047">
        <v>95</v>
      </c>
      <c r="F10047">
        <v>20140603</v>
      </c>
      <c r="G10047" t="s">
        <v>1846</v>
      </c>
      <c r="H10047" t="s">
        <v>765</v>
      </c>
      <c r="I10047" t="s">
        <v>63</v>
      </c>
    </row>
    <row r="10048" spans="1:9" x14ac:dyDescent="0.25">
      <c r="A10048">
        <v>20140605</v>
      </c>
      <c r="B10048" t="str">
        <f>"116088"</f>
        <v>116088</v>
      </c>
      <c r="C10048" t="str">
        <f>"67570"</f>
        <v>67570</v>
      </c>
      <c r="D10048" t="s">
        <v>4562</v>
      </c>
      <c r="E10048">
        <v>95</v>
      </c>
      <c r="F10048">
        <v>20140603</v>
      </c>
      <c r="G10048" t="s">
        <v>1846</v>
      </c>
      <c r="H10048" t="s">
        <v>765</v>
      </c>
      <c r="I10048" t="s">
        <v>63</v>
      </c>
    </row>
    <row r="10049" spans="1:9" x14ac:dyDescent="0.25">
      <c r="A10049">
        <v>20140605</v>
      </c>
      <c r="B10049" t="str">
        <f>"116089"</f>
        <v>116089</v>
      </c>
      <c r="C10049" t="str">
        <f>"00391"</f>
        <v>00391</v>
      </c>
      <c r="D10049" t="s">
        <v>2894</v>
      </c>
      <c r="E10049">
        <v>60</v>
      </c>
      <c r="F10049">
        <v>20140603</v>
      </c>
      <c r="G10049" t="s">
        <v>1145</v>
      </c>
      <c r="H10049" t="s">
        <v>960</v>
      </c>
      <c r="I10049" t="s">
        <v>73</v>
      </c>
    </row>
    <row r="10050" spans="1:9" x14ac:dyDescent="0.25">
      <c r="A10050">
        <v>20140605</v>
      </c>
      <c r="B10050" t="str">
        <f>"116090"</f>
        <v>116090</v>
      </c>
      <c r="C10050" t="str">
        <f>"70776"</f>
        <v>70776</v>
      </c>
      <c r="D10050" t="s">
        <v>2413</v>
      </c>
      <c r="E10050">
        <v>55</v>
      </c>
      <c r="F10050">
        <v>20140604</v>
      </c>
      <c r="G10050" t="s">
        <v>1153</v>
      </c>
      <c r="H10050" t="s">
        <v>4563</v>
      </c>
      <c r="I10050" t="s">
        <v>61</v>
      </c>
    </row>
    <row r="10051" spans="1:9" x14ac:dyDescent="0.25">
      <c r="A10051">
        <v>20140605</v>
      </c>
      <c r="B10051" t="str">
        <f>"116091"</f>
        <v>116091</v>
      </c>
      <c r="C10051" t="str">
        <f>"87217"</f>
        <v>87217</v>
      </c>
      <c r="D10051" t="s">
        <v>1826</v>
      </c>
      <c r="E10051">
        <v>15.9</v>
      </c>
      <c r="F10051">
        <v>20140604</v>
      </c>
      <c r="G10051" t="s">
        <v>577</v>
      </c>
      <c r="H10051" t="s">
        <v>354</v>
      </c>
      <c r="I10051" t="s">
        <v>21</v>
      </c>
    </row>
    <row r="10052" spans="1:9" x14ac:dyDescent="0.25">
      <c r="A10052">
        <v>20140605</v>
      </c>
      <c r="B10052" t="str">
        <f>"116092"</f>
        <v>116092</v>
      </c>
      <c r="C10052" t="str">
        <f>"87879"</f>
        <v>87879</v>
      </c>
      <c r="D10052" t="s">
        <v>4564</v>
      </c>
      <c r="E10052">
        <v>100</v>
      </c>
      <c r="F10052">
        <v>20140603</v>
      </c>
      <c r="G10052" t="s">
        <v>959</v>
      </c>
      <c r="H10052" t="s">
        <v>2603</v>
      </c>
      <c r="I10052" t="s">
        <v>21</v>
      </c>
    </row>
    <row r="10053" spans="1:9" x14ac:dyDescent="0.25">
      <c r="A10053">
        <v>20140605</v>
      </c>
      <c r="B10053" t="str">
        <f>"116093"</f>
        <v>116093</v>
      </c>
      <c r="C10053" t="str">
        <f>"87876"</f>
        <v>87876</v>
      </c>
      <c r="D10053" t="s">
        <v>4565</v>
      </c>
      <c r="E10053">
        <v>50</v>
      </c>
      <c r="F10053">
        <v>20140603</v>
      </c>
      <c r="G10053" t="s">
        <v>323</v>
      </c>
      <c r="H10053" t="s">
        <v>4566</v>
      </c>
      <c r="I10053" t="s">
        <v>21</v>
      </c>
    </row>
    <row r="10054" spans="1:9" x14ac:dyDescent="0.25">
      <c r="A10054">
        <v>20140605</v>
      </c>
      <c r="B10054" t="str">
        <f>"116094"</f>
        <v>116094</v>
      </c>
      <c r="C10054" t="str">
        <f>"87616"</f>
        <v>87616</v>
      </c>
      <c r="D10054" t="s">
        <v>711</v>
      </c>
      <c r="E10054">
        <v>108</v>
      </c>
      <c r="F10054">
        <v>20140604</v>
      </c>
      <c r="G10054" t="s">
        <v>1030</v>
      </c>
      <c r="H10054" t="s">
        <v>3144</v>
      </c>
      <c r="I10054" t="s">
        <v>63</v>
      </c>
    </row>
    <row r="10055" spans="1:9" x14ac:dyDescent="0.25">
      <c r="A10055">
        <v>20140605</v>
      </c>
      <c r="B10055" t="str">
        <f>"116094"</f>
        <v>116094</v>
      </c>
      <c r="C10055" t="str">
        <f>"87616"</f>
        <v>87616</v>
      </c>
      <c r="D10055" t="s">
        <v>711</v>
      </c>
      <c r="E10055">
        <v>50</v>
      </c>
      <c r="F10055">
        <v>20140604</v>
      </c>
      <c r="G10055" t="s">
        <v>2365</v>
      </c>
      <c r="H10055" t="s">
        <v>2417</v>
      </c>
      <c r="I10055" t="s">
        <v>25</v>
      </c>
    </row>
    <row r="10056" spans="1:9" x14ac:dyDescent="0.25">
      <c r="A10056">
        <v>20140605</v>
      </c>
      <c r="B10056" t="str">
        <f>"116094"</f>
        <v>116094</v>
      </c>
      <c r="C10056" t="str">
        <f>"87616"</f>
        <v>87616</v>
      </c>
      <c r="D10056" t="s">
        <v>711</v>
      </c>
      <c r="E10056">
        <v>32</v>
      </c>
      <c r="F10056">
        <v>20140604</v>
      </c>
      <c r="G10056" t="s">
        <v>1193</v>
      </c>
      <c r="H10056" t="s">
        <v>4567</v>
      </c>
      <c r="I10056" t="s">
        <v>25</v>
      </c>
    </row>
    <row r="10057" spans="1:9" x14ac:dyDescent="0.25">
      <c r="A10057">
        <v>20140605</v>
      </c>
      <c r="B10057" t="str">
        <f>"116094"</f>
        <v>116094</v>
      </c>
      <c r="C10057" t="str">
        <f>"87616"</f>
        <v>87616</v>
      </c>
      <c r="D10057" t="s">
        <v>711</v>
      </c>
      <c r="E10057">
        <v>60</v>
      </c>
      <c r="F10057">
        <v>20140604</v>
      </c>
      <c r="G10057" t="s">
        <v>3900</v>
      </c>
      <c r="H10057" t="s">
        <v>3144</v>
      </c>
      <c r="I10057" t="s">
        <v>25</v>
      </c>
    </row>
    <row r="10058" spans="1:9" x14ac:dyDescent="0.25">
      <c r="A10058">
        <v>20140605</v>
      </c>
      <c r="B10058" t="str">
        <f>"116095"</f>
        <v>116095</v>
      </c>
      <c r="C10058" t="str">
        <f>"00372"</f>
        <v>00372</v>
      </c>
      <c r="D10058" t="s">
        <v>979</v>
      </c>
      <c r="E10058">
        <v>288.75</v>
      </c>
      <c r="F10058">
        <v>20140604</v>
      </c>
      <c r="G10058" t="s">
        <v>965</v>
      </c>
      <c r="H10058" t="s">
        <v>1109</v>
      </c>
      <c r="I10058" t="s">
        <v>21</v>
      </c>
    </row>
    <row r="10059" spans="1:9" x14ac:dyDescent="0.25">
      <c r="A10059">
        <v>20140605</v>
      </c>
      <c r="B10059" t="str">
        <f>"116095"</f>
        <v>116095</v>
      </c>
      <c r="C10059" t="str">
        <f>"00372"</f>
        <v>00372</v>
      </c>
      <c r="D10059" t="s">
        <v>979</v>
      </c>
      <c r="E10059">
        <v>36.25</v>
      </c>
      <c r="F10059">
        <v>20140604</v>
      </c>
      <c r="G10059" t="s">
        <v>1911</v>
      </c>
      <c r="H10059" t="s">
        <v>1109</v>
      </c>
      <c r="I10059" t="s">
        <v>21</v>
      </c>
    </row>
    <row r="10060" spans="1:9" x14ac:dyDescent="0.25">
      <c r="A10060">
        <v>20140605</v>
      </c>
      <c r="B10060" t="str">
        <f>"116096"</f>
        <v>116096</v>
      </c>
      <c r="C10060" t="str">
        <f>"87560"</f>
        <v>87560</v>
      </c>
      <c r="D10060" t="s">
        <v>2304</v>
      </c>
      <c r="E10060" s="1">
        <v>3000</v>
      </c>
      <c r="F10060">
        <v>20140604</v>
      </c>
      <c r="G10060" t="s">
        <v>1504</v>
      </c>
      <c r="H10060" t="s">
        <v>4568</v>
      </c>
      <c r="I10060" t="s">
        <v>21</v>
      </c>
    </row>
    <row r="10061" spans="1:9" x14ac:dyDescent="0.25">
      <c r="A10061">
        <v>20140605</v>
      </c>
      <c r="B10061" t="str">
        <f>"116097"</f>
        <v>116097</v>
      </c>
      <c r="C10061" t="str">
        <f>"81103"</f>
        <v>81103</v>
      </c>
      <c r="D10061" t="s">
        <v>4303</v>
      </c>
      <c r="E10061" s="1">
        <v>1000</v>
      </c>
      <c r="F10061">
        <v>20140604</v>
      </c>
      <c r="G10061" t="s">
        <v>4569</v>
      </c>
      <c r="H10061" t="s">
        <v>2848</v>
      </c>
      <c r="I10061" t="s">
        <v>38</v>
      </c>
    </row>
    <row r="10062" spans="1:9" x14ac:dyDescent="0.25">
      <c r="A10062">
        <v>20140605</v>
      </c>
      <c r="B10062" t="str">
        <f>"116098"</f>
        <v>116098</v>
      </c>
      <c r="C10062" t="str">
        <f>"86402"</f>
        <v>86402</v>
      </c>
      <c r="D10062" t="s">
        <v>4570</v>
      </c>
      <c r="E10062">
        <v>600</v>
      </c>
      <c r="F10062">
        <v>20140604</v>
      </c>
      <c r="G10062" t="s">
        <v>2495</v>
      </c>
      <c r="H10062" t="s">
        <v>4571</v>
      </c>
      <c r="I10062" t="s">
        <v>21</v>
      </c>
    </row>
    <row r="10063" spans="1:9" x14ac:dyDescent="0.25">
      <c r="A10063">
        <v>20140605</v>
      </c>
      <c r="B10063" t="str">
        <f>"116099"</f>
        <v>116099</v>
      </c>
      <c r="C10063" t="str">
        <f>"86467"</f>
        <v>86467</v>
      </c>
      <c r="D10063" t="s">
        <v>4306</v>
      </c>
      <c r="E10063">
        <v>28.8</v>
      </c>
      <c r="F10063">
        <v>20140605</v>
      </c>
      <c r="G10063" t="s">
        <v>410</v>
      </c>
      <c r="H10063" t="s">
        <v>411</v>
      </c>
      <c r="I10063" t="s">
        <v>12</v>
      </c>
    </row>
    <row r="10064" spans="1:9" x14ac:dyDescent="0.25">
      <c r="A10064">
        <v>20140605</v>
      </c>
      <c r="B10064" t="str">
        <f>"116100"</f>
        <v>116100</v>
      </c>
      <c r="C10064" t="str">
        <f>"76904"</f>
        <v>76904</v>
      </c>
      <c r="D10064" t="s">
        <v>1323</v>
      </c>
      <c r="E10064">
        <v>45</v>
      </c>
      <c r="F10064">
        <v>20140604</v>
      </c>
      <c r="G10064" t="s">
        <v>367</v>
      </c>
      <c r="H10064" t="s">
        <v>784</v>
      </c>
      <c r="I10064" t="s">
        <v>21</v>
      </c>
    </row>
    <row r="10065" spans="1:9" x14ac:dyDescent="0.25">
      <c r="A10065">
        <v>20140605</v>
      </c>
      <c r="B10065" t="str">
        <f>"116100"</f>
        <v>116100</v>
      </c>
      <c r="C10065" t="str">
        <f>"76904"</f>
        <v>76904</v>
      </c>
      <c r="D10065" t="s">
        <v>1323</v>
      </c>
      <c r="E10065">
        <v>55</v>
      </c>
      <c r="F10065">
        <v>20140604</v>
      </c>
      <c r="G10065" t="s">
        <v>367</v>
      </c>
      <c r="H10065" t="s">
        <v>784</v>
      </c>
      <c r="I10065" t="s">
        <v>21</v>
      </c>
    </row>
    <row r="10066" spans="1:9" x14ac:dyDescent="0.25">
      <c r="A10066">
        <v>20140605</v>
      </c>
      <c r="B10066" t="str">
        <f>"116101"</f>
        <v>116101</v>
      </c>
      <c r="C10066" t="str">
        <f>"76915"</f>
        <v>76915</v>
      </c>
      <c r="D10066" t="s">
        <v>1324</v>
      </c>
      <c r="E10066">
        <v>75.69</v>
      </c>
      <c r="F10066">
        <v>20140603</v>
      </c>
      <c r="G10066" t="s">
        <v>413</v>
      </c>
      <c r="H10066" t="s">
        <v>4572</v>
      </c>
      <c r="I10066" t="s">
        <v>21</v>
      </c>
    </row>
    <row r="10067" spans="1:9" x14ac:dyDescent="0.25">
      <c r="A10067">
        <v>20140605</v>
      </c>
      <c r="B10067" t="str">
        <f>"116102"</f>
        <v>116102</v>
      </c>
      <c r="C10067" t="str">
        <f>"85605"</f>
        <v>85605</v>
      </c>
      <c r="D10067" t="s">
        <v>1949</v>
      </c>
      <c r="E10067">
        <v>50.33</v>
      </c>
      <c r="F10067">
        <v>20140603</v>
      </c>
      <c r="G10067" t="s">
        <v>506</v>
      </c>
      <c r="H10067" t="s">
        <v>414</v>
      </c>
      <c r="I10067" t="s">
        <v>21</v>
      </c>
    </row>
    <row r="10068" spans="1:9" x14ac:dyDescent="0.25">
      <c r="A10068">
        <v>20140605</v>
      </c>
      <c r="B10068" t="str">
        <f>"116103"</f>
        <v>116103</v>
      </c>
      <c r="C10068" t="str">
        <f>"86588"</f>
        <v>86588</v>
      </c>
      <c r="D10068" t="s">
        <v>3977</v>
      </c>
      <c r="E10068" s="1">
        <v>6700</v>
      </c>
      <c r="F10068">
        <v>20140604</v>
      </c>
      <c r="G10068" t="s">
        <v>3899</v>
      </c>
      <c r="H10068" t="s">
        <v>4573</v>
      </c>
      <c r="I10068" t="s">
        <v>21</v>
      </c>
    </row>
    <row r="10069" spans="1:9" x14ac:dyDescent="0.25">
      <c r="A10069">
        <v>20140605</v>
      </c>
      <c r="B10069" t="str">
        <f>"116104"</f>
        <v>116104</v>
      </c>
      <c r="C10069" t="str">
        <f>"79400"</f>
        <v>79400</v>
      </c>
      <c r="D10069" t="s">
        <v>1328</v>
      </c>
      <c r="E10069" s="1">
        <v>32355.279999999999</v>
      </c>
      <c r="F10069">
        <v>20140604</v>
      </c>
      <c r="G10069" t="s">
        <v>1329</v>
      </c>
      <c r="H10069" t="s">
        <v>1330</v>
      </c>
      <c r="I10069" t="s">
        <v>21</v>
      </c>
    </row>
    <row r="10070" spans="1:9" x14ac:dyDescent="0.25">
      <c r="A10070">
        <v>20140605</v>
      </c>
      <c r="B10070" t="str">
        <f t="shared" ref="B10070:B10092" si="577">"116105"</f>
        <v>116105</v>
      </c>
      <c r="C10070" t="str">
        <f t="shared" ref="C10070:C10092" si="578">"80825"</f>
        <v>80825</v>
      </c>
      <c r="D10070" t="s">
        <v>747</v>
      </c>
      <c r="E10070" s="1">
        <v>2093.38</v>
      </c>
      <c r="F10070">
        <v>20140604</v>
      </c>
      <c r="G10070" t="s">
        <v>748</v>
      </c>
      <c r="H10070" t="s">
        <v>749</v>
      </c>
      <c r="I10070" t="s">
        <v>21</v>
      </c>
    </row>
    <row r="10071" spans="1:9" x14ac:dyDescent="0.25">
      <c r="A10071">
        <v>20140605</v>
      </c>
      <c r="B10071" t="str">
        <f t="shared" si="577"/>
        <v>116105</v>
      </c>
      <c r="C10071" t="str">
        <f t="shared" si="578"/>
        <v>80825</v>
      </c>
      <c r="D10071" t="s">
        <v>747</v>
      </c>
      <c r="E10071">
        <v>276.89999999999998</v>
      </c>
      <c r="F10071">
        <v>20140604</v>
      </c>
      <c r="G10071" t="s">
        <v>748</v>
      </c>
      <c r="H10071" t="s">
        <v>749</v>
      </c>
      <c r="I10071" t="s">
        <v>21</v>
      </c>
    </row>
    <row r="10072" spans="1:9" x14ac:dyDescent="0.25">
      <c r="A10072">
        <v>20140605</v>
      </c>
      <c r="B10072" t="str">
        <f t="shared" si="577"/>
        <v>116105</v>
      </c>
      <c r="C10072" t="str">
        <f t="shared" si="578"/>
        <v>80825</v>
      </c>
      <c r="D10072" t="s">
        <v>747</v>
      </c>
      <c r="E10072">
        <v>196.46</v>
      </c>
      <c r="F10072">
        <v>20140604</v>
      </c>
      <c r="G10072" t="s">
        <v>1551</v>
      </c>
      <c r="H10072" t="s">
        <v>749</v>
      </c>
      <c r="I10072" t="s">
        <v>21</v>
      </c>
    </row>
    <row r="10073" spans="1:9" x14ac:dyDescent="0.25">
      <c r="A10073">
        <v>20140605</v>
      </c>
      <c r="B10073" t="str">
        <f t="shared" si="577"/>
        <v>116105</v>
      </c>
      <c r="C10073" t="str">
        <f t="shared" si="578"/>
        <v>80825</v>
      </c>
      <c r="D10073" t="s">
        <v>747</v>
      </c>
      <c r="E10073">
        <v>670.6</v>
      </c>
      <c r="F10073">
        <v>20140604</v>
      </c>
      <c r="G10073" t="s">
        <v>750</v>
      </c>
      <c r="H10073" t="s">
        <v>749</v>
      </c>
      <c r="I10073" t="s">
        <v>21</v>
      </c>
    </row>
    <row r="10074" spans="1:9" x14ac:dyDescent="0.25">
      <c r="A10074">
        <v>20140605</v>
      </c>
      <c r="B10074" t="str">
        <f t="shared" si="577"/>
        <v>116105</v>
      </c>
      <c r="C10074" t="str">
        <f t="shared" si="578"/>
        <v>80825</v>
      </c>
      <c r="D10074" t="s">
        <v>747</v>
      </c>
      <c r="E10074">
        <v>670.6</v>
      </c>
      <c r="F10074">
        <v>20140604</v>
      </c>
      <c r="G10074" t="s">
        <v>750</v>
      </c>
      <c r="H10074" t="s">
        <v>749</v>
      </c>
      <c r="I10074" t="s">
        <v>21</v>
      </c>
    </row>
    <row r="10075" spans="1:9" x14ac:dyDescent="0.25">
      <c r="A10075">
        <v>20140605</v>
      </c>
      <c r="B10075" t="str">
        <f t="shared" si="577"/>
        <v>116105</v>
      </c>
      <c r="C10075" t="str">
        <f t="shared" si="578"/>
        <v>80825</v>
      </c>
      <c r="D10075" t="s">
        <v>747</v>
      </c>
      <c r="E10075">
        <v>670.6</v>
      </c>
      <c r="F10075">
        <v>20140604</v>
      </c>
      <c r="G10075" t="s">
        <v>752</v>
      </c>
      <c r="H10075" t="s">
        <v>749</v>
      </c>
      <c r="I10075" t="s">
        <v>21</v>
      </c>
    </row>
    <row r="10076" spans="1:9" x14ac:dyDescent="0.25">
      <c r="A10076">
        <v>20140605</v>
      </c>
      <c r="B10076" t="str">
        <f t="shared" si="577"/>
        <v>116105</v>
      </c>
      <c r="C10076" t="str">
        <f t="shared" si="578"/>
        <v>80825</v>
      </c>
      <c r="D10076" t="s">
        <v>747</v>
      </c>
      <c r="E10076">
        <v>582.95000000000005</v>
      </c>
      <c r="F10076">
        <v>20140604</v>
      </c>
      <c r="G10076" t="s">
        <v>753</v>
      </c>
      <c r="H10076" t="s">
        <v>749</v>
      </c>
      <c r="I10076" t="s">
        <v>21</v>
      </c>
    </row>
    <row r="10077" spans="1:9" x14ac:dyDescent="0.25">
      <c r="A10077">
        <v>20140605</v>
      </c>
      <c r="B10077" t="str">
        <f t="shared" si="577"/>
        <v>116105</v>
      </c>
      <c r="C10077" t="str">
        <f t="shared" si="578"/>
        <v>80825</v>
      </c>
      <c r="D10077" t="s">
        <v>747</v>
      </c>
      <c r="E10077">
        <v>582.95000000000005</v>
      </c>
      <c r="F10077">
        <v>20140604</v>
      </c>
      <c r="G10077" t="s">
        <v>753</v>
      </c>
      <c r="H10077" t="s">
        <v>749</v>
      </c>
      <c r="I10077" t="s">
        <v>21</v>
      </c>
    </row>
    <row r="10078" spans="1:9" x14ac:dyDescent="0.25">
      <c r="A10078">
        <v>20140605</v>
      </c>
      <c r="B10078" t="str">
        <f t="shared" si="577"/>
        <v>116105</v>
      </c>
      <c r="C10078" t="str">
        <f t="shared" si="578"/>
        <v>80825</v>
      </c>
      <c r="D10078" t="s">
        <v>747</v>
      </c>
      <c r="E10078">
        <v>582.95000000000005</v>
      </c>
      <c r="F10078">
        <v>20140604</v>
      </c>
      <c r="G10078" t="s">
        <v>754</v>
      </c>
      <c r="H10078" t="s">
        <v>749</v>
      </c>
      <c r="I10078" t="s">
        <v>21</v>
      </c>
    </row>
    <row r="10079" spans="1:9" x14ac:dyDescent="0.25">
      <c r="A10079">
        <v>20140605</v>
      </c>
      <c r="B10079" t="str">
        <f t="shared" si="577"/>
        <v>116105</v>
      </c>
      <c r="C10079" t="str">
        <f t="shared" si="578"/>
        <v>80825</v>
      </c>
      <c r="D10079" t="s">
        <v>747</v>
      </c>
      <c r="E10079">
        <v>582.95000000000005</v>
      </c>
      <c r="F10079">
        <v>20140604</v>
      </c>
      <c r="G10079" t="s">
        <v>754</v>
      </c>
      <c r="H10079" t="s">
        <v>749</v>
      </c>
      <c r="I10079" t="s">
        <v>21</v>
      </c>
    </row>
    <row r="10080" spans="1:9" x14ac:dyDescent="0.25">
      <c r="A10080">
        <v>20140605</v>
      </c>
      <c r="B10080" t="str">
        <f t="shared" si="577"/>
        <v>116105</v>
      </c>
      <c r="C10080" t="str">
        <f t="shared" si="578"/>
        <v>80825</v>
      </c>
      <c r="D10080" t="s">
        <v>747</v>
      </c>
      <c r="E10080">
        <v>582.95000000000005</v>
      </c>
      <c r="F10080">
        <v>20140604</v>
      </c>
      <c r="G10080" t="s">
        <v>990</v>
      </c>
      <c r="H10080" t="s">
        <v>749</v>
      </c>
      <c r="I10080" t="s">
        <v>21</v>
      </c>
    </row>
    <row r="10081" spans="1:9" x14ac:dyDescent="0.25">
      <c r="A10081">
        <v>20140605</v>
      </c>
      <c r="B10081" t="str">
        <f t="shared" si="577"/>
        <v>116105</v>
      </c>
      <c r="C10081" t="str">
        <f t="shared" si="578"/>
        <v>80825</v>
      </c>
      <c r="D10081" t="s">
        <v>747</v>
      </c>
      <c r="E10081">
        <v>582.95000000000005</v>
      </c>
      <c r="F10081">
        <v>20140604</v>
      </c>
      <c r="G10081" t="s">
        <v>990</v>
      </c>
      <c r="H10081" t="s">
        <v>749</v>
      </c>
      <c r="I10081" t="s">
        <v>21</v>
      </c>
    </row>
    <row r="10082" spans="1:9" x14ac:dyDescent="0.25">
      <c r="A10082">
        <v>20140605</v>
      </c>
      <c r="B10082" t="str">
        <f t="shared" si="577"/>
        <v>116105</v>
      </c>
      <c r="C10082" t="str">
        <f t="shared" si="578"/>
        <v>80825</v>
      </c>
      <c r="D10082" t="s">
        <v>747</v>
      </c>
      <c r="E10082">
        <v>582.95000000000005</v>
      </c>
      <c r="F10082">
        <v>20140604</v>
      </c>
      <c r="G10082" t="s">
        <v>755</v>
      </c>
      <c r="H10082" t="s">
        <v>749</v>
      </c>
      <c r="I10082" t="s">
        <v>21</v>
      </c>
    </row>
    <row r="10083" spans="1:9" x14ac:dyDescent="0.25">
      <c r="A10083">
        <v>20140605</v>
      </c>
      <c r="B10083" t="str">
        <f t="shared" si="577"/>
        <v>116105</v>
      </c>
      <c r="C10083" t="str">
        <f t="shared" si="578"/>
        <v>80825</v>
      </c>
      <c r="D10083" t="s">
        <v>747</v>
      </c>
      <c r="E10083">
        <v>582.95000000000005</v>
      </c>
      <c r="F10083">
        <v>20140604</v>
      </c>
      <c r="G10083" t="s">
        <v>756</v>
      </c>
      <c r="H10083" t="s">
        <v>749</v>
      </c>
      <c r="I10083" t="s">
        <v>21</v>
      </c>
    </row>
    <row r="10084" spans="1:9" x14ac:dyDescent="0.25">
      <c r="A10084">
        <v>20140605</v>
      </c>
      <c r="B10084" t="str">
        <f t="shared" si="577"/>
        <v>116105</v>
      </c>
      <c r="C10084" t="str">
        <f t="shared" si="578"/>
        <v>80825</v>
      </c>
      <c r="D10084" t="s">
        <v>747</v>
      </c>
      <c r="E10084">
        <v>582.95000000000005</v>
      </c>
      <c r="F10084">
        <v>20140604</v>
      </c>
      <c r="G10084" t="s">
        <v>756</v>
      </c>
      <c r="H10084" t="s">
        <v>749</v>
      </c>
      <c r="I10084" t="s">
        <v>21</v>
      </c>
    </row>
    <row r="10085" spans="1:9" x14ac:dyDescent="0.25">
      <c r="A10085">
        <v>20140605</v>
      </c>
      <c r="B10085" t="str">
        <f t="shared" si="577"/>
        <v>116105</v>
      </c>
      <c r="C10085" t="str">
        <f t="shared" si="578"/>
        <v>80825</v>
      </c>
      <c r="D10085" t="s">
        <v>747</v>
      </c>
      <c r="E10085">
        <v>133.91</v>
      </c>
      <c r="F10085">
        <v>20140604</v>
      </c>
      <c r="G10085" t="s">
        <v>757</v>
      </c>
      <c r="H10085" t="s">
        <v>749</v>
      </c>
      <c r="I10085" t="s">
        <v>21</v>
      </c>
    </row>
    <row r="10086" spans="1:9" x14ac:dyDescent="0.25">
      <c r="A10086">
        <v>20140605</v>
      </c>
      <c r="B10086" t="str">
        <f t="shared" si="577"/>
        <v>116105</v>
      </c>
      <c r="C10086" t="str">
        <f t="shared" si="578"/>
        <v>80825</v>
      </c>
      <c r="D10086" t="s">
        <v>747</v>
      </c>
      <c r="E10086">
        <v>65.48</v>
      </c>
      <c r="F10086">
        <v>20140604</v>
      </c>
      <c r="G10086" t="s">
        <v>757</v>
      </c>
      <c r="H10086" t="s">
        <v>749</v>
      </c>
      <c r="I10086" t="s">
        <v>21</v>
      </c>
    </row>
    <row r="10087" spans="1:9" x14ac:dyDescent="0.25">
      <c r="A10087">
        <v>20140605</v>
      </c>
      <c r="B10087" t="str">
        <f t="shared" si="577"/>
        <v>116105</v>
      </c>
      <c r="C10087" t="str">
        <f t="shared" si="578"/>
        <v>80825</v>
      </c>
      <c r="D10087" t="s">
        <v>747</v>
      </c>
      <c r="E10087">
        <v>82.75</v>
      </c>
      <c r="F10087">
        <v>20140604</v>
      </c>
      <c r="G10087" t="s">
        <v>758</v>
      </c>
      <c r="H10087" t="s">
        <v>749</v>
      </c>
      <c r="I10087" t="s">
        <v>21</v>
      </c>
    </row>
    <row r="10088" spans="1:9" x14ac:dyDescent="0.25">
      <c r="A10088">
        <v>20140605</v>
      </c>
      <c r="B10088" t="str">
        <f t="shared" si="577"/>
        <v>116105</v>
      </c>
      <c r="C10088" t="str">
        <f t="shared" si="578"/>
        <v>80825</v>
      </c>
      <c r="D10088" t="s">
        <v>747</v>
      </c>
      <c r="E10088">
        <v>133.9</v>
      </c>
      <c r="F10088">
        <v>20140604</v>
      </c>
      <c r="G10088" t="s">
        <v>544</v>
      </c>
      <c r="H10088" t="s">
        <v>749</v>
      </c>
      <c r="I10088" t="s">
        <v>21</v>
      </c>
    </row>
    <row r="10089" spans="1:9" x14ac:dyDescent="0.25">
      <c r="A10089">
        <v>20140605</v>
      </c>
      <c r="B10089" t="str">
        <f t="shared" si="577"/>
        <v>116105</v>
      </c>
      <c r="C10089" t="str">
        <f t="shared" si="578"/>
        <v>80825</v>
      </c>
      <c r="D10089" t="s">
        <v>747</v>
      </c>
      <c r="E10089">
        <v>65.48</v>
      </c>
      <c r="F10089">
        <v>20140604</v>
      </c>
      <c r="G10089" t="s">
        <v>544</v>
      </c>
      <c r="H10089" t="s">
        <v>749</v>
      </c>
      <c r="I10089" t="s">
        <v>21</v>
      </c>
    </row>
    <row r="10090" spans="1:9" x14ac:dyDescent="0.25">
      <c r="A10090">
        <v>20140605</v>
      </c>
      <c r="B10090" t="str">
        <f t="shared" si="577"/>
        <v>116105</v>
      </c>
      <c r="C10090" t="str">
        <f t="shared" si="578"/>
        <v>80825</v>
      </c>
      <c r="D10090" t="s">
        <v>747</v>
      </c>
      <c r="E10090">
        <v>133.9</v>
      </c>
      <c r="F10090">
        <v>20140604</v>
      </c>
      <c r="G10090" t="s">
        <v>545</v>
      </c>
      <c r="H10090" t="s">
        <v>749</v>
      </c>
      <c r="I10090" t="s">
        <v>21</v>
      </c>
    </row>
    <row r="10091" spans="1:9" x14ac:dyDescent="0.25">
      <c r="A10091">
        <v>20140605</v>
      </c>
      <c r="B10091" t="str">
        <f t="shared" si="577"/>
        <v>116105</v>
      </c>
      <c r="C10091" t="str">
        <f t="shared" si="578"/>
        <v>80825</v>
      </c>
      <c r="D10091" t="s">
        <v>747</v>
      </c>
      <c r="E10091">
        <v>65.5</v>
      </c>
      <c r="F10091">
        <v>20140604</v>
      </c>
      <c r="G10091" t="s">
        <v>545</v>
      </c>
      <c r="H10091" t="s">
        <v>749</v>
      </c>
      <c r="I10091" t="s">
        <v>21</v>
      </c>
    </row>
    <row r="10092" spans="1:9" x14ac:dyDescent="0.25">
      <c r="A10092">
        <v>20140605</v>
      </c>
      <c r="B10092" t="str">
        <f t="shared" si="577"/>
        <v>116105</v>
      </c>
      <c r="C10092" t="str">
        <f t="shared" si="578"/>
        <v>80825</v>
      </c>
      <c r="D10092" t="s">
        <v>747</v>
      </c>
      <c r="E10092">
        <v>196.46</v>
      </c>
      <c r="F10092">
        <v>20140604</v>
      </c>
      <c r="G10092" t="s">
        <v>759</v>
      </c>
      <c r="H10092" t="s">
        <v>749</v>
      </c>
      <c r="I10092" t="s">
        <v>12</v>
      </c>
    </row>
    <row r="10093" spans="1:9" x14ac:dyDescent="0.25">
      <c r="A10093">
        <v>20140612</v>
      </c>
      <c r="B10093" t="str">
        <f t="shared" ref="B10093:B10098" si="579">"116106"</f>
        <v>116106</v>
      </c>
      <c r="C10093" t="str">
        <f t="shared" ref="C10093:C10098" si="580">"86997"</f>
        <v>86997</v>
      </c>
      <c r="D10093" t="s">
        <v>2098</v>
      </c>
      <c r="E10093" s="1">
        <v>3090.55</v>
      </c>
      <c r="F10093">
        <v>20140606</v>
      </c>
      <c r="G10093" t="s">
        <v>3820</v>
      </c>
      <c r="H10093" t="s">
        <v>414</v>
      </c>
      <c r="I10093" t="s">
        <v>21</v>
      </c>
    </row>
    <row r="10094" spans="1:9" x14ac:dyDescent="0.25">
      <c r="A10094">
        <v>20140612</v>
      </c>
      <c r="B10094" t="str">
        <f t="shared" si="579"/>
        <v>116106</v>
      </c>
      <c r="C10094" t="str">
        <f t="shared" si="580"/>
        <v>86997</v>
      </c>
      <c r="D10094" t="s">
        <v>2098</v>
      </c>
      <c r="E10094" s="1">
        <v>3221.13</v>
      </c>
      <c r="F10094">
        <v>20140606</v>
      </c>
      <c r="G10094" t="s">
        <v>3820</v>
      </c>
      <c r="H10094" t="s">
        <v>414</v>
      </c>
      <c r="I10094" t="s">
        <v>21</v>
      </c>
    </row>
    <row r="10095" spans="1:9" x14ac:dyDescent="0.25">
      <c r="A10095">
        <v>20140612</v>
      </c>
      <c r="B10095" t="str">
        <f t="shared" si="579"/>
        <v>116106</v>
      </c>
      <c r="C10095" t="str">
        <f t="shared" si="580"/>
        <v>86997</v>
      </c>
      <c r="D10095" t="s">
        <v>2098</v>
      </c>
      <c r="E10095" s="1">
        <v>1259.3699999999999</v>
      </c>
      <c r="F10095">
        <v>20140606</v>
      </c>
      <c r="G10095" t="s">
        <v>3820</v>
      </c>
      <c r="H10095" t="s">
        <v>414</v>
      </c>
      <c r="I10095" t="s">
        <v>21</v>
      </c>
    </row>
    <row r="10096" spans="1:9" x14ac:dyDescent="0.25">
      <c r="A10096">
        <v>20140612</v>
      </c>
      <c r="B10096" t="str">
        <f t="shared" si="579"/>
        <v>116106</v>
      </c>
      <c r="C10096" t="str">
        <f t="shared" si="580"/>
        <v>86997</v>
      </c>
      <c r="D10096" t="s">
        <v>2098</v>
      </c>
      <c r="E10096" s="1">
        <v>4003.22</v>
      </c>
      <c r="F10096">
        <v>20140606</v>
      </c>
      <c r="G10096" t="s">
        <v>3820</v>
      </c>
      <c r="H10096" t="s">
        <v>414</v>
      </c>
      <c r="I10096" t="s">
        <v>21</v>
      </c>
    </row>
    <row r="10097" spans="1:9" x14ac:dyDescent="0.25">
      <c r="A10097">
        <v>20140612</v>
      </c>
      <c r="B10097" t="str">
        <f t="shared" si="579"/>
        <v>116106</v>
      </c>
      <c r="C10097" t="str">
        <f t="shared" si="580"/>
        <v>86997</v>
      </c>
      <c r="D10097" t="s">
        <v>2098</v>
      </c>
      <c r="E10097">
        <v>529.34</v>
      </c>
      <c r="F10097">
        <v>20140611</v>
      </c>
      <c r="G10097" t="s">
        <v>3820</v>
      </c>
      <c r="H10097" t="s">
        <v>414</v>
      </c>
      <c r="I10097" t="s">
        <v>21</v>
      </c>
    </row>
    <row r="10098" spans="1:9" x14ac:dyDescent="0.25">
      <c r="A10098">
        <v>20140612</v>
      </c>
      <c r="B10098" t="str">
        <f t="shared" si="579"/>
        <v>116106</v>
      </c>
      <c r="C10098" t="str">
        <f t="shared" si="580"/>
        <v>86997</v>
      </c>
      <c r="D10098" t="s">
        <v>2098</v>
      </c>
      <c r="E10098">
        <v>66.64</v>
      </c>
      <c r="F10098">
        <v>20140611</v>
      </c>
      <c r="G10098" t="s">
        <v>3820</v>
      </c>
      <c r="H10098" t="s">
        <v>414</v>
      </c>
      <c r="I10098" t="s">
        <v>21</v>
      </c>
    </row>
    <row r="10099" spans="1:9" x14ac:dyDescent="0.25">
      <c r="A10099">
        <v>20140612</v>
      </c>
      <c r="B10099" t="str">
        <f>"116107"</f>
        <v>116107</v>
      </c>
      <c r="C10099" t="str">
        <f>"87769"</f>
        <v>87769</v>
      </c>
      <c r="D10099" t="s">
        <v>3462</v>
      </c>
      <c r="E10099">
        <v>47.88</v>
      </c>
      <c r="F10099">
        <v>20140611</v>
      </c>
      <c r="G10099" t="s">
        <v>1227</v>
      </c>
      <c r="H10099" t="s">
        <v>563</v>
      </c>
      <c r="I10099" t="s">
        <v>21</v>
      </c>
    </row>
    <row r="10100" spans="1:9" x14ac:dyDescent="0.25">
      <c r="A10100">
        <v>20140612</v>
      </c>
      <c r="B10100" t="str">
        <f>"116107"</f>
        <v>116107</v>
      </c>
      <c r="C10100" t="str">
        <f>"87769"</f>
        <v>87769</v>
      </c>
      <c r="D10100" t="s">
        <v>3462</v>
      </c>
      <c r="E10100">
        <v>5.64</v>
      </c>
      <c r="F10100">
        <v>20140609</v>
      </c>
      <c r="G10100" t="s">
        <v>1247</v>
      </c>
      <c r="H10100" t="s">
        <v>354</v>
      </c>
      <c r="I10100" t="s">
        <v>66</v>
      </c>
    </row>
    <row r="10101" spans="1:9" x14ac:dyDescent="0.25">
      <c r="A10101">
        <v>20140612</v>
      </c>
      <c r="B10101" t="str">
        <f>"116108"</f>
        <v>116108</v>
      </c>
      <c r="C10101" t="str">
        <f>"87892"</f>
        <v>87892</v>
      </c>
      <c r="D10101" t="s">
        <v>4574</v>
      </c>
      <c r="E10101">
        <v>570</v>
      </c>
      <c r="F10101">
        <v>20140611</v>
      </c>
      <c r="G10101" t="s">
        <v>734</v>
      </c>
      <c r="H10101" t="s">
        <v>4575</v>
      </c>
      <c r="I10101" t="s">
        <v>21</v>
      </c>
    </row>
    <row r="10102" spans="1:9" x14ac:dyDescent="0.25">
      <c r="A10102">
        <v>20140612</v>
      </c>
      <c r="B10102" t="str">
        <f>"116109"</f>
        <v>116109</v>
      </c>
      <c r="C10102" t="str">
        <f>"86517"</f>
        <v>86517</v>
      </c>
      <c r="D10102" t="s">
        <v>2101</v>
      </c>
      <c r="E10102">
        <v>798</v>
      </c>
      <c r="F10102">
        <v>20140611</v>
      </c>
      <c r="G10102" t="s">
        <v>404</v>
      </c>
      <c r="H10102" t="s">
        <v>2218</v>
      </c>
      <c r="I10102" t="s">
        <v>12</v>
      </c>
    </row>
    <row r="10103" spans="1:9" x14ac:dyDescent="0.25">
      <c r="A10103">
        <v>20140612</v>
      </c>
      <c r="B10103" t="str">
        <f>"116110"</f>
        <v>116110</v>
      </c>
      <c r="C10103" t="str">
        <f>"01840"</f>
        <v>01840</v>
      </c>
      <c r="D10103" t="s">
        <v>3096</v>
      </c>
      <c r="E10103">
        <v>204</v>
      </c>
      <c r="F10103">
        <v>20140611</v>
      </c>
      <c r="G10103" t="s">
        <v>367</v>
      </c>
      <c r="H10103" t="s">
        <v>357</v>
      </c>
      <c r="I10103" t="s">
        <v>21</v>
      </c>
    </row>
    <row r="10104" spans="1:9" x14ac:dyDescent="0.25">
      <c r="A10104">
        <v>20140612</v>
      </c>
      <c r="B10104" t="str">
        <f>"116110"</f>
        <v>116110</v>
      </c>
      <c r="C10104" t="str">
        <f>"01840"</f>
        <v>01840</v>
      </c>
      <c r="D10104" t="s">
        <v>3096</v>
      </c>
      <c r="E10104">
        <v>100</v>
      </c>
      <c r="F10104">
        <v>20140611</v>
      </c>
      <c r="G10104" t="s">
        <v>3122</v>
      </c>
      <c r="H10104" t="s">
        <v>4576</v>
      </c>
      <c r="I10104" t="s">
        <v>244</v>
      </c>
    </row>
    <row r="10105" spans="1:9" x14ac:dyDescent="0.25">
      <c r="A10105">
        <v>20140612</v>
      </c>
      <c r="B10105" t="str">
        <f t="shared" ref="B10105:B10112" si="581">"116111"</f>
        <v>116111</v>
      </c>
      <c r="C10105" t="str">
        <f t="shared" ref="C10105:C10112" si="582">"01890"</f>
        <v>01890</v>
      </c>
      <c r="D10105" t="s">
        <v>447</v>
      </c>
      <c r="E10105">
        <v>51</v>
      </c>
      <c r="F10105">
        <v>20140606</v>
      </c>
      <c r="G10105" t="s">
        <v>1338</v>
      </c>
      <c r="H10105" t="s">
        <v>414</v>
      </c>
      <c r="I10105" t="s">
        <v>21</v>
      </c>
    </row>
    <row r="10106" spans="1:9" x14ac:dyDescent="0.25">
      <c r="A10106">
        <v>20140612</v>
      </c>
      <c r="B10106" t="str">
        <f t="shared" si="581"/>
        <v>116111</v>
      </c>
      <c r="C10106" t="str">
        <f t="shared" si="582"/>
        <v>01890</v>
      </c>
      <c r="D10106" t="s">
        <v>447</v>
      </c>
      <c r="E10106">
        <v>155.15</v>
      </c>
      <c r="F10106">
        <v>20140606</v>
      </c>
      <c r="G10106" t="s">
        <v>448</v>
      </c>
      <c r="H10106" t="s">
        <v>414</v>
      </c>
      <c r="I10106" t="s">
        <v>21</v>
      </c>
    </row>
    <row r="10107" spans="1:9" x14ac:dyDescent="0.25">
      <c r="A10107">
        <v>20140612</v>
      </c>
      <c r="B10107" t="str">
        <f t="shared" si="581"/>
        <v>116111</v>
      </c>
      <c r="C10107" t="str">
        <f t="shared" si="582"/>
        <v>01890</v>
      </c>
      <c r="D10107" t="s">
        <v>447</v>
      </c>
      <c r="E10107">
        <v>146.76</v>
      </c>
      <c r="F10107">
        <v>20140606</v>
      </c>
      <c r="G10107" t="s">
        <v>496</v>
      </c>
      <c r="H10107" t="s">
        <v>414</v>
      </c>
      <c r="I10107" t="s">
        <v>21</v>
      </c>
    </row>
    <row r="10108" spans="1:9" x14ac:dyDescent="0.25">
      <c r="A10108">
        <v>20140612</v>
      </c>
      <c r="B10108" t="str">
        <f t="shared" si="581"/>
        <v>116111</v>
      </c>
      <c r="C10108" t="str">
        <f t="shared" si="582"/>
        <v>01890</v>
      </c>
      <c r="D10108" t="s">
        <v>447</v>
      </c>
      <c r="E10108">
        <v>20.440000000000001</v>
      </c>
      <c r="F10108">
        <v>20140606</v>
      </c>
      <c r="G10108" t="s">
        <v>392</v>
      </c>
      <c r="H10108" t="s">
        <v>414</v>
      </c>
      <c r="I10108" t="s">
        <v>21</v>
      </c>
    </row>
    <row r="10109" spans="1:9" x14ac:dyDescent="0.25">
      <c r="A10109">
        <v>20140612</v>
      </c>
      <c r="B10109" t="str">
        <f t="shared" si="581"/>
        <v>116111</v>
      </c>
      <c r="C10109" t="str">
        <f t="shared" si="582"/>
        <v>01890</v>
      </c>
      <c r="D10109" t="s">
        <v>447</v>
      </c>
      <c r="E10109">
        <v>20.28</v>
      </c>
      <c r="F10109">
        <v>20140606</v>
      </c>
      <c r="G10109" t="s">
        <v>181</v>
      </c>
      <c r="H10109" t="s">
        <v>414</v>
      </c>
      <c r="I10109" t="s">
        <v>38</v>
      </c>
    </row>
    <row r="10110" spans="1:9" x14ac:dyDescent="0.25">
      <c r="A10110">
        <v>20140612</v>
      </c>
      <c r="B10110" t="str">
        <f t="shared" si="581"/>
        <v>116111</v>
      </c>
      <c r="C10110" t="str">
        <f t="shared" si="582"/>
        <v>01890</v>
      </c>
      <c r="D10110" t="s">
        <v>447</v>
      </c>
      <c r="E10110">
        <v>52.9</v>
      </c>
      <c r="F10110">
        <v>20140606</v>
      </c>
      <c r="G10110" t="s">
        <v>181</v>
      </c>
      <c r="H10110" t="s">
        <v>414</v>
      </c>
      <c r="I10110" t="s">
        <v>38</v>
      </c>
    </row>
    <row r="10111" spans="1:9" x14ac:dyDescent="0.25">
      <c r="A10111">
        <v>20140612</v>
      </c>
      <c r="B10111" t="str">
        <f t="shared" si="581"/>
        <v>116111</v>
      </c>
      <c r="C10111" t="str">
        <f t="shared" si="582"/>
        <v>01890</v>
      </c>
      <c r="D10111" t="s">
        <v>447</v>
      </c>
      <c r="E10111">
        <v>116.73</v>
      </c>
      <c r="F10111">
        <v>20140606</v>
      </c>
      <c r="G10111" t="s">
        <v>181</v>
      </c>
      <c r="H10111" t="s">
        <v>414</v>
      </c>
      <c r="I10111" t="s">
        <v>38</v>
      </c>
    </row>
    <row r="10112" spans="1:9" x14ac:dyDescent="0.25">
      <c r="A10112">
        <v>20140612</v>
      </c>
      <c r="B10112" t="str">
        <f t="shared" si="581"/>
        <v>116111</v>
      </c>
      <c r="C10112" t="str">
        <f t="shared" si="582"/>
        <v>01890</v>
      </c>
      <c r="D10112" t="s">
        <v>447</v>
      </c>
      <c r="E10112">
        <v>152.93</v>
      </c>
      <c r="F10112">
        <v>20140606</v>
      </c>
      <c r="G10112" t="s">
        <v>181</v>
      </c>
      <c r="H10112" t="s">
        <v>414</v>
      </c>
      <c r="I10112" t="s">
        <v>38</v>
      </c>
    </row>
    <row r="10113" spans="1:9" x14ac:dyDescent="0.25">
      <c r="A10113">
        <v>20140612</v>
      </c>
      <c r="B10113" t="str">
        <f>"116112"</f>
        <v>116112</v>
      </c>
      <c r="C10113" t="str">
        <f>"86889"</f>
        <v>86889</v>
      </c>
      <c r="D10113" t="s">
        <v>449</v>
      </c>
      <c r="E10113">
        <v>402.5</v>
      </c>
      <c r="F10113">
        <v>20140606</v>
      </c>
      <c r="G10113" t="s">
        <v>621</v>
      </c>
      <c r="H10113" t="s">
        <v>4577</v>
      </c>
      <c r="I10113" t="s">
        <v>21</v>
      </c>
    </row>
    <row r="10114" spans="1:9" x14ac:dyDescent="0.25">
      <c r="A10114">
        <v>20140612</v>
      </c>
      <c r="B10114" t="str">
        <f>"116112"</f>
        <v>116112</v>
      </c>
      <c r="C10114" t="str">
        <f>"86889"</f>
        <v>86889</v>
      </c>
      <c r="D10114" t="s">
        <v>449</v>
      </c>
      <c r="E10114">
        <v>127.5</v>
      </c>
      <c r="F10114">
        <v>20140606</v>
      </c>
      <c r="G10114" t="s">
        <v>524</v>
      </c>
      <c r="H10114" t="s">
        <v>4577</v>
      </c>
      <c r="I10114" t="s">
        <v>21</v>
      </c>
    </row>
    <row r="10115" spans="1:9" x14ac:dyDescent="0.25">
      <c r="A10115">
        <v>20140612</v>
      </c>
      <c r="B10115" t="str">
        <f t="shared" ref="B10115:B10128" si="583">"116113"</f>
        <v>116113</v>
      </c>
      <c r="C10115" t="str">
        <f t="shared" ref="C10115:C10129" si="584">"52460"</f>
        <v>52460</v>
      </c>
      <c r="D10115" t="s">
        <v>452</v>
      </c>
      <c r="E10115">
        <v>418.19</v>
      </c>
      <c r="F10115">
        <v>20140611</v>
      </c>
      <c r="G10115" t="s">
        <v>453</v>
      </c>
      <c r="H10115" t="s">
        <v>4578</v>
      </c>
      <c r="I10115" t="s">
        <v>21</v>
      </c>
    </row>
    <row r="10116" spans="1:9" x14ac:dyDescent="0.25">
      <c r="A10116">
        <v>20140612</v>
      </c>
      <c r="B10116" t="str">
        <f t="shared" si="583"/>
        <v>116113</v>
      </c>
      <c r="C10116" t="str">
        <f t="shared" si="584"/>
        <v>52460</v>
      </c>
      <c r="D10116" t="s">
        <v>452</v>
      </c>
      <c r="E10116" s="1">
        <v>2327.75</v>
      </c>
      <c r="F10116">
        <v>20140611</v>
      </c>
      <c r="G10116" t="s">
        <v>455</v>
      </c>
      <c r="H10116" t="s">
        <v>4578</v>
      </c>
      <c r="I10116" t="s">
        <v>21</v>
      </c>
    </row>
    <row r="10117" spans="1:9" x14ac:dyDescent="0.25">
      <c r="A10117">
        <v>20140612</v>
      </c>
      <c r="B10117" t="str">
        <f t="shared" si="583"/>
        <v>116113</v>
      </c>
      <c r="C10117" t="str">
        <f t="shared" si="584"/>
        <v>52460</v>
      </c>
      <c r="D10117" t="s">
        <v>452</v>
      </c>
      <c r="E10117" s="1">
        <v>1149.4000000000001</v>
      </c>
      <c r="F10117">
        <v>20140611</v>
      </c>
      <c r="G10117" t="s">
        <v>456</v>
      </c>
      <c r="H10117" t="s">
        <v>454</v>
      </c>
      <c r="I10117" t="s">
        <v>21</v>
      </c>
    </row>
    <row r="10118" spans="1:9" x14ac:dyDescent="0.25">
      <c r="A10118">
        <v>20140612</v>
      </c>
      <c r="B10118" t="str">
        <f t="shared" si="583"/>
        <v>116113</v>
      </c>
      <c r="C10118" t="str">
        <f t="shared" si="584"/>
        <v>52460</v>
      </c>
      <c r="D10118" t="s">
        <v>452</v>
      </c>
      <c r="E10118" s="1">
        <v>1046.8399999999999</v>
      </c>
      <c r="F10118">
        <v>20140611</v>
      </c>
      <c r="G10118" t="s">
        <v>457</v>
      </c>
      <c r="H10118" t="s">
        <v>454</v>
      </c>
      <c r="I10118" t="s">
        <v>21</v>
      </c>
    </row>
    <row r="10119" spans="1:9" x14ac:dyDescent="0.25">
      <c r="A10119">
        <v>20140612</v>
      </c>
      <c r="B10119" t="str">
        <f t="shared" si="583"/>
        <v>116113</v>
      </c>
      <c r="C10119" t="str">
        <f t="shared" si="584"/>
        <v>52460</v>
      </c>
      <c r="D10119" t="s">
        <v>452</v>
      </c>
      <c r="E10119">
        <v>917.97</v>
      </c>
      <c r="F10119">
        <v>20140611</v>
      </c>
      <c r="G10119" t="s">
        <v>458</v>
      </c>
      <c r="H10119" t="s">
        <v>454</v>
      </c>
      <c r="I10119" t="s">
        <v>21</v>
      </c>
    </row>
    <row r="10120" spans="1:9" x14ac:dyDescent="0.25">
      <c r="A10120">
        <v>20140612</v>
      </c>
      <c r="B10120" t="str">
        <f t="shared" si="583"/>
        <v>116113</v>
      </c>
      <c r="C10120" t="str">
        <f t="shared" si="584"/>
        <v>52460</v>
      </c>
      <c r="D10120" t="s">
        <v>452</v>
      </c>
      <c r="E10120" s="1">
        <v>1046.8399999999999</v>
      </c>
      <c r="F10120">
        <v>20140611</v>
      </c>
      <c r="G10120" t="s">
        <v>459</v>
      </c>
      <c r="H10120" t="s">
        <v>454</v>
      </c>
      <c r="I10120" t="s">
        <v>21</v>
      </c>
    </row>
    <row r="10121" spans="1:9" x14ac:dyDescent="0.25">
      <c r="A10121">
        <v>20140612</v>
      </c>
      <c r="B10121" t="str">
        <f t="shared" si="583"/>
        <v>116113</v>
      </c>
      <c r="C10121" t="str">
        <f t="shared" si="584"/>
        <v>52460</v>
      </c>
      <c r="D10121" t="s">
        <v>452</v>
      </c>
      <c r="E10121">
        <v>975.84</v>
      </c>
      <c r="F10121">
        <v>20140611</v>
      </c>
      <c r="G10121" t="s">
        <v>460</v>
      </c>
      <c r="H10121" t="s">
        <v>454</v>
      </c>
      <c r="I10121" t="s">
        <v>21</v>
      </c>
    </row>
    <row r="10122" spans="1:9" x14ac:dyDescent="0.25">
      <c r="A10122">
        <v>20140612</v>
      </c>
      <c r="B10122" t="str">
        <f t="shared" si="583"/>
        <v>116113</v>
      </c>
      <c r="C10122" t="str">
        <f t="shared" si="584"/>
        <v>52460</v>
      </c>
      <c r="D10122" t="s">
        <v>452</v>
      </c>
      <c r="E10122">
        <v>602.36</v>
      </c>
      <c r="F10122">
        <v>20140611</v>
      </c>
      <c r="G10122" t="s">
        <v>461</v>
      </c>
      <c r="H10122" t="s">
        <v>454</v>
      </c>
      <c r="I10122" t="s">
        <v>21</v>
      </c>
    </row>
    <row r="10123" spans="1:9" x14ac:dyDescent="0.25">
      <c r="A10123">
        <v>20140612</v>
      </c>
      <c r="B10123" t="str">
        <f t="shared" si="583"/>
        <v>116113</v>
      </c>
      <c r="C10123" t="str">
        <f t="shared" si="584"/>
        <v>52460</v>
      </c>
      <c r="D10123" t="s">
        <v>452</v>
      </c>
      <c r="E10123" s="1">
        <v>1046.8399999999999</v>
      </c>
      <c r="F10123">
        <v>20140611</v>
      </c>
      <c r="G10123" t="s">
        <v>462</v>
      </c>
      <c r="H10123" t="s">
        <v>454</v>
      </c>
      <c r="I10123" t="s">
        <v>21</v>
      </c>
    </row>
    <row r="10124" spans="1:9" x14ac:dyDescent="0.25">
      <c r="A10124">
        <v>20140612</v>
      </c>
      <c r="B10124" t="str">
        <f t="shared" si="583"/>
        <v>116113</v>
      </c>
      <c r="C10124" t="str">
        <f t="shared" si="584"/>
        <v>52460</v>
      </c>
      <c r="D10124" t="s">
        <v>452</v>
      </c>
      <c r="E10124">
        <v>276.18</v>
      </c>
      <c r="F10124">
        <v>20140611</v>
      </c>
      <c r="G10124" t="s">
        <v>463</v>
      </c>
      <c r="H10124" t="s">
        <v>454</v>
      </c>
      <c r="I10124" t="s">
        <v>21</v>
      </c>
    </row>
    <row r="10125" spans="1:9" x14ac:dyDescent="0.25">
      <c r="A10125">
        <v>20140612</v>
      </c>
      <c r="B10125" t="str">
        <f t="shared" si="583"/>
        <v>116113</v>
      </c>
      <c r="C10125" t="str">
        <f t="shared" si="584"/>
        <v>52460</v>
      </c>
      <c r="D10125" t="s">
        <v>452</v>
      </c>
      <c r="E10125">
        <v>418.19</v>
      </c>
      <c r="F10125">
        <v>20140611</v>
      </c>
      <c r="G10125" t="s">
        <v>464</v>
      </c>
      <c r="H10125" t="s">
        <v>454</v>
      </c>
      <c r="I10125" t="s">
        <v>21</v>
      </c>
    </row>
    <row r="10126" spans="1:9" x14ac:dyDescent="0.25">
      <c r="A10126">
        <v>20140612</v>
      </c>
      <c r="B10126" t="str">
        <f t="shared" si="583"/>
        <v>116113</v>
      </c>
      <c r="C10126" t="str">
        <f t="shared" si="584"/>
        <v>52460</v>
      </c>
      <c r="D10126" t="s">
        <v>452</v>
      </c>
      <c r="E10126">
        <v>465.55</v>
      </c>
      <c r="F10126">
        <v>20140611</v>
      </c>
      <c r="G10126" t="s">
        <v>465</v>
      </c>
      <c r="H10126" t="s">
        <v>454</v>
      </c>
      <c r="I10126" t="s">
        <v>21</v>
      </c>
    </row>
    <row r="10127" spans="1:9" x14ac:dyDescent="0.25">
      <c r="A10127">
        <v>20140612</v>
      </c>
      <c r="B10127" t="str">
        <f t="shared" si="583"/>
        <v>116113</v>
      </c>
      <c r="C10127" t="str">
        <f t="shared" si="584"/>
        <v>52460</v>
      </c>
      <c r="D10127" t="s">
        <v>452</v>
      </c>
      <c r="E10127">
        <v>701.7</v>
      </c>
      <c r="F10127">
        <v>20140611</v>
      </c>
      <c r="G10127" t="s">
        <v>466</v>
      </c>
      <c r="H10127" t="s">
        <v>454</v>
      </c>
      <c r="I10127" t="s">
        <v>21</v>
      </c>
    </row>
    <row r="10128" spans="1:9" x14ac:dyDescent="0.25">
      <c r="A10128">
        <v>20140612</v>
      </c>
      <c r="B10128" t="str">
        <f t="shared" si="583"/>
        <v>116113</v>
      </c>
      <c r="C10128" t="str">
        <f t="shared" si="584"/>
        <v>52460</v>
      </c>
      <c r="D10128" t="s">
        <v>452</v>
      </c>
      <c r="E10128">
        <v>276.18</v>
      </c>
      <c r="F10128">
        <v>20140611</v>
      </c>
      <c r="G10128" t="s">
        <v>467</v>
      </c>
      <c r="H10128" t="s">
        <v>454</v>
      </c>
      <c r="I10128" t="s">
        <v>21</v>
      </c>
    </row>
    <row r="10129" spans="1:9" x14ac:dyDescent="0.25">
      <c r="A10129">
        <v>20140612</v>
      </c>
      <c r="B10129" t="str">
        <f>"116114"</f>
        <v>116114</v>
      </c>
      <c r="C10129" t="str">
        <f t="shared" si="584"/>
        <v>52460</v>
      </c>
      <c r="D10129" t="s">
        <v>452</v>
      </c>
      <c r="E10129">
        <v>29.65</v>
      </c>
      <c r="F10129">
        <v>20140611</v>
      </c>
      <c r="G10129" t="s">
        <v>145</v>
      </c>
      <c r="H10129" t="s">
        <v>997</v>
      </c>
      <c r="I10129" t="s">
        <v>38</v>
      </c>
    </row>
    <row r="10130" spans="1:9" x14ac:dyDescent="0.25">
      <c r="A10130">
        <v>20140612</v>
      </c>
      <c r="B10130" t="str">
        <f>"116115"</f>
        <v>116115</v>
      </c>
      <c r="C10130" t="str">
        <f>"87422"</f>
        <v>87422</v>
      </c>
      <c r="D10130" t="s">
        <v>4579</v>
      </c>
      <c r="E10130">
        <v>100</v>
      </c>
      <c r="F10130">
        <v>20140611</v>
      </c>
      <c r="G10130" t="s">
        <v>1193</v>
      </c>
      <c r="H10130" t="s">
        <v>4580</v>
      </c>
      <c r="I10130" t="s">
        <v>25</v>
      </c>
    </row>
    <row r="10131" spans="1:9" x14ac:dyDescent="0.25">
      <c r="A10131">
        <v>20140612</v>
      </c>
      <c r="B10131" t="str">
        <f>"116116"</f>
        <v>116116</v>
      </c>
      <c r="C10131" t="str">
        <f>"86393"</f>
        <v>86393</v>
      </c>
      <c r="D10131" t="s">
        <v>3736</v>
      </c>
      <c r="E10131">
        <v>60</v>
      </c>
      <c r="F10131">
        <v>20140611</v>
      </c>
      <c r="G10131" t="s">
        <v>2984</v>
      </c>
      <c r="H10131" t="s">
        <v>4581</v>
      </c>
      <c r="I10131" t="s">
        <v>21</v>
      </c>
    </row>
    <row r="10132" spans="1:9" x14ac:dyDescent="0.25">
      <c r="A10132">
        <v>20140612</v>
      </c>
      <c r="B10132" t="str">
        <f>"116117"</f>
        <v>116117</v>
      </c>
      <c r="C10132" t="str">
        <f>"00225"</f>
        <v>00225</v>
      </c>
      <c r="D10132" t="s">
        <v>4180</v>
      </c>
      <c r="E10132">
        <v>985</v>
      </c>
      <c r="F10132">
        <v>20140609</v>
      </c>
      <c r="G10132" t="s">
        <v>810</v>
      </c>
      <c r="H10132" t="s">
        <v>388</v>
      </c>
      <c r="I10132" t="s">
        <v>66</v>
      </c>
    </row>
    <row r="10133" spans="1:9" x14ac:dyDescent="0.25">
      <c r="A10133">
        <v>20140612</v>
      </c>
      <c r="B10133" t="str">
        <f>"116118"</f>
        <v>116118</v>
      </c>
      <c r="C10133" t="str">
        <f>"00500"</f>
        <v>00500</v>
      </c>
      <c r="D10133" t="s">
        <v>486</v>
      </c>
      <c r="E10133" s="1">
        <v>7016.46</v>
      </c>
      <c r="F10133">
        <v>20140611</v>
      </c>
      <c r="G10133" t="s">
        <v>487</v>
      </c>
      <c r="H10133" t="s">
        <v>488</v>
      </c>
      <c r="I10133" t="s">
        <v>21</v>
      </c>
    </row>
    <row r="10134" spans="1:9" x14ac:dyDescent="0.25">
      <c r="A10134">
        <v>20140612</v>
      </c>
      <c r="B10134" t="str">
        <f t="shared" ref="B10134:B10149" si="585">"116119"</f>
        <v>116119</v>
      </c>
      <c r="C10134" t="str">
        <f t="shared" ref="C10134:C10149" si="586">"00255"</f>
        <v>00255</v>
      </c>
      <c r="D10134" t="s">
        <v>489</v>
      </c>
      <c r="E10134">
        <v>456.47</v>
      </c>
      <c r="F10134">
        <v>20140606</v>
      </c>
      <c r="G10134" t="s">
        <v>1350</v>
      </c>
      <c r="H10134" t="s">
        <v>488</v>
      </c>
      <c r="I10134" t="s">
        <v>21</v>
      </c>
    </row>
    <row r="10135" spans="1:9" x14ac:dyDescent="0.25">
      <c r="A10135">
        <v>20140612</v>
      </c>
      <c r="B10135" t="str">
        <f t="shared" si="585"/>
        <v>116119</v>
      </c>
      <c r="C10135" t="str">
        <f t="shared" si="586"/>
        <v>00255</v>
      </c>
      <c r="D10135" t="s">
        <v>489</v>
      </c>
      <c r="E10135">
        <v>618.23</v>
      </c>
      <c r="F10135">
        <v>20140606</v>
      </c>
      <c r="G10135" t="s">
        <v>1351</v>
      </c>
      <c r="H10135" t="s">
        <v>488</v>
      </c>
      <c r="I10135" t="s">
        <v>21</v>
      </c>
    </row>
    <row r="10136" spans="1:9" x14ac:dyDescent="0.25">
      <c r="A10136">
        <v>20140612</v>
      </c>
      <c r="B10136" t="str">
        <f t="shared" si="585"/>
        <v>116119</v>
      </c>
      <c r="C10136" t="str">
        <f t="shared" si="586"/>
        <v>00255</v>
      </c>
      <c r="D10136" t="s">
        <v>489</v>
      </c>
      <c r="E10136">
        <v>46.26</v>
      </c>
      <c r="F10136">
        <v>20140606</v>
      </c>
      <c r="G10136" t="s">
        <v>1183</v>
      </c>
      <c r="H10136" t="s">
        <v>488</v>
      </c>
      <c r="I10136" t="s">
        <v>21</v>
      </c>
    </row>
    <row r="10137" spans="1:9" x14ac:dyDescent="0.25">
      <c r="A10137">
        <v>20140612</v>
      </c>
      <c r="B10137" t="str">
        <f t="shared" si="585"/>
        <v>116119</v>
      </c>
      <c r="C10137" t="str">
        <f t="shared" si="586"/>
        <v>00255</v>
      </c>
      <c r="D10137" t="s">
        <v>489</v>
      </c>
      <c r="E10137">
        <v>286.58999999999997</v>
      </c>
      <c r="F10137">
        <v>20140606</v>
      </c>
      <c r="G10137" t="s">
        <v>1183</v>
      </c>
      <c r="H10137" t="s">
        <v>488</v>
      </c>
      <c r="I10137" t="s">
        <v>21</v>
      </c>
    </row>
    <row r="10138" spans="1:9" x14ac:dyDescent="0.25">
      <c r="A10138">
        <v>20140612</v>
      </c>
      <c r="B10138" t="str">
        <f t="shared" si="585"/>
        <v>116119</v>
      </c>
      <c r="C10138" t="str">
        <f t="shared" si="586"/>
        <v>00255</v>
      </c>
      <c r="D10138" t="s">
        <v>489</v>
      </c>
      <c r="E10138">
        <v>400.13</v>
      </c>
      <c r="F10138">
        <v>20140606</v>
      </c>
      <c r="G10138" t="s">
        <v>490</v>
      </c>
      <c r="H10138" t="s">
        <v>488</v>
      </c>
      <c r="I10138" t="s">
        <v>21</v>
      </c>
    </row>
    <row r="10139" spans="1:9" x14ac:dyDescent="0.25">
      <c r="A10139">
        <v>20140612</v>
      </c>
      <c r="B10139" t="str">
        <f t="shared" si="585"/>
        <v>116119</v>
      </c>
      <c r="C10139" t="str">
        <f t="shared" si="586"/>
        <v>00255</v>
      </c>
      <c r="D10139" t="s">
        <v>489</v>
      </c>
      <c r="E10139">
        <v>162.28</v>
      </c>
      <c r="F10139">
        <v>20140606</v>
      </c>
      <c r="G10139" t="s">
        <v>490</v>
      </c>
      <c r="H10139" t="s">
        <v>488</v>
      </c>
      <c r="I10139" t="s">
        <v>21</v>
      </c>
    </row>
    <row r="10140" spans="1:9" x14ac:dyDescent="0.25">
      <c r="A10140">
        <v>20140612</v>
      </c>
      <c r="B10140" t="str">
        <f t="shared" si="585"/>
        <v>116119</v>
      </c>
      <c r="C10140" t="str">
        <f t="shared" si="586"/>
        <v>00255</v>
      </c>
      <c r="D10140" t="s">
        <v>489</v>
      </c>
      <c r="E10140">
        <v>49.58</v>
      </c>
      <c r="F10140">
        <v>20140606</v>
      </c>
      <c r="G10140" t="s">
        <v>490</v>
      </c>
      <c r="H10140" t="s">
        <v>488</v>
      </c>
      <c r="I10140" t="s">
        <v>21</v>
      </c>
    </row>
    <row r="10141" spans="1:9" x14ac:dyDescent="0.25">
      <c r="A10141">
        <v>20140612</v>
      </c>
      <c r="B10141" t="str">
        <f t="shared" si="585"/>
        <v>116119</v>
      </c>
      <c r="C10141" t="str">
        <f t="shared" si="586"/>
        <v>00255</v>
      </c>
      <c r="D10141" t="s">
        <v>489</v>
      </c>
      <c r="E10141">
        <v>38.79</v>
      </c>
      <c r="F10141">
        <v>20140606</v>
      </c>
      <c r="G10141" t="s">
        <v>490</v>
      </c>
      <c r="H10141" t="s">
        <v>488</v>
      </c>
      <c r="I10141" t="s">
        <v>21</v>
      </c>
    </row>
    <row r="10142" spans="1:9" x14ac:dyDescent="0.25">
      <c r="A10142">
        <v>20140612</v>
      </c>
      <c r="B10142" t="str">
        <f t="shared" si="585"/>
        <v>116119</v>
      </c>
      <c r="C10142" t="str">
        <f t="shared" si="586"/>
        <v>00255</v>
      </c>
      <c r="D10142" t="s">
        <v>489</v>
      </c>
      <c r="E10142">
        <v>136.59</v>
      </c>
      <c r="F10142">
        <v>20140606</v>
      </c>
      <c r="G10142" t="s">
        <v>1184</v>
      </c>
      <c r="H10142" t="s">
        <v>488</v>
      </c>
      <c r="I10142" t="s">
        <v>21</v>
      </c>
    </row>
    <row r="10143" spans="1:9" x14ac:dyDescent="0.25">
      <c r="A10143">
        <v>20140612</v>
      </c>
      <c r="B10143" t="str">
        <f t="shared" si="585"/>
        <v>116119</v>
      </c>
      <c r="C10143" t="str">
        <f t="shared" si="586"/>
        <v>00255</v>
      </c>
      <c r="D10143" t="s">
        <v>489</v>
      </c>
      <c r="E10143">
        <v>371.95</v>
      </c>
      <c r="F10143">
        <v>20140611</v>
      </c>
      <c r="G10143" t="s">
        <v>491</v>
      </c>
      <c r="H10143" t="s">
        <v>488</v>
      </c>
      <c r="I10143" t="s">
        <v>21</v>
      </c>
    </row>
    <row r="10144" spans="1:9" x14ac:dyDescent="0.25">
      <c r="A10144">
        <v>20140612</v>
      </c>
      <c r="B10144" t="str">
        <f t="shared" si="585"/>
        <v>116119</v>
      </c>
      <c r="C10144" t="str">
        <f t="shared" si="586"/>
        <v>00255</v>
      </c>
      <c r="D10144" t="s">
        <v>489</v>
      </c>
      <c r="E10144">
        <v>66.14</v>
      </c>
      <c r="F10144">
        <v>20140606</v>
      </c>
      <c r="G10144" t="s">
        <v>492</v>
      </c>
      <c r="H10144" t="s">
        <v>488</v>
      </c>
      <c r="I10144" t="s">
        <v>21</v>
      </c>
    </row>
    <row r="10145" spans="1:9" x14ac:dyDescent="0.25">
      <c r="A10145">
        <v>20140612</v>
      </c>
      <c r="B10145" t="str">
        <f t="shared" si="585"/>
        <v>116119</v>
      </c>
      <c r="C10145" t="str">
        <f t="shared" si="586"/>
        <v>00255</v>
      </c>
      <c r="D10145" t="s">
        <v>489</v>
      </c>
      <c r="E10145">
        <v>65.31</v>
      </c>
      <c r="F10145">
        <v>20140606</v>
      </c>
      <c r="G10145" t="s">
        <v>492</v>
      </c>
      <c r="H10145" t="s">
        <v>488</v>
      </c>
      <c r="I10145" t="s">
        <v>21</v>
      </c>
    </row>
    <row r="10146" spans="1:9" x14ac:dyDescent="0.25">
      <c r="A10146">
        <v>20140612</v>
      </c>
      <c r="B10146" t="str">
        <f t="shared" si="585"/>
        <v>116119</v>
      </c>
      <c r="C10146" t="str">
        <f t="shared" si="586"/>
        <v>00255</v>
      </c>
      <c r="D10146" t="s">
        <v>489</v>
      </c>
      <c r="E10146" s="1">
        <v>1016.45</v>
      </c>
      <c r="F10146">
        <v>20140611</v>
      </c>
      <c r="G10146" t="s">
        <v>493</v>
      </c>
      <c r="H10146" t="s">
        <v>488</v>
      </c>
      <c r="I10146" t="s">
        <v>21</v>
      </c>
    </row>
    <row r="10147" spans="1:9" x14ac:dyDescent="0.25">
      <c r="A10147">
        <v>20140612</v>
      </c>
      <c r="B10147" t="str">
        <f t="shared" si="585"/>
        <v>116119</v>
      </c>
      <c r="C10147" t="str">
        <f t="shared" si="586"/>
        <v>00255</v>
      </c>
      <c r="D10147" t="s">
        <v>489</v>
      </c>
      <c r="E10147">
        <v>41.74</v>
      </c>
      <c r="F10147">
        <v>20140611</v>
      </c>
      <c r="G10147" t="s">
        <v>771</v>
      </c>
      <c r="H10147" t="s">
        <v>488</v>
      </c>
      <c r="I10147" t="s">
        <v>21</v>
      </c>
    </row>
    <row r="10148" spans="1:9" x14ac:dyDescent="0.25">
      <c r="A10148">
        <v>20140612</v>
      </c>
      <c r="B10148" t="str">
        <f t="shared" si="585"/>
        <v>116119</v>
      </c>
      <c r="C10148" t="str">
        <f t="shared" si="586"/>
        <v>00255</v>
      </c>
      <c r="D10148" t="s">
        <v>489</v>
      </c>
      <c r="E10148">
        <v>90.18</v>
      </c>
      <c r="F10148">
        <v>20140606</v>
      </c>
      <c r="G10148" t="s">
        <v>1352</v>
      </c>
      <c r="H10148" t="s">
        <v>488</v>
      </c>
      <c r="I10148" t="s">
        <v>21</v>
      </c>
    </row>
    <row r="10149" spans="1:9" x14ac:dyDescent="0.25">
      <c r="A10149">
        <v>20140612</v>
      </c>
      <c r="B10149" t="str">
        <f t="shared" si="585"/>
        <v>116119</v>
      </c>
      <c r="C10149" t="str">
        <f t="shared" si="586"/>
        <v>00255</v>
      </c>
      <c r="D10149" t="s">
        <v>489</v>
      </c>
      <c r="E10149">
        <v>263.83999999999997</v>
      </c>
      <c r="F10149">
        <v>20140611</v>
      </c>
      <c r="G10149" t="s">
        <v>494</v>
      </c>
      <c r="H10149" t="s">
        <v>488</v>
      </c>
      <c r="I10149" t="s">
        <v>21</v>
      </c>
    </row>
    <row r="10150" spans="1:9" x14ac:dyDescent="0.25">
      <c r="A10150">
        <v>20140612</v>
      </c>
      <c r="B10150" t="str">
        <f t="shared" ref="B10150:B10155" si="587">"116120"</f>
        <v>116120</v>
      </c>
      <c r="C10150" t="str">
        <f t="shared" ref="C10150:C10155" si="588">"86456"</f>
        <v>86456</v>
      </c>
      <c r="D10150" t="s">
        <v>495</v>
      </c>
      <c r="E10150">
        <v>488.32</v>
      </c>
      <c r="F10150">
        <v>20140611</v>
      </c>
      <c r="G10150" t="s">
        <v>413</v>
      </c>
      <c r="H10150" t="s">
        <v>414</v>
      </c>
      <c r="I10150" t="s">
        <v>21</v>
      </c>
    </row>
    <row r="10151" spans="1:9" x14ac:dyDescent="0.25">
      <c r="A10151">
        <v>20140612</v>
      </c>
      <c r="B10151" t="str">
        <f t="shared" si="587"/>
        <v>116120</v>
      </c>
      <c r="C10151" t="str">
        <f t="shared" si="588"/>
        <v>86456</v>
      </c>
      <c r="D10151" t="s">
        <v>495</v>
      </c>
      <c r="E10151">
        <v>44.85</v>
      </c>
      <c r="F10151">
        <v>20140611</v>
      </c>
      <c r="G10151" t="s">
        <v>630</v>
      </c>
      <c r="H10151" t="s">
        <v>414</v>
      </c>
      <c r="I10151" t="s">
        <v>21</v>
      </c>
    </row>
    <row r="10152" spans="1:9" x14ac:dyDescent="0.25">
      <c r="A10152">
        <v>20140612</v>
      </c>
      <c r="B10152" t="str">
        <f t="shared" si="587"/>
        <v>116120</v>
      </c>
      <c r="C10152" t="str">
        <f t="shared" si="588"/>
        <v>86456</v>
      </c>
      <c r="D10152" t="s">
        <v>495</v>
      </c>
      <c r="E10152">
        <v>37.880000000000003</v>
      </c>
      <c r="F10152">
        <v>20140611</v>
      </c>
      <c r="G10152" t="s">
        <v>392</v>
      </c>
      <c r="H10152" t="s">
        <v>414</v>
      </c>
      <c r="I10152" t="s">
        <v>21</v>
      </c>
    </row>
    <row r="10153" spans="1:9" x14ac:dyDescent="0.25">
      <c r="A10153">
        <v>20140612</v>
      </c>
      <c r="B10153" t="str">
        <f t="shared" si="587"/>
        <v>116120</v>
      </c>
      <c r="C10153" t="str">
        <f t="shared" si="588"/>
        <v>86456</v>
      </c>
      <c r="D10153" t="s">
        <v>495</v>
      </c>
      <c r="E10153" s="1">
        <v>1215.3599999999999</v>
      </c>
      <c r="F10153">
        <v>20140611</v>
      </c>
      <c r="G10153" t="s">
        <v>417</v>
      </c>
      <c r="H10153" t="s">
        <v>414</v>
      </c>
      <c r="I10153" t="s">
        <v>21</v>
      </c>
    </row>
    <row r="10154" spans="1:9" x14ac:dyDescent="0.25">
      <c r="A10154">
        <v>20140612</v>
      </c>
      <c r="B10154" t="str">
        <f t="shared" si="587"/>
        <v>116120</v>
      </c>
      <c r="C10154" t="str">
        <f t="shared" si="588"/>
        <v>86456</v>
      </c>
      <c r="D10154" t="s">
        <v>495</v>
      </c>
      <c r="E10154">
        <v>200.68</v>
      </c>
      <c r="F10154">
        <v>20140611</v>
      </c>
      <c r="G10154" t="s">
        <v>3820</v>
      </c>
      <c r="H10154" t="s">
        <v>414</v>
      </c>
      <c r="I10154" t="s">
        <v>21</v>
      </c>
    </row>
    <row r="10155" spans="1:9" x14ac:dyDescent="0.25">
      <c r="A10155">
        <v>20140612</v>
      </c>
      <c r="B10155" t="str">
        <f t="shared" si="587"/>
        <v>116120</v>
      </c>
      <c r="C10155" t="str">
        <f t="shared" si="588"/>
        <v>86456</v>
      </c>
      <c r="D10155" t="s">
        <v>495</v>
      </c>
      <c r="E10155">
        <v>29.97</v>
      </c>
      <c r="F10155">
        <v>20140611</v>
      </c>
      <c r="G10155" t="s">
        <v>1404</v>
      </c>
      <c r="H10155" t="s">
        <v>414</v>
      </c>
      <c r="I10155" t="s">
        <v>12</v>
      </c>
    </row>
    <row r="10156" spans="1:9" x14ac:dyDescent="0.25">
      <c r="A10156">
        <v>20140612</v>
      </c>
      <c r="B10156" t="str">
        <f>"116121"</f>
        <v>116121</v>
      </c>
      <c r="C10156" t="str">
        <f>"09600"</f>
        <v>09600</v>
      </c>
      <c r="D10156" t="s">
        <v>497</v>
      </c>
      <c r="E10156">
        <v>312.10000000000002</v>
      </c>
      <c r="F10156">
        <v>20140611</v>
      </c>
      <c r="G10156" t="s">
        <v>498</v>
      </c>
      <c r="H10156" t="s">
        <v>499</v>
      </c>
      <c r="I10156" t="s">
        <v>21</v>
      </c>
    </row>
    <row r="10157" spans="1:9" x14ac:dyDescent="0.25">
      <c r="A10157">
        <v>20140612</v>
      </c>
      <c r="B10157" t="str">
        <f>"116122"</f>
        <v>116122</v>
      </c>
      <c r="C10157" t="str">
        <f>"00042"</f>
        <v>00042</v>
      </c>
      <c r="D10157" t="s">
        <v>2617</v>
      </c>
      <c r="E10157">
        <v>227.5</v>
      </c>
      <c r="F10157">
        <v>20140611</v>
      </c>
      <c r="G10157" t="s">
        <v>1193</v>
      </c>
      <c r="H10157" t="s">
        <v>4314</v>
      </c>
      <c r="I10157" t="s">
        <v>25</v>
      </c>
    </row>
    <row r="10158" spans="1:9" x14ac:dyDescent="0.25">
      <c r="A10158">
        <v>20140612</v>
      </c>
      <c r="B10158" t="str">
        <f>"116123"</f>
        <v>116123</v>
      </c>
      <c r="C10158" t="str">
        <f>"87676"</f>
        <v>87676</v>
      </c>
      <c r="D10158" t="s">
        <v>3204</v>
      </c>
      <c r="E10158">
        <v>474</v>
      </c>
      <c r="F10158">
        <v>20140605</v>
      </c>
      <c r="G10158" t="s">
        <v>415</v>
      </c>
      <c r="H10158" t="s">
        <v>4582</v>
      </c>
      <c r="I10158" t="s">
        <v>21</v>
      </c>
    </row>
    <row r="10159" spans="1:9" x14ac:dyDescent="0.25">
      <c r="A10159">
        <v>20140612</v>
      </c>
      <c r="B10159" t="str">
        <f>"116124"</f>
        <v>116124</v>
      </c>
      <c r="C10159" t="str">
        <f>"87555"</f>
        <v>87555</v>
      </c>
      <c r="D10159" t="s">
        <v>1560</v>
      </c>
      <c r="E10159">
        <v>4.05</v>
      </c>
      <c r="F10159">
        <v>20140611</v>
      </c>
      <c r="G10159" t="s">
        <v>562</v>
      </c>
      <c r="H10159" t="s">
        <v>563</v>
      </c>
      <c r="I10159" t="s">
        <v>21</v>
      </c>
    </row>
    <row r="10160" spans="1:9" x14ac:dyDescent="0.25">
      <c r="A10160">
        <v>20140612</v>
      </c>
      <c r="B10160" t="str">
        <f>"116124"</f>
        <v>116124</v>
      </c>
      <c r="C10160" t="str">
        <f>"87555"</f>
        <v>87555</v>
      </c>
      <c r="D10160" t="s">
        <v>1560</v>
      </c>
      <c r="E10160">
        <v>29.7</v>
      </c>
      <c r="F10160">
        <v>20140611</v>
      </c>
      <c r="G10160" t="s">
        <v>562</v>
      </c>
      <c r="H10160" t="s">
        <v>563</v>
      </c>
      <c r="I10160" t="s">
        <v>21</v>
      </c>
    </row>
    <row r="10161" spans="1:9" x14ac:dyDescent="0.25">
      <c r="A10161">
        <v>20140612</v>
      </c>
      <c r="B10161" t="str">
        <f>"116125"</f>
        <v>116125</v>
      </c>
      <c r="C10161" t="str">
        <f>"11570"</f>
        <v>11570</v>
      </c>
      <c r="D10161" t="s">
        <v>1354</v>
      </c>
      <c r="E10161">
        <v>50</v>
      </c>
      <c r="F10161">
        <v>20140606</v>
      </c>
      <c r="G10161" t="s">
        <v>340</v>
      </c>
      <c r="H10161" t="s">
        <v>1355</v>
      </c>
      <c r="I10161" t="s">
        <v>21</v>
      </c>
    </row>
    <row r="10162" spans="1:9" x14ac:dyDescent="0.25">
      <c r="A10162">
        <v>20140612</v>
      </c>
      <c r="B10162" t="str">
        <f>"116125"</f>
        <v>116125</v>
      </c>
      <c r="C10162" t="str">
        <f>"11570"</f>
        <v>11570</v>
      </c>
      <c r="D10162" t="s">
        <v>1354</v>
      </c>
      <c r="E10162">
        <v>75</v>
      </c>
      <c r="F10162">
        <v>20140606</v>
      </c>
      <c r="G10162" t="s">
        <v>511</v>
      </c>
      <c r="H10162" t="s">
        <v>1355</v>
      </c>
      <c r="I10162" t="s">
        <v>21</v>
      </c>
    </row>
    <row r="10163" spans="1:9" x14ac:dyDescent="0.25">
      <c r="A10163">
        <v>20140612</v>
      </c>
      <c r="B10163" t="str">
        <f>"116125"</f>
        <v>116125</v>
      </c>
      <c r="C10163" t="str">
        <f>"11570"</f>
        <v>11570</v>
      </c>
      <c r="D10163" t="s">
        <v>1354</v>
      </c>
      <c r="E10163">
        <v>75</v>
      </c>
      <c r="F10163">
        <v>20140606</v>
      </c>
      <c r="G10163" t="s">
        <v>621</v>
      </c>
      <c r="H10163" t="s">
        <v>1355</v>
      </c>
      <c r="I10163" t="s">
        <v>21</v>
      </c>
    </row>
    <row r="10164" spans="1:9" x14ac:dyDescent="0.25">
      <c r="A10164">
        <v>20140612</v>
      </c>
      <c r="B10164" t="str">
        <f>"116125"</f>
        <v>116125</v>
      </c>
      <c r="C10164" t="str">
        <f>"11570"</f>
        <v>11570</v>
      </c>
      <c r="D10164" t="s">
        <v>1354</v>
      </c>
      <c r="E10164" s="1">
        <v>5000</v>
      </c>
      <c r="F10164">
        <v>20140606</v>
      </c>
      <c r="G10164" t="s">
        <v>1271</v>
      </c>
      <c r="H10164" t="s">
        <v>1355</v>
      </c>
      <c r="I10164" t="s">
        <v>21</v>
      </c>
    </row>
    <row r="10165" spans="1:9" x14ac:dyDescent="0.25">
      <c r="A10165">
        <v>20140612</v>
      </c>
      <c r="B10165" t="str">
        <f>"116126"</f>
        <v>116126</v>
      </c>
      <c r="C10165" t="str">
        <f>"87860"</f>
        <v>87860</v>
      </c>
      <c r="D10165" t="s">
        <v>4397</v>
      </c>
      <c r="E10165">
        <v>275</v>
      </c>
      <c r="F10165">
        <v>20140611</v>
      </c>
      <c r="G10165" t="s">
        <v>36</v>
      </c>
      <c r="H10165" t="s">
        <v>4583</v>
      </c>
      <c r="I10165" t="s">
        <v>38</v>
      </c>
    </row>
    <row r="10166" spans="1:9" x14ac:dyDescent="0.25">
      <c r="A10166">
        <v>20140612</v>
      </c>
      <c r="B10166" t="str">
        <f>"116127"</f>
        <v>116127</v>
      </c>
      <c r="C10166" t="str">
        <f>"83193"</f>
        <v>83193</v>
      </c>
      <c r="D10166" t="s">
        <v>1008</v>
      </c>
      <c r="E10166" s="1">
        <v>3000</v>
      </c>
      <c r="F10166">
        <v>20140611</v>
      </c>
      <c r="G10166" t="s">
        <v>1731</v>
      </c>
      <c r="H10166" t="s">
        <v>4584</v>
      </c>
      <c r="I10166" t="s">
        <v>38</v>
      </c>
    </row>
    <row r="10167" spans="1:9" x14ac:dyDescent="0.25">
      <c r="A10167">
        <v>20140612</v>
      </c>
      <c r="B10167" t="str">
        <f>"116128"</f>
        <v>116128</v>
      </c>
      <c r="C10167" t="str">
        <f>"82560"</f>
        <v>82560</v>
      </c>
      <c r="D10167" t="s">
        <v>403</v>
      </c>
      <c r="E10167" s="1">
        <v>3003.01</v>
      </c>
      <c r="F10167">
        <v>20140611</v>
      </c>
      <c r="G10167" t="s">
        <v>404</v>
      </c>
      <c r="H10167" t="s">
        <v>405</v>
      </c>
      <c r="I10167" t="s">
        <v>12</v>
      </c>
    </row>
    <row r="10168" spans="1:9" x14ac:dyDescent="0.25">
      <c r="A10168">
        <v>20140612</v>
      </c>
      <c r="B10168" t="str">
        <f>"116129"</f>
        <v>116129</v>
      </c>
      <c r="C10168" t="str">
        <f>"11805"</f>
        <v>11805</v>
      </c>
      <c r="D10168" t="s">
        <v>1358</v>
      </c>
      <c r="E10168" s="1">
        <v>4979.07</v>
      </c>
      <c r="F10168">
        <v>20140611</v>
      </c>
      <c r="G10168" t="s">
        <v>404</v>
      </c>
      <c r="H10168" t="s">
        <v>133</v>
      </c>
      <c r="I10168" t="s">
        <v>12</v>
      </c>
    </row>
    <row r="10169" spans="1:9" x14ac:dyDescent="0.25">
      <c r="A10169">
        <v>20140612</v>
      </c>
      <c r="B10169" t="str">
        <f>"116130"</f>
        <v>116130</v>
      </c>
      <c r="C10169" t="str">
        <f>"10075"</f>
        <v>10075</v>
      </c>
      <c r="D10169" t="s">
        <v>1199</v>
      </c>
      <c r="E10169" s="1">
        <v>1380</v>
      </c>
      <c r="F10169">
        <v>20140605</v>
      </c>
      <c r="G10169" t="s">
        <v>1200</v>
      </c>
      <c r="H10169" t="s">
        <v>4585</v>
      </c>
      <c r="I10169" t="s">
        <v>61</v>
      </c>
    </row>
    <row r="10170" spans="1:9" x14ac:dyDescent="0.25">
      <c r="A10170">
        <v>20140612</v>
      </c>
      <c r="B10170" t="str">
        <f>"116131"</f>
        <v>116131</v>
      </c>
      <c r="C10170" t="str">
        <f>"16500"</f>
        <v>16500</v>
      </c>
      <c r="D10170" t="s">
        <v>798</v>
      </c>
      <c r="E10170">
        <v>89.85</v>
      </c>
      <c r="F10170">
        <v>20140606</v>
      </c>
      <c r="G10170" t="s">
        <v>367</v>
      </c>
      <c r="H10170" t="s">
        <v>784</v>
      </c>
      <c r="I10170" t="s">
        <v>21</v>
      </c>
    </row>
    <row r="10171" spans="1:9" x14ac:dyDescent="0.25">
      <c r="A10171">
        <v>20140612</v>
      </c>
      <c r="B10171" t="str">
        <f>"116132"</f>
        <v>116132</v>
      </c>
      <c r="C10171" t="str">
        <f>"87795"</f>
        <v>87795</v>
      </c>
      <c r="D10171" t="s">
        <v>3750</v>
      </c>
      <c r="E10171">
        <v>55</v>
      </c>
      <c r="F10171">
        <v>20140611</v>
      </c>
      <c r="G10171" t="s">
        <v>156</v>
      </c>
      <c r="H10171" t="s">
        <v>4586</v>
      </c>
      <c r="I10171" t="s">
        <v>25</v>
      </c>
    </row>
    <row r="10172" spans="1:9" x14ac:dyDescent="0.25">
      <c r="A10172">
        <v>20140612</v>
      </c>
      <c r="B10172" t="str">
        <f>"116133"</f>
        <v>116133</v>
      </c>
      <c r="C10172" t="str">
        <f>"16920"</f>
        <v>16920</v>
      </c>
      <c r="D10172" t="s">
        <v>2915</v>
      </c>
      <c r="E10172">
        <v>24.95</v>
      </c>
      <c r="F10172">
        <v>20140611</v>
      </c>
      <c r="G10172" t="s">
        <v>580</v>
      </c>
      <c r="H10172" t="s">
        <v>414</v>
      </c>
      <c r="I10172" t="s">
        <v>21</v>
      </c>
    </row>
    <row r="10173" spans="1:9" x14ac:dyDescent="0.25">
      <c r="A10173">
        <v>20140612</v>
      </c>
      <c r="B10173" t="str">
        <f>"116133"</f>
        <v>116133</v>
      </c>
      <c r="C10173" t="str">
        <f>"16920"</f>
        <v>16920</v>
      </c>
      <c r="D10173" t="s">
        <v>2915</v>
      </c>
      <c r="E10173">
        <v>26.95</v>
      </c>
      <c r="F10173">
        <v>20140611</v>
      </c>
      <c r="G10173" t="s">
        <v>580</v>
      </c>
      <c r="H10173" t="s">
        <v>414</v>
      </c>
      <c r="I10173" t="s">
        <v>21</v>
      </c>
    </row>
    <row r="10174" spans="1:9" x14ac:dyDescent="0.25">
      <c r="A10174">
        <v>20140612</v>
      </c>
      <c r="B10174" t="str">
        <f>"116133"</f>
        <v>116133</v>
      </c>
      <c r="C10174" t="str">
        <f>"16920"</f>
        <v>16920</v>
      </c>
      <c r="D10174" t="s">
        <v>2915</v>
      </c>
      <c r="E10174">
        <v>24.95</v>
      </c>
      <c r="F10174">
        <v>20140611</v>
      </c>
      <c r="G10174" t="s">
        <v>580</v>
      </c>
      <c r="H10174" t="s">
        <v>414</v>
      </c>
      <c r="I10174" t="s">
        <v>21</v>
      </c>
    </row>
    <row r="10175" spans="1:9" x14ac:dyDescent="0.25">
      <c r="A10175">
        <v>20140612</v>
      </c>
      <c r="B10175" t="str">
        <f>"116134"</f>
        <v>116134</v>
      </c>
      <c r="C10175" t="str">
        <f>"87728"</f>
        <v>87728</v>
      </c>
      <c r="D10175" t="s">
        <v>4587</v>
      </c>
      <c r="E10175">
        <v>304.68</v>
      </c>
      <c r="F10175">
        <v>20140605</v>
      </c>
      <c r="G10175" t="s">
        <v>1773</v>
      </c>
      <c r="H10175" t="s">
        <v>4588</v>
      </c>
      <c r="I10175" t="s">
        <v>21</v>
      </c>
    </row>
    <row r="10176" spans="1:9" x14ac:dyDescent="0.25">
      <c r="A10176">
        <v>20140612</v>
      </c>
      <c r="B10176" t="str">
        <f>"116135"</f>
        <v>116135</v>
      </c>
      <c r="C10176" t="str">
        <f>"16988"</f>
        <v>16988</v>
      </c>
      <c r="D10176" t="s">
        <v>510</v>
      </c>
      <c r="E10176">
        <v>725</v>
      </c>
      <c r="F10176">
        <v>20140606</v>
      </c>
      <c r="G10176" t="s">
        <v>511</v>
      </c>
      <c r="H10176" t="s">
        <v>1368</v>
      </c>
      <c r="I10176" t="s">
        <v>21</v>
      </c>
    </row>
    <row r="10177" spans="1:9" x14ac:dyDescent="0.25">
      <c r="A10177">
        <v>20140612</v>
      </c>
      <c r="B10177" t="str">
        <f>"116135"</f>
        <v>116135</v>
      </c>
      <c r="C10177" t="str">
        <f>"16988"</f>
        <v>16988</v>
      </c>
      <c r="D10177" t="s">
        <v>510</v>
      </c>
      <c r="E10177">
        <v>927.82</v>
      </c>
      <c r="F10177">
        <v>20140606</v>
      </c>
      <c r="G10177" t="s">
        <v>511</v>
      </c>
      <c r="H10177" t="s">
        <v>512</v>
      </c>
      <c r="I10177" t="s">
        <v>21</v>
      </c>
    </row>
    <row r="10178" spans="1:9" x14ac:dyDescent="0.25">
      <c r="A10178">
        <v>20140612</v>
      </c>
      <c r="B10178" t="str">
        <f>"116135"</f>
        <v>116135</v>
      </c>
      <c r="C10178" t="str">
        <f>"16988"</f>
        <v>16988</v>
      </c>
      <c r="D10178" t="s">
        <v>510</v>
      </c>
      <c r="E10178">
        <v>908.9</v>
      </c>
      <c r="F10178">
        <v>20140606</v>
      </c>
      <c r="G10178" t="s">
        <v>413</v>
      </c>
      <c r="H10178" t="s">
        <v>414</v>
      </c>
      <c r="I10178" t="s">
        <v>21</v>
      </c>
    </row>
    <row r="10179" spans="1:9" x14ac:dyDescent="0.25">
      <c r="A10179">
        <v>20140612</v>
      </c>
      <c r="B10179" t="str">
        <f>"116136"</f>
        <v>116136</v>
      </c>
      <c r="C10179" t="str">
        <f>"16998"</f>
        <v>16998</v>
      </c>
      <c r="D10179" t="s">
        <v>1372</v>
      </c>
      <c r="E10179">
        <v>112.5</v>
      </c>
      <c r="F10179">
        <v>20140611</v>
      </c>
      <c r="G10179" t="s">
        <v>624</v>
      </c>
      <c r="H10179" t="s">
        <v>1375</v>
      </c>
      <c r="I10179" t="s">
        <v>21</v>
      </c>
    </row>
    <row r="10180" spans="1:9" x14ac:dyDescent="0.25">
      <c r="A10180">
        <v>20140612</v>
      </c>
      <c r="B10180" t="str">
        <f>"116136"</f>
        <v>116136</v>
      </c>
      <c r="C10180" t="str">
        <f>"16998"</f>
        <v>16998</v>
      </c>
      <c r="D10180" t="s">
        <v>1372</v>
      </c>
      <c r="E10180">
        <v>75</v>
      </c>
      <c r="F10180">
        <v>20140611</v>
      </c>
      <c r="G10180" t="s">
        <v>624</v>
      </c>
      <c r="H10180" t="s">
        <v>1375</v>
      </c>
      <c r="I10180" t="s">
        <v>21</v>
      </c>
    </row>
    <row r="10181" spans="1:9" x14ac:dyDescent="0.25">
      <c r="A10181">
        <v>20140612</v>
      </c>
      <c r="B10181" t="str">
        <f>"116136"</f>
        <v>116136</v>
      </c>
      <c r="C10181" t="str">
        <f>"16998"</f>
        <v>16998</v>
      </c>
      <c r="D10181" t="s">
        <v>1372</v>
      </c>
      <c r="E10181">
        <v>492.05</v>
      </c>
      <c r="F10181">
        <v>20140611</v>
      </c>
      <c r="G10181" t="s">
        <v>524</v>
      </c>
      <c r="H10181" t="s">
        <v>1375</v>
      </c>
      <c r="I10181" t="s">
        <v>21</v>
      </c>
    </row>
    <row r="10182" spans="1:9" x14ac:dyDescent="0.25">
      <c r="A10182">
        <v>20140612</v>
      </c>
      <c r="B10182" t="str">
        <f>"116136"</f>
        <v>116136</v>
      </c>
      <c r="C10182" t="str">
        <f>"16998"</f>
        <v>16998</v>
      </c>
      <c r="D10182" t="s">
        <v>1372</v>
      </c>
      <c r="E10182">
        <v>42.3</v>
      </c>
      <c r="F10182">
        <v>20140611</v>
      </c>
      <c r="G10182" t="s">
        <v>3820</v>
      </c>
      <c r="H10182" t="s">
        <v>414</v>
      </c>
      <c r="I10182" t="s">
        <v>21</v>
      </c>
    </row>
    <row r="10183" spans="1:9" x14ac:dyDescent="0.25">
      <c r="A10183">
        <v>20140612</v>
      </c>
      <c r="B10183" t="str">
        <f>"116136"</f>
        <v>116136</v>
      </c>
      <c r="C10183" t="str">
        <f>"16998"</f>
        <v>16998</v>
      </c>
      <c r="D10183" t="s">
        <v>1372</v>
      </c>
      <c r="E10183">
        <v>19.95</v>
      </c>
      <c r="F10183">
        <v>20140611</v>
      </c>
      <c r="G10183" t="s">
        <v>3820</v>
      </c>
      <c r="H10183" t="s">
        <v>414</v>
      </c>
      <c r="I10183" t="s">
        <v>21</v>
      </c>
    </row>
    <row r="10184" spans="1:9" x14ac:dyDescent="0.25">
      <c r="A10184">
        <v>20140612</v>
      </c>
      <c r="B10184" t="str">
        <f>"116137"</f>
        <v>116137</v>
      </c>
      <c r="C10184" t="str">
        <f>"87839"</f>
        <v>87839</v>
      </c>
      <c r="D10184" t="s">
        <v>4199</v>
      </c>
      <c r="E10184">
        <v>750</v>
      </c>
      <c r="F10184">
        <v>20140606</v>
      </c>
      <c r="G10184" t="s">
        <v>746</v>
      </c>
      <c r="H10184" t="s">
        <v>555</v>
      </c>
      <c r="I10184" t="s">
        <v>21</v>
      </c>
    </row>
    <row r="10185" spans="1:9" x14ac:dyDescent="0.25">
      <c r="A10185">
        <v>20140612</v>
      </c>
      <c r="B10185" t="str">
        <f>"116137"</f>
        <v>116137</v>
      </c>
      <c r="C10185" t="str">
        <f>"87839"</f>
        <v>87839</v>
      </c>
      <c r="D10185" t="s">
        <v>4199</v>
      </c>
      <c r="E10185">
        <v>750</v>
      </c>
      <c r="F10185">
        <v>20140606</v>
      </c>
      <c r="G10185" t="s">
        <v>746</v>
      </c>
      <c r="H10185" t="s">
        <v>555</v>
      </c>
      <c r="I10185" t="s">
        <v>21</v>
      </c>
    </row>
    <row r="10186" spans="1:9" x14ac:dyDescent="0.25">
      <c r="A10186">
        <v>20140612</v>
      </c>
      <c r="B10186" t="str">
        <f>"116138"</f>
        <v>116138</v>
      </c>
      <c r="C10186" t="str">
        <f>"87549"</f>
        <v>87549</v>
      </c>
      <c r="D10186" t="s">
        <v>1382</v>
      </c>
      <c r="E10186">
        <v>149.97</v>
      </c>
      <c r="F10186">
        <v>20140611</v>
      </c>
      <c r="G10186" t="s">
        <v>99</v>
      </c>
      <c r="H10186" t="s">
        <v>2633</v>
      </c>
      <c r="I10186" t="s">
        <v>21</v>
      </c>
    </row>
    <row r="10187" spans="1:9" x14ac:dyDescent="0.25">
      <c r="A10187">
        <v>20140612</v>
      </c>
      <c r="B10187" t="str">
        <f>"116139"</f>
        <v>116139</v>
      </c>
      <c r="C10187" t="str">
        <f>"18150"</f>
        <v>18150</v>
      </c>
      <c r="D10187" t="s">
        <v>3535</v>
      </c>
      <c r="E10187">
        <v>30</v>
      </c>
      <c r="F10187">
        <v>20140606</v>
      </c>
      <c r="G10187" t="s">
        <v>413</v>
      </c>
      <c r="H10187" t="s">
        <v>4589</v>
      </c>
      <c r="I10187" t="s">
        <v>21</v>
      </c>
    </row>
    <row r="10188" spans="1:9" x14ac:dyDescent="0.25">
      <c r="A10188">
        <v>20140612</v>
      </c>
      <c r="B10188" t="str">
        <f>"116140"</f>
        <v>116140</v>
      </c>
      <c r="C10188" t="str">
        <f>"00689"</f>
        <v>00689</v>
      </c>
      <c r="D10188" t="s">
        <v>4590</v>
      </c>
      <c r="E10188" s="1">
        <v>2095</v>
      </c>
      <c r="F10188">
        <v>20140609</v>
      </c>
      <c r="G10188" t="s">
        <v>3630</v>
      </c>
      <c r="H10188" t="s">
        <v>4591</v>
      </c>
      <c r="I10188" t="s">
        <v>63</v>
      </c>
    </row>
    <row r="10189" spans="1:9" x14ac:dyDescent="0.25">
      <c r="A10189">
        <v>20140612</v>
      </c>
      <c r="B10189" t="str">
        <f t="shared" ref="B10189:B10194" si="589">"116141"</f>
        <v>116141</v>
      </c>
      <c r="C10189" t="str">
        <f t="shared" ref="C10189:C10194" si="590">"87566"</f>
        <v>87566</v>
      </c>
      <c r="D10189" t="s">
        <v>2139</v>
      </c>
      <c r="E10189">
        <v>140.30000000000001</v>
      </c>
      <c r="F10189">
        <v>20140611</v>
      </c>
      <c r="G10189" t="s">
        <v>415</v>
      </c>
      <c r="H10189" t="s">
        <v>414</v>
      </c>
      <c r="I10189" t="s">
        <v>21</v>
      </c>
    </row>
    <row r="10190" spans="1:9" x14ac:dyDescent="0.25">
      <c r="A10190">
        <v>20140612</v>
      </c>
      <c r="B10190" t="str">
        <f t="shared" si="589"/>
        <v>116141</v>
      </c>
      <c r="C10190" t="str">
        <f t="shared" si="590"/>
        <v>87566</v>
      </c>
      <c r="D10190" t="s">
        <v>2139</v>
      </c>
      <c r="E10190">
        <v>114.81</v>
      </c>
      <c r="F10190">
        <v>20140606</v>
      </c>
      <c r="G10190" t="s">
        <v>627</v>
      </c>
      <c r="H10190" t="s">
        <v>414</v>
      </c>
      <c r="I10190" t="s">
        <v>21</v>
      </c>
    </row>
    <row r="10191" spans="1:9" x14ac:dyDescent="0.25">
      <c r="A10191">
        <v>20140612</v>
      </c>
      <c r="B10191" t="str">
        <f t="shared" si="589"/>
        <v>116141</v>
      </c>
      <c r="C10191" t="str">
        <f t="shared" si="590"/>
        <v>87566</v>
      </c>
      <c r="D10191" t="s">
        <v>2139</v>
      </c>
      <c r="E10191">
        <v>445.97</v>
      </c>
      <c r="F10191">
        <v>20140606</v>
      </c>
      <c r="G10191" t="s">
        <v>1222</v>
      </c>
      <c r="H10191" t="s">
        <v>414</v>
      </c>
      <c r="I10191" t="s">
        <v>21</v>
      </c>
    </row>
    <row r="10192" spans="1:9" x14ac:dyDescent="0.25">
      <c r="A10192">
        <v>20140612</v>
      </c>
      <c r="B10192" t="str">
        <f t="shared" si="589"/>
        <v>116141</v>
      </c>
      <c r="C10192" t="str">
        <f t="shared" si="590"/>
        <v>87566</v>
      </c>
      <c r="D10192" t="s">
        <v>2139</v>
      </c>
      <c r="E10192">
        <v>84.51</v>
      </c>
      <c r="F10192">
        <v>20140606</v>
      </c>
      <c r="G10192" t="s">
        <v>628</v>
      </c>
      <c r="H10192" t="s">
        <v>414</v>
      </c>
      <c r="I10192" t="s">
        <v>21</v>
      </c>
    </row>
    <row r="10193" spans="1:9" x14ac:dyDescent="0.25">
      <c r="A10193">
        <v>20140612</v>
      </c>
      <c r="B10193" t="str">
        <f t="shared" si="589"/>
        <v>116141</v>
      </c>
      <c r="C10193" t="str">
        <f t="shared" si="590"/>
        <v>87566</v>
      </c>
      <c r="D10193" t="s">
        <v>2139</v>
      </c>
      <c r="E10193">
        <v>79.989999999999995</v>
      </c>
      <c r="F10193">
        <v>20140606</v>
      </c>
      <c r="G10193" t="s">
        <v>530</v>
      </c>
      <c r="H10193" t="s">
        <v>414</v>
      </c>
      <c r="I10193" t="s">
        <v>21</v>
      </c>
    </row>
    <row r="10194" spans="1:9" x14ac:dyDescent="0.25">
      <c r="A10194">
        <v>20140612</v>
      </c>
      <c r="B10194" t="str">
        <f t="shared" si="589"/>
        <v>116141</v>
      </c>
      <c r="C10194" t="str">
        <f t="shared" si="590"/>
        <v>87566</v>
      </c>
      <c r="D10194" t="s">
        <v>2139</v>
      </c>
      <c r="E10194" s="1">
        <v>3465.72</v>
      </c>
      <c r="F10194">
        <v>20140606</v>
      </c>
      <c r="G10194" t="s">
        <v>1408</v>
      </c>
      <c r="H10194" t="s">
        <v>4592</v>
      </c>
      <c r="I10194" t="s">
        <v>12</v>
      </c>
    </row>
    <row r="10195" spans="1:9" x14ac:dyDescent="0.25">
      <c r="A10195">
        <v>20140612</v>
      </c>
      <c r="B10195" t="str">
        <f>"116142"</f>
        <v>116142</v>
      </c>
      <c r="C10195" t="str">
        <f>"87150"</f>
        <v>87150</v>
      </c>
      <c r="D10195" t="s">
        <v>1386</v>
      </c>
      <c r="E10195">
        <v>569.23</v>
      </c>
      <c r="F10195">
        <v>20140611</v>
      </c>
      <c r="G10195" t="s">
        <v>404</v>
      </c>
      <c r="H10195" t="s">
        <v>1387</v>
      </c>
      <c r="I10195" t="s">
        <v>12</v>
      </c>
    </row>
    <row r="10196" spans="1:9" x14ac:dyDescent="0.25">
      <c r="A10196">
        <v>20140612</v>
      </c>
      <c r="B10196" t="str">
        <f>"116142"</f>
        <v>116142</v>
      </c>
      <c r="C10196" t="str">
        <f>"87150"</f>
        <v>87150</v>
      </c>
      <c r="D10196" t="s">
        <v>1386</v>
      </c>
      <c r="E10196">
        <v>16.7</v>
      </c>
      <c r="F10196">
        <v>20140611</v>
      </c>
      <c r="G10196" t="s">
        <v>202</v>
      </c>
      <c r="H10196" t="s">
        <v>2917</v>
      </c>
      <c r="I10196" t="s">
        <v>12</v>
      </c>
    </row>
    <row r="10197" spans="1:9" x14ac:dyDescent="0.25">
      <c r="A10197">
        <v>20140612</v>
      </c>
      <c r="B10197" t="str">
        <f>"116143"</f>
        <v>116143</v>
      </c>
      <c r="C10197" t="str">
        <f>"23122"</f>
        <v>23122</v>
      </c>
      <c r="D10197" t="s">
        <v>2337</v>
      </c>
      <c r="E10197">
        <v>130.19999999999999</v>
      </c>
      <c r="F10197">
        <v>20140611</v>
      </c>
      <c r="G10197" t="s">
        <v>181</v>
      </c>
      <c r="H10197" t="s">
        <v>414</v>
      </c>
      <c r="I10197" t="s">
        <v>38</v>
      </c>
    </row>
    <row r="10198" spans="1:9" x14ac:dyDescent="0.25">
      <c r="A10198">
        <v>20140612</v>
      </c>
      <c r="B10198" t="str">
        <f>"116144"</f>
        <v>116144</v>
      </c>
      <c r="C10198" t="str">
        <f>"22200"</f>
        <v>22200</v>
      </c>
      <c r="D10198" t="s">
        <v>519</v>
      </c>
      <c r="E10198">
        <v>833.65</v>
      </c>
      <c r="F10198">
        <v>20140611</v>
      </c>
      <c r="G10198" t="s">
        <v>794</v>
      </c>
      <c r="H10198" t="s">
        <v>1393</v>
      </c>
      <c r="I10198" t="s">
        <v>21</v>
      </c>
    </row>
    <row r="10199" spans="1:9" x14ac:dyDescent="0.25">
      <c r="A10199">
        <v>20140612</v>
      </c>
      <c r="B10199" t="str">
        <f>"116145"</f>
        <v>116145</v>
      </c>
      <c r="C10199" t="str">
        <f>"22220"</f>
        <v>22220</v>
      </c>
      <c r="D10199" t="s">
        <v>521</v>
      </c>
      <c r="E10199">
        <v>198.8</v>
      </c>
      <c r="F10199">
        <v>20140606</v>
      </c>
      <c r="G10199" t="s">
        <v>4328</v>
      </c>
      <c r="H10199" t="s">
        <v>4593</v>
      </c>
      <c r="I10199" t="s">
        <v>21</v>
      </c>
    </row>
    <row r="10200" spans="1:9" x14ac:dyDescent="0.25">
      <c r="A10200">
        <v>20140612</v>
      </c>
      <c r="B10200" t="str">
        <f>"116145"</f>
        <v>116145</v>
      </c>
      <c r="C10200" t="str">
        <f>"22220"</f>
        <v>22220</v>
      </c>
      <c r="D10200" t="s">
        <v>521</v>
      </c>
      <c r="E10200">
        <v>797.87</v>
      </c>
      <c r="F10200">
        <v>20140606</v>
      </c>
      <c r="G10200" t="s">
        <v>367</v>
      </c>
      <c r="H10200" t="s">
        <v>4594</v>
      </c>
      <c r="I10200" t="s">
        <v>21</v>
      </c>
    </row>
    <row r="10201" spans="1:9" x14ac:dyDescent="0.25">
      <c r="A10201">
        <v>20140612</v>
      </c>
      <c r="B10201" t="str">
        <f>"116146"</f>
        <v>116146</v>
      </c>
      <c r="C10201" t="str">
        <f>"23168"</f>
        <v>23168</v>
      </c>
      <c r="D10201" t="s">
        <v>1396</v>
      </c>
      <c r="E10201">
        <v>263.8</v>
      </c>
      <c r="F10201">
        <v>20140606</v>
      </c>
      <c r="G10201" t="s">
        <v>621</v>
      </c>
      <c r="H10201" t="s">
        <v>4595</v>
      </c>
      <c r="I10201" t="s">
        <v>21</v>
      </c>
    </row>
    <row r="10202" spans="1:9" x14ac:dyDescent="0.25">
      <c r="A10202">
        <v>20140612</v>
      </c>
      <c r="B10202" t="str">
        <f>"116147"</f>
        <v>116147</v>
      </c>
      <c r="C10202" t="str">
        <f>"81026"</f>
        <v>81026</v>
      </c>
      <c r="D10202" t="s">
        <v>2923</v>
      </c>
      <c r="E10202">
        <v>445.12</v>
      </c>
      <c r="F10202">
        <v>20140611</v>
      </c>
      <c r="G10202" t="s">
        <v>1145</v>
      </c>
      <c r="H10202" t="s">
        <v>921</v>
      </c>
      <c r="I10202" t="s">
        <v>73</v>
      </c>
    </row>
    <row r="10203" spans="1:9" x14ac:dyDescent="0.25">
      <c r="A10203">
        <v>20140612</v>
      </c>
      <c r="B10203" t="str">
        <f>"116148"</f>
        <v>116148</v>
      </c>
      <c r="C10203" t="str">
        <f>"81026"</f>
        <v>81026</v>
      </c>
      <c r="D10203" t="s">
        <v>2923</v>
      </c>
      <c r="E10203">
        <v>238</v>
      </c>
      <c r="F10203">
        <v>20140611</v>
      </c>
      <c r="G10203" t="s">
        <v>4425</v>
      </c>
      <c r="H10203" t="s">
        <v>921</v>
      </c>
      <c r="I10203" t="s">
        <v>21</v>
      </c>
    </row>
    <row r="10204" spans="1:9" x14ac:dyDescent="0.25">
      <c r="A10204">
        <v>20140612</v>
      </c>
      <c r="B10204" t="str">
        <f>"116149"</f>
        <v>116149</v>
      </c>
      <c r="C10204" t="str">
        <f>"23185"</f>
        <v>23185</v>
      </c>
      <c r="D10204" t="s">
        <v>803</v>
      </c>
      <c r="E10204">
        <v>15</v>
      </c>
      <c r="F10204">
        <v>20140606</v>
      </c>
      <c r="G10204" t="s">
        <v>630</v>
      </c>
      <c r="H10204" t="s">
        <v>4596</v>
      </c>
      <c r="I10204" t="s">
        <v>21</v>
      </c>
    </row>
    <row r="10205" spans="1:9" x14ac:dyDescent="0.25">
      <c r="A10205">
        <v>20140612</v>
      </c>
      <c r="B10205" t="str">
        <f>"116149"</f>
        <v>116149</v>
      </c>
      <c r="C10205" t="str">
        <f>"23185"</f>
        <v>23185</v>
      </c>
      <c r="D10205" t="s">
        <v>803</v>
      </c>
      <c r="E10205">
        <v>73.89</v>
      </c>
      <c r="F10205">
        <v>20140606</v>
      </c>
      <c r="G10205" t="s">
        <v>3820</v>
      </c>
      <c r="H10205" t="s">
        <v>4597</v>
      </c>
      <c r="I10205" t="s">
        <v>21</v>
      </c>
    </row>
    <row r="10206" spans="1:9" x14ac:dyDescent="0.25">
      <c r="A10206">
        <v>20140612</v>
      </c>
      <c r="B10206" t="str">
        <f>"116149"</f>
        <v>116149</v>
      </c>
      <c r="C10206" t="str">
        <f>"23185"</f>
        <v>23185</v>
      </c>
      <c r="D10206" t="s">
        <v>803</v>
      </c>
      <c r="E10206">
        <v>250</v>
      </c>
      <c r="F10206">
        <v>20140611</v>
      </c>
      <c r="G10206" t="s">
        <v>3820</v>
      </c>
      <c r="H10206" t="s">
        <v>4598</v>
      </c>
      <c r="I10206" t="s">
        <v>21</v>
      </c>
    </row>
    <row r="10207" spans="1:9" x14ac:dyDescent="0.25">
      <c r="A10207">
        <v>20140612</v>
      </c>
      <c r="B10207" t="str">
        <f>"116149"</f>
        <v>116149</v>
      </c>
      <c r="C10207" t="str">
        <f>"23185"</f>
        <v>23185</v>
      </c>
      <c r="D10207" t="s">
        <v>803</v>
      </c>
      <c r="E10207">
        <v>105</v>
      </c>
      <c r="F10207">
        <v>20140611</v>
      </c>
      <c r="G10207" t="s">
        <v>3820</v>
      </c>
      <c r="H10207" t="s">
        <v>4599</v>
      </c>
      <c r="I10207" t="s">
        <v>21</v>
      </c>
    </row>
    <row r="10208" spans="1:9" x14ac:dyDescent="0.25">
      <c r="A10208">
        <v>20140612</v>
      </c>
      <c r="B10208" t="str">
        <f>"116150"</f>
        <v>116150</v>
      </c>
      <c r="C10208" t="str">
        <f>"23827"</f>
        <v>23827</v>
      </c>
      <c r="D10208" t="s">
        <v>528</v>
      </c>
      <c r="E10208">
        <v>214</v>
      </c>
      <c r="F10208">
        <v>20140611</v>
      </c>
      <c r="G10208" t="s">
        <v>181</v>
      </c>
      <c r="H10208" t="s">
        <v>4600</v>
      </c>
      <c r="I10208" t="s">
        <v>38</v>
      </c>
    </row>
    <row r="10209" spans="1:9" x14ac:dyDescent="0.25">
      <c r="A10209">
        <v>20140612</v>
      </c>
      <c r="B10209" t="str">
        <f>"116150"</f>
        <v>116150</v>
      </c>
      <c r="C10209" t="str">
        <f>"23827"</f>
        <v>23827</v>
      </c>
      <c r="D10209" t="s">
        <v>528</v>
      </c>
      <c r="E10209">
        <v>154.6</v>
      </c>
      <c r="F10209">
        <v>20140611</v>
      </c>
      <c r="G10209" t="s">
        <v>48</v>
      </c>
      <c r="H10209" t="s">
        <v>4601</v>
      </c>
      <c r="I10209" t="s">
        <v>25</v>
      </c>
    </row>
    <row r="10210" spans="1:9" x14ac:dyDescent="0.25">
      <c r="A10210">
        <v>20140612</v>
      </c>
      <c r="B10210" t="str">
        <f>"116151"</f>
        <v>116151</v>
      </c>
      <c r="C10210" t="str">
        <f>"84951"</f>
        <v>84951</v>
      </c>
      <c r="D10210" t="s">
        <v>3137</v>
      </c>
      <c r="E10210" s="1">
        <v>1312.3</v>
      </c>
      <c r="F10210">
        <v>20140605</v>
      </c>
      <c r="G10210" t="s">
        <v>3029</v>
      </c>
      <c r="H10210" t="s">
        <v>4602</v>
      </c>
      <c r="I10210" t="s">
        <v>21</v>
      </c>
    </row>
    <row r="10211" spans="1:9" x14ac:dyDescent="0.25">
      <c r="A10211">
        <v>20140612</v>
      </c>
      <c r="B10211" t="str">
        <f>"116152"</f>
        <v>116152</v>
      </c>
      <c r="C10211" t="str">
        <f>"83518"</f>
        <v>83518</v>
      </c>
      <c r="D10211" t="s">
        <v>2155</v>
      </c>
      <c r="E10211" s="1">
        <v>1378.26</v>
      </c>
      <c r="F10211">
        <v>20140610</v>
      </c>
      <c r="G10211" t="s">
        <v>1304</v>
      </c>
      <c r="H10211" t="s">
        <v>4603</v>
      </c>
      <c r="I10211" t="s">
        <v>21</v>
      </c>
    </row>
    <row r="10212" spans="1:9" x14ac:dyDescent="0.25">
      <c r="A10212">
        <v>20140612</v>
      </c>
      <c r="B10212" t="str">
        <f>"116153"</f>
        <v>116153</v>
      </c>
      <c r="C10212" t="str">
        <f>"24575"</f>
        <v>24575</v>
      </c>
      <c r="D10212" t="s">
        <v>2658</v>
      </c>
      <c r="E10212">
        <v>116.87</v>
      </c>
      <c r="F10212">
        <v>20140605</v>
      </c>
      <c r="G10212" t="s">
        <v>834</v>
      </c>
      <c r="H10212" t="s">
        <v>839</v>
      </c>
      <c r="I10212" t="s">
        <v>21</v>
      </c>
    </row>
    <row r="10213" spans="1:9" x14ac:dyDescent="0.25">
      <c r="A10213">
        <v>20140612</v>
      </c>
      <c r="B10213" t="str">
        <f>"116153"</f>
        <v>116153</v>
      </c>
      <c r="C10213" t="str">
        <f>"24575"</f>
        <v>24575</v>
      </c>
      <c r="D10213" t="s">
        <v>2658</v>
      </c>
      <c r="E10213">
        <v>399.89</v>
      </c>
      <c r="F10213">
        <v>20140605</v>
      </c>
      <c r="G10213" t="s">
        <v>1299</v>
      </c>
      <c r="H10213" t="s">
        <v>839</v>
      </c>
      <c r="I10213" t="s">
        <v>21</v>
      </c>
    </row>
    <row r="10214" spans="1:9" x14ac:dyDescent="0.25">
      <c r="A10214">
        <v>20140612</v>
      </c>
      <c r="B10214" t="str">
        <f>"116154"</f>
        <v>116154</v>
      </c>
      <c r="C10214" t="str">
        <f>"87885"</f>
        <v>87885</v>
      </c>
      <c r="D10214" t="s">
        <v>4604</v>
      </c>
      <c r="E10214" s="1">
        <v>18875</v>
      </c>
      <c r="F10214">
        <v>20140609</v>
      </c>
      <c r="G10214" t="s">
        <v>3899</v>
      </c>
      <c r="H10214" t="s">
        <v>4605</v>
      </c>
      <c r="I10214" t="s">
        <v>21</v>
      </c>
    </row>
    <row r="10215" spans="1:9" x14ac:dyDescent="0.25">
      <c r="A10215">
        <v>20140612</v>
      </c>
      <c r="B10215" t="str">
        <f t="shared" ref="B10215:B10229" si="591">"116155"</f>
        <v>116155</v>
      </c>
      <c r="C10215" t="str">
        <f t="shared" ref="C10215:C10229" si="592">"87714"</f>
        <v>87714</v>
      </c>
      <c r="D10215" t="s">
        <v>3141</v>
      </c>
      <c r="E10215" s="1">
        <v>3710.9</v>
      </c>
      <c r="F10215">
        <v>20140609</v>
      </c>
      <c r="G10215" t="s">
        <v>717</v>
      </c>
      <c r="H10215" t="s">
        <v>488</v>
      </c>
      <c r="I10215" t="s">
        <v>21</v>
      </c>
    </row>
    <row r="10216" spans="1:9" x14ac:dyDescent="0.25">
      <c r="A10216">
        <v>20140612</v>
      </c>
      <c r="B10216" t="str">
        <f t="shared" si="591"/>
        <v>116155</v>
      </c>
      <c r="C10216" t="str">
        <f t="shared" si="592"/>
        <v>87714</v>
      </c>
      <c r="D10216" t="s">
        <v>3141</v>
      </c>
      <c r="E10216" s="1">
        <v>37521.43</v>
      </c>
      <c r="F10216">
        <v>20140609</v>
      </c>
      <c r="G10216" t="s">
        <v>718</v>
      </c>
      <c r="H10216" t="s">
        <v>488</v>
      </c>
      <c r="I10216" t="s">
        <v>21</v>
      </c>
    </row>
    <row r="10217" spans="1:9" x14ac:dyDescent="0.25">
      <c r="A10217">
        <v>20140612</v>
      </c>
      <c r="B10217" t="str">
        <f t="shared" si="591"/>
        <v>116155</v>
      </c>
      <c r="C10217" t="str">
        <f t="shared" si="592"/>
        <v>87714</v>
      </c>
      <c r="D10217" t="s">
        <v>3141</v>
      </c>
      <c r="E10217" s="1">
        <v>12524.91</v>
      </c>
      <c r="F10217">
        <v>20140609</v>
      </c>
      <c r="G10217" t="s">
        <v>719</v>
      </c>
      <c r="H10217" t="s">
        <v>488</v>
      </c>
      <c r="I10217" t="s">
        <v>21</v>
      </c>
    </row>
    <row r="10218" spans="1:9" x14ac:dyDescent="0.25">
      <c r="A10218">
        <v>20140612</v>
      </c>
      <c r="B10218" t="str">
        <f t="shared" si="591"/>
        <v>116155</v>
      </c>
      <c r="C10218" t="str">
        <f t="shared" si="592"/>
        <v>87714</v>
      </c>
      <c r="D10218" t="s">
        <v>3141</v>
      </c>
      <c r="E10218" s="1">
        <v>6290.98</v>
      </c>
      <c r="F10218">
        <v>20140609</v>
      </c>
      <c r="G10218" t="s">
        <v>720</v>
      </c>
      <c r="H10218" t="s">
        <v>488</v>
      </c>
      <c r="I10218" t="s">
        <v>21</v>
      </c>
    </row>
    <row r="10219" spans="1:9" x14ac:dyDescent="0.25">
      <c r="A10219">
        <v>20140612</v>
      </c>
      <c r="B10219" t="str">
        <f t="shared" si="591"/>
        <v>116155</v>
      </c>
      <c r="C10219" t="str">
        <f t="shared" si="592"/>
        <v>87714</v>
      </c>
      <c r="D10219" t="s">
        <v>3141</v>
      </c>
      <c r="E10219" s="1">
        <v>8946.58</v>
      </c>
      <c r="F10219">
        <v>20140609</v>
      </c>
      <c r="G10219" t="s">
        <v>721</v>
      </c>
      <c r="H10219" t="s">
        <v>488</v>
      </c>
      <c r="I10219" t="s">
        <v>21</v>
      </c>
    </row>
    <row r="10220" spans="1:9" x14ac:dyDescent="0.25">
      <c r="A10220">
        <v>20140612</v>
      </c>
      <c r="B10220" t="str">
        <f t="shared" si="591"/>
        <v>116155</v>
      </c>
      <c r="C10220" t="str">
        <f t="shared" si="592"/>
        <v>87714</v>
      </c>
      <c r="D10220" t="s">
        <v>3141</v>
      </c>
      <c r="E10220" s="1">
        <v>8342.48</v>
      </c>
      <c r="F10220">
        <v>20140609</v>
      </c>
      <c r="G10220" t="s">
        <v>722</v>
      </c>
      <c r="H10220" t="s">
        <v>488</v>
      </c>
      <c r="I10220" t="s">
        <v>21</v>
      </c>
    </row>
    <row r="10221" spans="1:9" x14ac:dyDescent="0.25">
      <c r="A10221">
        <v>20140612</v>
      </c>
      <c r="B10221" t="str">
        <f t="shared" si="591"/>
        <v>116155</v>
      </c>
      <c r="C10221" t="str">
        <f t="shared" si="592"/>
        <v>87714</v>
      </c>
      <c r="D10221" t="s">
        <v>3141</v>
      </c>
      <c r="E10221" s="1">
        <v>6764.3</v>
      </c>
      <c r="F10221">
        <v>20140609</v>
      </c>
      <c r="G10221" t="s">
        <v>723</v>
      </c>
      <c r="H10221" t="s">
        <v>488</v>
      </c>
      <c r="I10221" t="s">
        <v>21</v>
      </c>
    </row>
    <row r="10222" spans="1:9" x14ac:dyDescent="0.25">
      <c r="A10222">
        <v>20140612</v>
      </c>
      <c r="B10222" t="str">
        <f t="shared" si="591"/>
        <v>116155</v>
      </c>
      <c r="C10222" t="str">
        <f t="shared" si="592"/>
        <v>87714</v>
      </c>
      <c r="D10222" t="s">
        <v>3141</v>
      </c>
      <c r="E10222" s="1">
        <v>1104.47</v>
      </c>
      <c r="F10222">
        <v>20140609</v>
      </c>
      <c r="G10222" t="s">
        <v>724</v>
      </c>
      <c r="H10222" t="s">
        <v>488</v>
      </c>
      <c r="I10222" t="s">
        <v>21</v>
      </c>
    </row>
    <row r="10223" spans="1:9" x14ac:dyDescent="0.25">
      <c r="A10223">
        <v>20140612</v>
      </c>
      <c r="B10223" t="str">
        <f t="shared" si="591"/>
        <v>116155</v>
      </c>
      <c r="C10223" t="str">
        <f t="shared" si="592"/>
        <v>87714</v>
      </c>
      <c r="D10223" t="s">
        <v>3141</v>
      </c>
      <c r="E10223" s="1">
        <v>7535.11</v>
      </c>
      <c r="F10223">
        <v>20140609</v>
      </c>
      <c r="G10223" t="s">
        <v>725</v>
      </c>
      <c r="H10223" t="s">
        <v>488</v>
      </c>
      <c r="I10223" t="s">
        <v>21</v>
      </c>
    </row>
    <row r="10224" spans="1:9" x14ac:dyDescent="0.25">
      <c r="A10224">
        <v>20140612</v>
      </c>
      <c r="B10224" t="str">
        <f t="shared" si="591"/>
        <v>116155</v>
      </c>
      <c r="C10224" t="str">
        <f t="shared" si="592"/>
        <v>87714</v>
      </c>
      <c r="D10224" t="s">
        <v>3141</v>
      </c>
      <c r="E10224" s="1">
        <v>1288.77</v>
      </c>
      <c r="F10224">
        <v>20140609</v>
      </c>
      <c r="G10224" t="s">
        <v>726</v>
      </c>
      <c r="H10224" t="s">
        <v>488</v>
      </c>
      <c r="I10224" t="s">
        <v>21</v>
      </c>
    </row>
    <row r="10225" spans="1:9" x14ac:dyDescent="0.25">
      <c r="A10225">
        <v>20140612</v>
      </c>
      <c r="B10225" t="str">
        <f t="shared" si="591"/>
        <v>116155</v>
      </c>
      <c r="C10225" t="str">
        <f t="shared" si="592"/>
        <v>87714</v>
      </c>
      <c r="D10225" t="s">
        <v>3141</v>
      </c>
      <c r="E10225" s="1">
        <v>2747.2</v>
      </c>
      <c r="F10225">
        <v>20140609</v>
      </c>
      <c r="G10225" t="s">
        <v>727</v>
      </c>
      <c r="H10225" t="s">
        <v>488</v>
      </c>
      <c r="I10225" t="s">
        <v>21</v>
      </c>
    </row>
    <row r="10226" spans="1:9" x14ac:dyDescent="0.25">
      <c r="A10226">
        <v>20140612</v>
      </c>
      <c r="B10226" t="str">
        <f t="shared" si="591"/>
        <v>116155</v>
      </c>
      <c r="C10226" t="str">
        <f t="shared" si="592"/>
        <v>87714</v>
      </c>
      <c r="D10226" t="s">
        <v>3141</v>
      </c>
      <c r="E10226" s="1">
        <v>2210.2600000000002</v>
      </c>
      <c r="F10226">
        <v>20140609</v>
      </c>
      <c r="G10226" t="s">
        <v>728</v>
      </c>
      <c r="H10226" t="s">
        <v>488</v>
      </c>
      <c r="I10226" t="s">
        <v>21</v>
      </c>
    </row>
    <row r="10227" spans="1:9" x14ac:dyDescent="0.25">
      <c r="A10227">
        <v>20140612</v>
      </c>
      <c r="B10227" t="str">
        <f t="shared" si="591"/>
        <v>116155</v>
      </c>
      <c r="C10227" t="str">
        <f t="shared" si="592"/>
        <v>87714</v>
      </c>
      <c r="D10227" t="s">
        <v>3141</v>
      </c>
      <c r="E10227" s="1">
        <v>3773.18</v>
      </c>
      <c r="F10227">
        <v>20140609</v>
      </c>
      <c r="G10227" t="s">
        <v>729</v>
      </c>
      <c r="H10227" t="s">
        <v>488</v>
      </c>
      <c r="I10227" t="s">
        <v>21</v>
      </c>
    </row>
    <row r="10228" spans="1:9" x14ac:dyDescent="0.25">
      <c r="A10228">
        <v>20140612</v>
      </c>
      <c r="B10228" t="str">
        <f t="shared" si="591"/>
        <v>116155</v>
      </c>
      <c r="C10228" t="str">
        <f t="shared" si="592"/>
        <v>87714</v>
      </c>
      <c r="D10228" t="s">
        <v>3141</v>
      </c>
      <c r="E10228" s="1">
        <v>1334</v>
      </c>
      <c r="F10228">
        <v>20140609</v>
      </c>
      <c r="G10228" t="s">
        <v>643</v>
      </c>
      <c r="H10228" t="s">
        <v>488</v>
      </c>
      <c r="I10228" t="s">
        <v>21</v>
      </c>
    </row>
    <row r="10229" spans="1:9" x14ac:dyDescent="0.25">
      <c r="A10229">
        <v>20140612</v>
      </c>
      <c r="B10229" t="str">
        <f t="shared" si="591"/>
        <v>116155</v>
      </c>
      <c r="C10229" t="str">
        <f t="shared" si="592"/>
        <v>87714</v>
      </c>
      <c r="D10229" t="s">
        <v>3141</v>
      </c>
      <c r="E10229">
        <v>11.45</v>
      </c>
      <c r="F10229">
        <v>20140609</v>
      </c>
      <c r="G10229" t="s">
        <v>467</v>
      </c>
      <c r="H10229" t="s">
        <v>488</v>
      </c>
      <c r="I10229" t="s">
        <v>21</v>
      </c>
    </row>
    <row r="10230" spans="1:9" x14ac:dyDescent="0.25">
      <c r="A10230">
        <v>20140612</v>
      </c>
      <c r="B10230" t="str">
        <f t="shared" ref="B10230:B10244" si="593">"116156"</f>
        <v>116156</v>
      </c>
      <c r="C10230" t="str">
        <f t="shared" ref="C10230:C10245" si="594">"25516"</f>
        <v>25516</v>
      </c>
      <c r="D10230" t="s">
        <v>529</v>
      </c>
      <c r="E10230">
        <v>16.600000000000001</v>
      </c>
      <c r="F10230">
        <v>20140611</v>
      </c>
      <c r="G10230" t="s">
        <v>413</v>
      </c>
      <c r="H10230" t="s">
        <v>414</v>
      </c>
      <c r="I10230" t="s">
        <v>21</v>
      </c>
    </row>
    <row r="10231" spans="1:9" x14ac:dyDescent="0.25">
      <c r="A10231">
        <v>20140612</v>
      </c>
      <c r="B10231" t="str">
        <f t="shared" si="593"/>
        <v>116156</v>
      </c>
      <c r="C10231" t="str">
        <f t="shared" si="594"/>
        <v>25516</v>
      </c>
      <c r="D10231" t="s">
        <v>529</v>
      </c>
      <c r="E10231" s="1">
        <v>2508.0500000000002</v>
      </c>
      <c r="F10231">
        <v>20140611</v>
      </c>
      <c r="G10231" t="s">
        <v>473</v>
      </c>
      <c r="H10231" t="s">
        <v>414</v>
      </c>
      <c r="I10231" t="s">
        <v>21</v>
      </c>
    </row>
    <row r="10232" spans="1:9" x14ac:dyDescent="0.25">
      <c r="A10232">
        <v>20140612</v>
      </c>
      <c r="B10232" t="str">
        <f t="shared" si="593"/>
        <v>116156</v>
      </c>
      <c r="C10232" t="str">
        <f t="shared" si="594"/>
        <v>25516</v>
      </c>
      <c r="D10232" t="s">
        <v>529</v>
      </c>
      <c r="E10232">
        <v>566.04</v>
      </c>
      <c r="F10232">
        <v>20140611</v>
      </c>
      <c r="G10232" t="s">
        <v>475</v>
      </c>
      <c r="H10232" t="s">
        <v>414</v>
      </c>
      <c r="I10232" t="s">
        <v>21</v>
      </c>
    </row>
    <row r="10233" spans="1:9" x14ac:dyDescent="0.25">
      <c r="A10233">
        <v>20140612</v>
      </c>
      <c r="B10233" t="str">
        <f t="shared" si="593"/>
        <v>116156</v>
      </c>
      <c r="C10233" t="str">
        <f t="shared" si="594"/>
        <v>25516</v>
      </c>
      <c r="D10233" t="s">
        <v>529</v>
      </c>
      <c r="E10233">
        <v>702.56</v>
      </c>
      <c r="F10233">
        <v>20140611</v>
      </c>
      <c r="G10233" t="s">
        <v>476</v>
      </c>
      <c r="H10233" t="s">
        <v>414</v>
      </c>
      <c r="I10233" t="s">
        <v>21</v>
      </c>
    </row>
    <row r="10234" spans="1:9" x14ac:dyDescent="0.25">
      <c r="A10234">
        <v>20140612</v>
      </c>
      <c r="B10234" t="str">
        <f t="shared" si="593"/>
        <v>116156</v>
      </c>
      <c r="C10234" t="str">
        <f t="shared" si="594"/>
        <v>25516</v>
      </c>
      <c r="D10234" t="s">
        <v>529</v>
      </c>
      <c r="E10234" s="1">
        <v>1598.05</v>
      </c>
      <c r="F10234">
        <v>20140611</v>
      </c>
      <c r="G10234" t="s">
        <v>477</v>
      </c>
      <c r="H10234" t="s">
        <v>414</v>
      </c>
      <c r="I10234" t="s">
        <v>21</v>
      </c>
    </row>
    <row r="10235" spans="1:9" x14ac:dyDescent="0.25">
      <c r="A10235">
        <v>20140612</v>
      </c>
      <c r="B10235" t="str">
        <f t="shared" si="593"/>
        <v>116156</v>
      </c>
      <c r="C10235" t="str">
        <f t="shared" si="594"/>
        <v>25516</v>
      </c>
      <c r="D10235" t="s">
        <v>529</v>
      </c>
      <c r="E10235" s="1">
        <v>2663.07</v>
      </c>
      <c r="F10235">
        <v>20140611</v>
      </c>
      <c r="G10235" t="s">
        <v>479</v>
      </c>
      <c r="H10235" t="s">
        <v>414</v>
      </c>
      <c r="I10235" t="s">
        <v>21</v>
      </c>
    </row>
    <row r="10236" spans="1:9" x14ac:dyDescent="0.25">
      <c r="A10236">
        <v>20140612</v>
      </c>
      <c r="B10236" t="str">
        <f t="shared" si="593"/>
        <v>116156</v>
      </c>
      <c r="C10236" t="str">
        <f t="shared" si="594"/>
        <v>25516</v>
      </c>
      <c r="D10236" t="s">
        <v>529</v>
      </c>
      <c r="E10236" s="1">
        <v>1493.42</v>
      </c>
      <c r="F10236">
        <v>20140611</v>
      </c>
      <c r="G10236" t="s">
        <v>480</v>
      </c>
      <c r="H10236" t="s">
        <v>414</v>
      </c>
      <c r="I10236" t="s">
        <v>21</v>
      </c>
    </row>
    <row r="10237" spans="1:9" x14ac:dyDescent="0.25">
      <c r="A10237">
        <v>20140612</v>
      </c>
      <c r="B10237" t="str">
        <f t="shared" si="593"/>
        <v>116156</v>
      </c>
      <c r="C10237" t="str">
        <f t="shared" si="594"/>
        <v>25516</v>
      </c>
      <c r="D10237" t="s">
        <v>529</v>
      </c>
      <c r="E10237" s="1">
        <v>1347</v>
      </c>
      <c r="F10237">
        <v>20140611</v>
      </c>
      <c r="G10237" t="s">
        <v>480</v>
      </c>
      <c r="H10237" t="s">
        <v>414</v>
      </c>
      <c r="I10237" t="s">
        <v>21</v>
      </c>
    </row>
    <row r="10238" spans="1:9" x14ac:dyDescent="0.25">
      <c r="A10238">
        <v>20140612</v>
      </c>
      <c r="B10238" t="str">
        <f t="shared" si="593"/>
        <v>116156</v>
      </c>
      <c r="C10238" t="str">
        <f t="shared" si="594"/>
        <v>25516</v>
      </c>
      <c r="D10238" t="s">
        <v>529</v>
      </c>
      <c r="E10238" s="1">
        <v>1692.83</v>
      </c>
      <c r="F10238">
        <v>20140611</v>
      </c>
      <c r="G10238" t="s">
        <v>481</v>
      </c>
      <c r="H10238" t="s">
        <v>414</v>
      </c>
      <c r="I10238" t="s">
        <v>21</v>
      </c>
    </row>
    <row r="10239" spans="1:9" x14ac:dyDescent="0.25">
      <c r="A10239">
        <v>20140612</v>
      </c>
      <c r="B10239" t="str">
        <f t="shared" si="593"/>
        <v>116156</v>
      </c>
      <c r="C10239" t="str">
        <f t="shared" si="594"/>
        <v>25516</v>
      </c>
      <c r="D10239" t="s">
        <v>529</v>
      </c>
      <c r="E10239" s="1">
        <v>4125.33</v>
      </c>
      <c r="F10239">
        <v>20140611</v>
      </c>
      <c r="G10239" t="s">
        <v>482</v>
      </c>
      <c r="H10239" t="s">
        <v>414</v>
      </c>
      <c r="I10239" t="s">
        <v>21</v>
      </c>
    </row>
    <row r="10240" spans="1:9" x14ac:dyDescent="0.25">
      <c r="A10240">
        <v>20140612</v>
      </c>
      <c r="B10240" t="str">
        <f t="shared" si="593"/>
        <v>116156</v>
      </c>
      <c r="C10240" t="str">
        <f t="shared" si="594"/>
        <v>25516</v>
      </c>
      <c r="D10240" t="s">
        <v>529</v>
      </c>
      <c r="E10240">
        <v>231.28</v>
      </c>
      <c r="F10240">
        <v>20140611</v>
      </c>
      <c r="G10240" t="s">
        <v>483</v>
      </c>
      <c r="H10240" t="s">
        <v>414</v>
      </c>
      <c r="I10240" t="s">
        <v>21</v>
      </c>
    </row>
    <row r="10241" spans="1:9" x14ac:dyDescent="0.25">
      <c r="A10241">
        <v>20140612</v>
      </c>
      <c r="B10241" t="str">
        <f t="shared" si="593"/>
        <v>116156</v>
      </c>
      <c r="C10241" t="str">
        <f t="shared" si="594"/>
        <v>25516</v>
      </c>
      <c r="D10241" t="s">
        <v>529</v>
      </c>
      <c r="E10241" s="1">
        <v>1400.4</v>
      </c>
      <c r="F10241">
        <v>20140611</v>
      </c>
      <c r="G10241" t="s">
        <v>484</v>
      </c>
      <c r="H10241" t="s">
        <v>414</v>
      </c>
      <c r="I10241" t="s">
        <v>21</v>
      </c>
    </row>
    <row r="10242" spans="1:9" x14ac:dyDescent="0.25">
      <c r="A10242">
        <v>20140612</v>
      </c>
      <c r="B10242" t="str">
        <f t="shared" si="593"/>
        <v>116156</v>
      </c>
      <c r="C10242" t="str">
        <f t="shared" si="594"/>
        <v>25516</v>
      </c>
      <c r="D10242" t="s">
        <v>529</v>
      </c>
      <c r="E10242" s="1">
        <v>1673.31</v>
      </c>
      <c r="F10242">
        <v>20140611</v>
      </c>
      <c r="G10242" t="s">
        <v>485</v>
      </c>
      <c r="H10242" t="s">
        <v>414</v>
      </c>
      <c r="I10242" t="s">
        <v>21</v>
      </c>
    </row>
    <row r="10243" spans="1:9" x14ac:dyDescent="0.25">
      <c r="A10243">
        <v>20140612</v>
      </c>
      <c r="B10243" t="str">
        <f t="shared" si="593"/>
        <v>116156</v>
      </c>
      <c r="C10243" t="str">
        <f t="shared" si="594"/>
        <v>25516</v>
      </c>
      <c r="D10243" t="s">
        <v>529</v>
      </c>
      <c r="E10243">
        <v>-43.8</v>
      </c>
      <c r="F10243">
        <v>20140612</v>
      </c>
      <c r="G10243" t="s">
        <v>485</v>
      </c>
      <c r="H10243" t="s">
        <v>4606</v>
      </c>
      <c r="I10243" t="s">
        <v>21</v>
      </c>
    </row>
    <row r="10244" spans="1:9" x14ac:dyDescent="0.25">
      <c r="A10244">
        <v>20140612</v>
      </c>
      <c r="B10244" t="str">
        <f t="shared" si="593"/>
        <v>116156</v>
      </c>
      <c r="C10244" t="str">
        <f t="shared" si="594"/>
        <v>25516</v>
      </c>
      <c r="D10244" t="s">
        <v>529</v>
      </c>
      <c r="E10244">
        <v>313.05</v>
      </c>
      <c r="F10244">
        <v>20140611</v>
      </c>
      <c r="G10244" t="s">
        <v>629</v>
      </c>
      <c r="H10244" t="s">
        <v>414</v>
      </c>
      <c r="I10244" t="s">
        <v>21</v>
      </c>
    </row>
    <row r="10245" spans="1:9" x14ac:dyDescent="0.25">
      <c r="A10245">
        <v>20140612</v>
      </c>
      <c r="B10245" t="str">
        <f>"116157"</f>
        <v>116157</v>
      </c>
      <c r="C10245" t="str">
        <f t="shared" si="594"/>
        <v>25516</v>
      </c>
      <c r="D10245" t="s">
        <v>529</v>
      </c>
      <c r="E10245" s="1">
        <v>1258.46</v>
      </c>
      <c r="F10245">
        <v>20140611</v>
      </c>
      <c r="G10245" t="s">
        <v>331</v>
      </c>
      <c r="H10245" t="s">
        <v>3916</v>
      </c>
      <c r="I10245" t="s">
        <v>12</v>
      </c>
    </row>
    <row r="10246" spans="1:9" x14ac:dyDescent="0.25">
      <c r="A10246">
        <v>20140612</v>
      </c>
      <c r="B10246" t="str">
        <f>"116158"</f>
        <v>116158</v>
      </c>
      <c r="C10246" t="str">
        <f>"82613"</f>
        <v>82613</v>
      </c>
      <c r="D10246" t="s">
        <v>546</v>
      </c>
      <c r="E10246">
        <v>198</v>
      </c>
      <c r="F10246">
        <v>20140606</v>
      </c>
      <c r="G10246" t="s">
        <v>337</v>
      </c>
      <c r="H10246" t="s">
        <v>2166</v>
      </c>
      <c r="I10246" t="s">
        <v>21</v>
      </c>
    </row>
    <row r="10247" spans="1:9" x14ac:dyDescent="0.25">
      <c r="A10247">
        <v>20140612</v>
      </c>
      <c r="B10247" t="str">
        <f>"116159"</f>
        <v>116159</v>
      </c>
      <c r="C10247" t="str">
        <f>"26425"</f>
        <v>26425</v>
      </c>
      <c r="D10247" t="s">
        <v>822</v>
      </c>
      <c r="E10247">
        <v>387.28</v>
      </c>
      <c r="F10247">
        <v>20140611</v>
      </c>
      <c r="G10247" t="s">
        <v>1408</v>
      </c>
      <c r="H10247" t="s">
        <v>4607</v>
      </c>
      <c r="I10247" t="s">
        <v>12</v>
      </c>
    </row>
    <row r="10248" spans="1:9" x14ac:dyDescent="0.25">
      <c r="A10248">
        <v>20140612</v>
      </c>
      <c r="B10248" t="str">
        <f>"116160"</f>
        <v>116160</v>
      </c>
      <c r="C10248" t="str">
        <f>"87512"</f>
        <v>87512</v>
      </c>
      <c r="D10248" t="s">
        <v>1863</v>
      </c>
      <c r="E10248">
        <v>184</v>
      </c>
      <c r="F10248">
        <v>20140611</v>
      </c>
      <c r="G10248" t="s">
        <v>159</v>
      </c>
      <c r="H10248" t="s">
        <v>1677</v>
      </c>
      <c r="I10248" t="s">
        <v>25</v>
      </c>
    </row>
    <row r="10249" spans="1:9" x14ac:dyDescent="0.25">
      <c r="A10249">
        <v>20140612</v>
      </c>
      <c r="B10249" t="str">
        <f t="shared" ref="B10249:B10261" si="595">"116161"</f>
        <v>116161</v>
      </c>
      <c r="C10249" t="str">
        <f t="shared" ref="C10249:C10261" si="596">"27981"</f>
        <v>27981</v>
      </c>
      <c r="D10249" t="s">
        <v>551</v>
      </c>
      <c r="E10249">
        <v>23.75</v>
      </c>
      <c r="F10249">
        <v>20140606</v>
      </c>
      <c r="G10249" t="s">
        <v>415</v>
      </c>
      <c r="H10249" t="s">
        <v>414</v>
      </c>
      <c r="I10249" t="s">
        <v>21</v>
      </c>
    </row>
    <row r="10250" spans="1:9" x14ac:dyDescent="0.25">
      <c r="A10250">
        <v>20140612</v>
      </c>
      <c r="B10250" t="str">
        <f t="shared" si="595"/>
        <v>116161</v>
      </c>
      <c r="C10250" t="str">
        <f t="shared" si="596"/>
        <v>27981</v>
      </c>
      <c r="D10250" t="s">
        <v>551</v>
      </c>
      <c r="E10250">
        <v>331.8</v>
      </c>
      <c r="F10250">
        <v>20140606</v>
      </c>
      <c r="G10250" t="s">
        <v>627</v>
      </c>
      <c r="H10250" t="s">
        <v>414</v>
      </c>
      <c r="I10250" t="s">
        <v>21</v>
      </c>
    </row>
    <row r="10251" spans="1:9" x14ac:dyDescent="0.25">
      <c r="A10251">
        <v>20140612</v>
      </c>
      <c r="B10251" t="str">
        <f t="shared" si="595"/>
        <v>116161</v>
      </c>
      <c r="C10251" t="str">
        <f t="shared" si="596"/>
        <v>27981</v>
      </c>
      <c r="D10251" t="s">
        <v>551</v>
      </c>
      <c r="E10251">
        <v>45.24</v>
      </c>
      <c r="F10251">
        <v>20140606</v>
      </c>
      <c r="G10251" t="s">
        <v>1222</v>
      </c>
      <c r="H10251" t="s">
        <v>414</v>
      </c>
      <c r="I10251" t="s">
        <v>21</v>
      </c>
    </row>
    <row r="10252" spans="1:9" x14ac:dyDescent="0.25">
      <c r="A10252">
        <v>20140612</v>
      </c>
      <c r="B10252" t="str">
        <f t="shared" si="595"/>
        <v>116161</v>
      </c>
      <c r="C10252" t="str">
        <f t="shared" si="596"/>
        <v>27981</v>
      </c>
      <c r="D10252" t="s">
        <v>551</v>
      </c>
      <c r="E10252">
        <v>43</v>
      </c>
      <c r="F10252">
        <v>20140606</v>
      </c>
      <c r="G10252" t="s">
        <v>631</v>
      </c>
      <c r="H10252" t="s">
        <v>414</v>
      </c>
      <c r="I10252" t="s">
        <v>21</v>
      </c>
    </row>
    <row r="10253" spans="1:9" x14ac:dyDescent="0.25">
      <c r="A10253">
        <v>20140612</v>
      </c>
      <c r="B10253" t="str">
        <f t="shared" si="595"/>
        <v>116161</v>
      </c>
      <c r="C10253" t="str">
        <f t="shared" si="596"/>
        <v>27981</v>
      </c>
      <c r="D10253" t="s">
        <v>551</v>
      </c>
      <c r="E10253">
        <v>158.4</v>
      </c>
      <c r="F10253">
        <v>20140606</v>
      </c>
      <c r="G10253" t="s">
        <v>631</v>
      </c>
      <c r="H10253" t="s">
        <v>414</v>
      </c>
      <c r="I10253" t="s">
        <v>21</v>
      </c>
    </row>
    <row r="10254" spans="1:9" x14ac:dyDescent="0.25">
      <c r="A10254">
        <v>20140612</v>
      </c>
      <c r="B10254" t="str">
        <f t="shared" si="595"/>
        <v>116161</v>
      </c>
      <c r="C10254" t="str">
        <f t="shared" si="596"/>
        <v>27981</v>
      </c>
      <c r="D10254" t="s">
        <v>551</v>
      </c>
      <c r="E10254">
        <v>47.5</v>
      </c>
      <c r="F10254">
        <v>20140606</v>
      </c>
      <c r="G10254" t="s">
        <v>392</v>
      </c>
      <c r="H10254" t="s">
        <v>414</v>
      </c>
      <c r="I10254" t="s">
        <v>21</v>
      </c>
    </row>
    <row r="10255" spans="1:9" x14ac:dyDescent="0.25">
      <c r="A10255">
        <v>20140612</v>
      </c>
      <c r="B10255" t="str">
        <f t="shared" si="595"/>
        <v>116161</v>
      </c>
      <c r="C10255" t="str">
        <f t="shared" si="596"/>
        <v>27981</v>
      </c>
      <c r="D10255" t="s">
        <v>551</v>
      </c>
      <c r="E10255">
        <v>102.37</v>
      </c>
      <c r="F10255">
        <v>20140606</v>
      </c>
      <c r="G10255" t="s">
        <v>3820</v>
      </c>
      <c r="H10255" t="s">
        <v>414</v>
      </c>
      <c r="I10255" t="s">
        <v>21</v>
      </c>
    </row>
    <row r="10256" spans="1:9" x14ac:dyDescent="0.25">
      <c r="A10256">
        <v>20140612</v>
      </c>
      <c r="B10256" t="str">
        <f t="shared" si="595"/>
        <v>116161</v>
      </c>
      <c r="C10256" t="str">
        <f t="shared" si="596"/>
        <v>27981</v>
      </c>
      <c r="D10256" t="s">
        <v>551</v>
      </c>
      <c r="E10256">
        <v>45.24</v>
      </c>
      <c r="F10256">
        <v>20140606</v>
      </c>
      <c r="G10256" t="s">
        <v>3820</v>
      </c>
      <c r="H10256" t="s">
        <v>414</v>
      </c>
      <c r="I10256" t="s">
        <v>21</v>
      </c>
    </row>
    <row r="10257" spans="1:9" x14ac:dyDescent="0.25">
      <c r="A10257">
        <v>20140612</v>
      </c>
      <c r="B10257" t="str">
        <f t="shared" si="595"/>
        <v>116161</v>
      </c>
      <c r="C10257" t="str">
        <f t="shared" si="596"/>
        <v>27981</v>
      </c>
      <c r="D10257" t="s">
        <v>551</v>
      </c>
      <c r="E10257">
        <v>218.48</v>
      </c>
      <c r="F10257">
        <v>20140606</v>
      </c>
      <c r="G10257" t="s">
        <v>3820</v>
      </c>
      <c r="H10257" t="s">
        <v>414</v>
      </c>
      <c r="I10257" t="s">
        <v>21</v>
      </c>
    </row>
    <row r="10258" spans="1:9" x14ac:dyDescent="0.25">
      <c r="A10258">
        <v>20140612</v>
      </c>
      <c r="B10258" t="str">
        <f t="shared" si="595"/>
        <v>116161</v>
      </c>
      <c r="C10258" t="str">
        <f t="shared" si="596"/>
        <v>27981</v>
      </c>
      <c r="D10258" t="s">
        <v>551</v>
      </c>
      <c r="E10258">
        <v>25.69</v>
      </c>
      <c r="F10258">
        <v>20140611</v>
      </c>
      <c r="G10258" t="s">
        <v>3820</v>
      </c>
      <c r="H10258" t="s">
        <v>414</v>
      </c>
      <c r="I10258" t="s">
        <v>21</v>
      </c>
    </row>
    <row r="10259" spans="1:9" x14ac:dyDescent="0.25">
      <c r="A10259">
        <v>20140612</v>
      </c>
      <c r="B10259" t="str">
        <f t="shared" si="595"/>
        <v>116161</v>
      </c>
      <c r="C10259" t="str">
        <f t="shared" si="596"/>
        <v>27981</v>
      </c>
      <c r="D10259" t="s">
        <v>551</v>
      </c>
      <c r="E10259">
        <v>136.31</v>
      </c>
      <c r="F10259">
        <v>20140611</v>
      </c>
      <c r="G10259" t="s">
        <v>3820</v>
      </c>
      <c r="H10259" t="s">
        <v>414</v>
      </c>
      <c r="I10259" t="s">
        <v>21</v>
      </c>
    </row>
    <row r="10260" spans="1:9" x14ac:dyDescent="0.25">
      <c r="A10260">
        <v>20140612</v>
      </c>
      <c r="B10260" t="str">
        <f t="shared" si="595"/>
        <v>116161</v>
      </c>
      <c r="C10260" t="str">
        <f t="shared" si="596"/>
        <v>27981</v>
      </c>
      <c r="D10260" t="s">
        <v>551</v>
      </c>
      <c r="E10260">
        <v>118.47</v>
      </c>
      <c r="F10260">
        <v>20140611</v>
      </c>
      <c r="G10260" t="s">
        <v>3820</v>
      </c>
      <c r="H10260" t="s">
        <v>414</v>
      </c>
      <c r="I10260" t="s">
        <v>21</v>
      </c>
    </row>
    <row r="10261" spans="1:9" x14ac:dyDescent="0.25">
      <c r="A10261">
        <v>20140612</v>
      </c>
      <c r="B10261" t="str">
        <f t="shared" si="595"/>
        <v>116161</v>
      </c>
      <c r="C10261" t="str">
        <f t="shared" si="596"/>
        <v>27981</v>
      </c>
      <c r="D10261" t="s">
        <v>551</v>
      </c>
      <c r="E10261">
        <v>46.66</v>
      </c>
      <c r="F10261">
        <v>20140611</v>
      </c>
      <c r="G10261" t="s">
        <v>3820</v>
      </c>
      <c r="H10261" t="s">
        <v>414</v>
      </c>
      <c r="I10261" t="s">
        <v>21</v>
      </c>
    </row>
    <row r="10262" spans="1:9" x14ac:dyDescent="0.25">
      <c r="A10262">
        <v>20140612</v>
      </c>
      <c r="B10262" t="str">
        <f>"116162"</f>
        <v>116162</v>
      </c>
      <c r="C10262" t="str">
        <f>"00653"</f>
        <v>00653</v>
      </c>
      <c r="D10262" t="s">
        <v>552</v>
      </c>
      <c r="E10262" s="1">
        <v>2750</v>
      </c>
      <c r="F10262">
        <v>20140611</v>
      </c>
      <c r="G10262" t="s">
        <v>154</v>
      </c>
      <c r="H10262" t="s">
        <v>553</v>
      </c>
      <c r="I10262" t="s">
        <v>25</v>
      </c>
    </row>
    <row r="10263" spans="1:9" x14ac:dyDescent="0.25">
      <c r="A10263">
        <v>20140612</v>
      </c>
      <c r="B10263" t="str">
        <f>"116162"</f>
        <v>116162</v>
      </c>
      <c r="C10263" t="str">
        <f>"00653"</f>
        <v>00653</v>
      </c>
      <c r="D10263" t="s">
        <v>552</v>
      </c>
      <c r="E10263">
        <v>936</v>
      </c>
      <c r="F10263">
        <v>20140611</v>
      </c>
      <c r="G10263" t="s">
        <v>48</v>
      </c>
      <c r="H10263" t="s">
        <v>553</v>
      </c>
      <c r="I10263" t="s">
        <v>25</v>
      </c>
    </row>
    <row r="10264" spans="1:9" x14ac:dyDescent="0.25">
      <c r="A10264">
        <v>20140612</v>
      </c>
      <c r="B10264" t="str">
        <f>"116163"</f>
        <v>116163</v>
      </c>
      <c r="C10264" t="str">
        <f>"81292"</f>
        <v>81292</v>
      </c>
      <c r="D10264" t="s">
        <v>1417</v>
      </c>
      <c r="E10264">
        <v>4.68</v>
      </c>
      <c r="F10264">
        <v>20140606</v>
      </c>
      <c r="G10264" t="s">
        <v>498</v>
      </c>
      <c r="H10264" t="s">
        <v>499</v>
      </c>
      <c r="I10264" t="s">
        <v>21</v>
      </c>
    </row>
    <row r="10265" spans="1:9" x14ac:dyDescent="0.25">
      <c r="A10265">
        <v>20140612</v>
      </c>
      <c r="B10265" t="str">
        <f>"116163"</f>
        <v>116163</v>
      </c>
      <c r="C10265" t="str">
        <f>"81292"</f>
        <v>81292</v>
      </c>
      <c r="D10265" t="s">
        <v>1417</v>
      </c>
      <c r="E10265">
        <v>64.17</v>
      </c>
      <c r="F10265">
        <v>20140606</v>
      </c>
      <c r="G10265" t="s">
        <v>498</v>
      </c>
      <c r="H10265" t="s">
        <v>499</v>
      </c>
      <c r="I10265" t="s">
        <v>21</v>
      </c>
    </row>
    <row r="10266" spans="1:9" x14ac:dyDescent="0.25">
      <c r="A10266">
        <v>20140612</v>
      </c>
      <c r="B10266" t="str">
        <f>"116163"</f>
        <v>116163</v>
      </c>
      <c r="C10266" t="str">
        <f>"81292"</f>
        <v>81292</v>
      </c>
      <c r="D10266" t="s">
        <v>1417</v>
      </c>
      <c r="E10266">
        <v>30.55</v>
      </c>
      <c r="F10266">
        <v>20140606</v>
      </c>
      <c r="G10266" t="s">
        <v>496</v>
      </c>
      <c r="H10266" t="s">
        <v>414</v>
      </c>
      <c r="I10266" t="s">
        <v>21</v>
      </c>
    </row>
    <row r="10267" spans="1:9" x14ac:dyDescent="0.25">
      <c r="A10267">
        <v>20140612</v>
      </c>
      <c r="B10267" t="str">
        <f>"116163"</f>
        <v>116163</v>
      </c>
      <c r="C10267" t="str">
        <f>"81292"</f>
        <v>81292</v>
      </c>
      <c r="D10267" t="s">
        <v>1417</v>
      </c>
      <c r="E10267">
        <v>7.11</v>
      </c>
      <c r="F10267">
        <v>20140606</v>
      </c>
      <c r="G10267" t="s">
        <v>496</v>
      </c>
      <c r="H10267" t="s">
        <v>414</v>
      </c>
      <c r="I10267" t="s">
        <v>21</v>
      </c>
    </row>
    <row r="10268" spans="1:9" x14ac:dyDescent="0.25">
      <c r="A10268">
        <v>20140612</v>
      </c>
      <c r="B10268" t="str">
        <f>"116163"</f>
        <v>116163</v>
      </c>
      <c r="C10268" t="str">
        <f>"81292"</f>
        <v>81292</v>
      </c>
      <c r="D10268" t="s">
        <v>1417</v>
      </c>
      <c r="E10268">
        <v>11.4</v>
      </c>
      <c r="F10268">
        <v>20140611</v>
      </c>
      <c r="G10268" t="s">
        <v>392</v>
      </c>
      <c r="H10268" t="s">
        <v>414</v>
      </c>
      <c r="I10268" t="s">
        <v>21</v>
      </c>
    </row>
    <row r="10269" spans="1:9" x14ac:dyDescent="0.25">
      <c r="A10269">
        <v>20140612</v>
      </c>
      <c r="B10269" t="str">
        <f>"116164"</f>
        <v>116164</v>
      </c>
      <c r="C10269" t="str">
        <f>"87471"</f>
        <v>87471</v>
      </c>
      <c r="D10269" t="s">
        <v>1418</v>
      </c>
      <c r="E10269">
        <v>65</v>
      </c>
      <c r="F10269">
        <v>20140611</v>
      </c>
      <c r="G10269" t="s">
        <v>950</v>
      </c>
      <c r="H10269" t="s">
        <v>1355</v>
      </c>
      <c r="I10269" t="s">
        <v>21</v>
      </c>
    </row>
    <row r="10270" spans="1:9" x14ac:dyDescent="0.25">
      <c r="A10270">
        <v>20140612</v>
      </c>
      <c r="B10270" t="str">
        <f>"116165"</f>
        <v>116165</v>
      </c>
      <c r="C10270" t="str">
        <f>"30000"</f>
        <v>30000</v>
      </c>
      <c r="D10270" t="s">
        <v>556</v>
      </c>
      <c r="E10270">
        <v>25.2</v>
      </c>
      <c r="F10270">
        <v>20140611</v>
      </c>
      <c r="G10270" t="s">
        <v>137</v>
      </c>
      <c r="H10270" t="s">
        <v>4608</v>
      </c>
      <c r="I10270" t="s">
        <v>21</v>
      </c>
    </row>
    <row r="10271" spans="1:9" x14ac:dyDescent="0.25">
      <c r="A10271">
        <v>20140612</v>
      </c>
      <c r="B10271" t="str">
        <f>"116165"</f>
        <v>116165</v>
      </c>
      <c r="C10271" t="str">
        <f>"30000"</f>
        <v>30000</v>
      </c>
      <c r="D10271" t="s">
        <v>556</v>
      </c>
      <c r="E10271">
        <v>193.43</v>
      </c>
      <c r="F10271">
        <v>20140605</v>
      </c>
      <c r="G10271" t="s">
        <v>840</v>
      </c>
      <c r="H10271" t="s">
        <v>414</v>
      </c>
      <c r="I10271" t="s">
        <v>21</v>
      </c>
    </row>
    <row r="10272" spans="1:9" x14ac:dyDescent="0.25">
      <c r="A10272">
        <v>20140612</v>
      </c>
      <c r="B10272" t="str">
        <f>"116166"</f>
        <v>116166</v>
      </c>
      <c r="C10272" t="str">
        <f>"85333"</f>
        <v>85333</v>
      </c>
      <c r="D10272" t="s">
        <v>561</v>
      </c>
      <c r="E10272">
        <v>67.28</v>
      </c>
      <c r="F10272">
        <v>20140609</v>
      </c>
      <c r="G10272" t="s">
        <v>562</v>
      </c>
      <c r="H10272" t="s">
        <v>563</v>
      </c>
      <c r="I10272" t="s">
        <v>21</v>
      </c>
    </row>
    <row r="10273" spans="1:9" x14ac:dyDescent="0.25">
      <c r="A10273">
        <v>20140612</v>
      </c>
      <c r="B10273" t="str">
        <f>"116167"</f>
        <v>116167</v>
      </c>
      <c r="C10273" t="str">
        <f>"30480"</f>
        <v>30480</v>
      </c>
      <c r="D10273" t="s">
        <v>570</v>
      </c>
      <c r="E10273" s="1">
        <v>5440</v>
      </c>
      <c r="F10273">
        <v>20140606</v>
      </c>
      <c r="G10273" t="s">
        <v>571</v>
      </c>
      <c r="H10273" t="s">
        <v>572</v>
      </c>
      <c r="I10273" t="s">
        <v>21</v>
      </c>
    </row>
    <row r="10274" spans="1:9" x14ac:dyDescent="0.25">
      <c r="A10274">
        <v>20140612</v>
      </c>
      <c r="B10274" t="str">
        <f t="shared" ref="B10274:B10288" si="597">"116168"</f>
        <v>116168</v>
      </c>
      <c r="C10274" t="str">
        <f t="shared" ref="C10274:C10288" si="598">"31570"</f>
        <v>31570</v>
      </c>
      <c r="D10274" t="s">
        <v>1244</v>
      </c>
      <c r="E10274">
        <v>64.91</v>
      </c>
      <c r="F10274">
        <v>20140606</v>
      </c>
      <c r="G10274" t="s">
        <v>496</v>
      </c>
      <c r="H10274" t="s">
        <v>414</v>
      </c>
      <c r="I10274" t="s">
        <v>21</v>
      </c>
    </row>
    <row r="10275" spans="1:9" x14ac:dyDescent="0.25">
      <c r="A10275">
        <v>20140612</v>
      </c>
      <c r="B10275" t="str">
        <f t="shared" si="597"/>
        <v>116168</v>
      </c>
      <c r="C10275" t="str">
        <f t="shared" si="598"/>
        <v>31570</v>
      </c>
      <c r="D10275" t="s">
        <v>1244</v>
      </c>
      <c r="E10275">
        <v>14.58</v>
      </c>
      <c r="F10275">
        <v>20140606</v>
      </c>
      <c r="G10275" t="s">
        <v>557</v>
      </c>
      <c r="H10275" t="s">
        <v>414</v>
      </c>
      <c r="I10275" t="s">
        <v>21</v>
      </c>
    </row>
    <row r="10276" spans="1:9" x14ac:dyDescent="0.25">
      <c r="A10276">
        <v>20140612</v>
      </c>
      <c r="B10276" t="str">
        <f t="shared" si="597"/>
        <v>116168</v>
      </c>
      <c r="C10276" t="str">
        <f t="shared" si="598"/>
        <v>31570</v>
      </c>
      <c r="D10276" t="s">
        <v>1244</v>
      </c>
      <c r="E10276">
        <v>360.68</v>
      </c>
      <c r="F10276">
        <v>20140606</v>
      </c>
      <c r="G10276" t="s">
        <v>413</v>
      </c>
      <c r="H10276" t="s">
        <v>414</v>
      </c>
      <c r="I10276" t="s">
        <v>21</v>
      </c>
    </row>
    <row r="10277" spans="1:9" x14ac:dyDescent="0.25">
      <c r="A10277">
        <v>20140612</v>
      </c>
      <c r="B10277" t="str">
        <f t="shared" si="597"/>
        <v>116168</v>
      </c>
      <c r="C10277" t="str">
        <f t="shared" si="598"/>
        <v>31570</v>
      </c>
      <c r="D10277" t="s">
        <v>1244</v>
      </c>
      <c r="E10277">
        <v>359.71</v>
      </c>
      <c r="F10277">
        <v>20140606</v>
      </c>
      <c r="G10277" t="s">
        <v>415</v>
      </c>
      <c r="H10277" t="s">
        <v>414</v>
      </c>
      <c r="I10277" t="s">
        <v>21</v>
      </c>
    </row>
    <row r="10278" spans="1:9" x14ac:dyDescent="0.25">
      <c r="A10278">
        <v>20140612</v>
      </c>
      <c r="B10278" t="str">
        <f t="shared" si="597"/>
        <v>116168</v>
      </c>
      <c r="C10278" t="str">
        <f t="shared" si="598"/>
        <v>31570</v>
      </c>
      <c r="D10278" t="s">
        <v>1244</v>
      </c>
      <c r="E10278">
        <v>245.14</v>
      </c>
      <c r="F10278">
        <v>20140606</v>
      </c>
      <c r="G10278" t="s">
        <v>627</v>
      </c>
      <c r="H10278" t="s">
        <v>414</v>
      </c>
      <c r="I10278" t="s">
        <v>21</v>
      </c>
    </row>
    <row r="10279" spans="1:9" x14ac:dyDescent="0.25">
      <c r="A10279">
        <v>20140612</v>
      </c>
      <c r="B10279" t="str">
        <f t="shared" si="597"/>
        <v>116168</v>
      </c>
      <c r="C10279" t="str">
        <f t="shared" si="598"/>
        <v>31570</v>
      </c>
      <c r="D10279" t="s">
        <v>1244</v>
      </c>
      <c r="E10279">
        <v>275.57</v>
      </c>
      <c r="F10279">
        <v>20140606</v>
      </c>
      <c r="G10279" t="s">
        <v>1222</v>
      </c>
      <c r="H10279" t="s">
        <v>414</v>
      </c>
      <c r="I10279" t="s">
        <v>21</v>
      </c>
    </row>
    <row r="10280" spans="1:9" x14ac:dyDescent="0.25">
      <c r="A10280">
        <v>20140612</v>
      </c>
      <c r="B10280" t="str">
        <f t="shared" si="597"/>
        <v>116168</v>
      </c>
      <c r="C10280" t="str">
        <f t="shared" si="598"/>
        <v>31570</v>
      </c>
      <c r="D10280" t="s">
        <v>1244</v>
      </c>
      <c r="E10280">
        <v>481.13</v>
      </c>
      <c r="F10280">
        <v>20140606</v>
      </c>
      <c r="G10280" t="s">
        <v>628</v>
      </c>
      <c r="H10280" t="s">
        <v>414</v>
      </c>
      <c r="I10280" t="s">
        <v>21</v>
      </c>
    </row>
    <row r="10281" spans="1:9" x14ac:dyDescent="0.25">
      <c r="A10281">
        <v>20140612</v>
      </c>
      <c r="B10281" t="str">
        <f t="shared" si="597"/>
        <v>116168</v>
      </c>
      <c r="C10281" t="str">
        <f t="shared" si="598"/>
        <v>31570</v>
      </c>
      <c r="D10281" t="s">
        <v>1244</v>
      </c>
      <c r="E10281">
        <v>18.899999999999999</v>
      </c>
      <c r="F10281">
        <v>20140606</v>
      </c>
      <c r="G10281" t="s">
        <v>629</v>
      </c>
      <c r="H10281" t="s">
        <v>414</v>
      </c>
      <c r="I10281" t="s">
        <v>21</v>
      </c>
    </row>
    <row r="10282" spans="1:9" x14ac:dyDescent="0.25">
      <c r="A10282">
        <v>20140612</v>
      </c>
      <c r="B10282" t="str">
        <f t="shared" si="597"/>
        <v>116168</v>
      </c>
      <c r="C10282" t="str">
        <f t="shared" si="598"/>
        <v>31570</v>
      </c>
      <c r="D10282" t="s">
        <v>1244</v>
      </c>
      <c r="E10282">
        <v>138.30000000000001</v>
      </c>
      <c r="F10282">
        <v>20140606</v>
      </c>
      <c r="G10282" t="s">
        <v>630</v>
      </c>
      <c r="H10282" t="s">
        <v>414</v>
      </c>
      <c r="I10282" t="s">
        <v>21</v>
      </c>
    </row>
    <row r="10283" spans="1:9" x14ac:dyDescent="0.25">
      <c r="A10283">
        <v>20140612</v>
      </c>
      <c r="B10283" t="str">
        <f t="shared" si="597"/>
        <v>116168</v>
      </c>
      <c r="C10283" t="str">
        <f t="shared" si="598"/>
        <v>31570</v>
      </c>
      <c r="D10283" t="s">
        <v>1244</v>
      </c>
      <c r="E10283">
        <v>3.69</v>
      </c>
      <c r="F10283">
        <v>20140606</v>
      </c>
      <c r="G10283" t="s">
        <v>530</v>
      </c>
      <c r="H10283" t="s">
        <v>414</v>
      </c>
      <c r="I10283" t="s">
        <v>21</v>
      </c>
    </row>
    <row r="10284" spans="1:9" x14ac:dyDescent="0.25">
      <c r="A10284">
        <v>20140612</v>
      </c>
      <c r="B10284" t="str">
        <f t="shared" si="597"/>
        <v>116168</v>
      </c>
      <c r="C10284" t="str">
        <f t="shared" si="598"/>
        <v>31570</v>
      </c>
      <c r="D10284" t="s">
        <v>1244</v>
      </c>
      <c r="E10284">
        <v>255.5</v>
      </c>
      <c r="F10284">
        <v>20140606</v>
      </c>
      <c r="G10284" t="s">
        <v>631</v>
      </c>
      <c r="H10284" t="s">
        <v>414</v>
      </c>
      <c r="I10284" t="s">
        <v>21</v>
      </c>
    </row>
    <row r="10285" spans="1:9" x14ac:dyDescent="0.25">
      <c r="A10285">
        <v>20140612</v>
      </c>
      <c r="B10285" t="str">
        <f t="shared" si="597"/>
        <v>116168</v>
      </c>
      <c r="C10285" t="str">
        <f t="shared" si="598"/>
        <v>31570</v>
      </c>
      <c r="D10285" t="s">
        <v>1244</v>
      </c>
      <c r="E10285">
        <v>266.94</v>
      </c>
      <c r="F10285">
        <v>20140606</v>
      </c>
      <c r="G10285" t="s">
        <v>392</v>
      </c>
      <c r="H10285" t="s">
        <v>414</v>
      </c>
      <c r="I10285" t="s">
        <v>21</v>
      </c>
    </row>
    <row r="10286" spans="1:9" x14ac:dyDescent="0.25">
      <c r="A10286">
        <v>20140612</v>
      </c>
      <c r="B10286" t="str">
        <f t="shared" si="597"/>
        <v>116168</v>
      </c>
      <c r="C10286" t="str">
        <f t="shared" si="598"/>
        <v>31570</v>
      </c>
      <c r="D10286" t="s">
        <v>1244</v>
      </c>
      <c r="E10286">
        <v>943.68</v>
      </c>
      <c r="F10286">
        <v>20140606</v>
      </c>
      <c r="G10286" t="s">
        <v>3820</v>
      </c>
      <c r="H10286" t="s">
        <v>414</v>
      </c>
      <c r="I10286" t="s">
        <v>21</v>
      </c>
    </row>
    <row r="10287" spans="1:9" x14ac:dyDescent="0.25">
      <c r="A10287">
        <v>20140612</v>
      </c>
      <c r="B10287" t="str">
        <f t="shared" si="597"/>
        <v>116168</v>
      </c>
      <c r="C10287" t="str">
        <f t="shared" si="598"/>
        <v>31570</v>
      </c>
      <c r="D10287" t="s">
        <v>1244</v>
      </c>
      <c r="E10287">
        <v>26</v>
      </c>
      <c r="F10287">
        <v>20140606</v>
      </c>
      <c r="G10287" t="s">
        <v>331</v>
      </c>
      <c r="H10287" t="s">
        <v>414</v>
      </c>
      <c r="I10287" t="s">
        <v>12</v>
      </c>
    </row>
    <row r="10288" spans="1:9" x14ac:dyDescent="0.25">
      <c r="A10288">
        <v>20140612</v>
      </c>
      <c r="B10288" t="str">
        <f t="shared" si="597"/>
        <v>116168</v>
      </c>
      <c r="C10288" t="str">
        <f t="shared" si="598"/>
        <v>31570</v>
      </c>
      <c r="D10288" t="s">
        <v>1244</v>
      </c>
      <c r="E10288">
        <v>52.08</v>
      </c>
      <c r="F10288">
        <v>20140606</v>
      </c>
      <c r="G10288" t="s">
        <v>202</v>
      </c>
      <c r="H10288" t="s">
        <v>414</v>
      </c>
      <c r="I10288" t="s">
        <v>12</v>
      </c>
    </row>
    <row r="10289" spans="1:9" x14ac:dyDescent="0.25">
      <c r="A10289">
        <v>20140612</v>
      </c>
      <c r="B10289" t="str">
        <f>"116169"</f>
        <v>116169</v>
      </c>
      <c r="C10289" t="str">
        <f>"87495"</f>
        <v>87495</v>
      </c>
      <c r="D10289" t="s">
        <v>859</v>
      </c>
      <c r="E10289">
        <v>50</v>
      </c>
      <c r="F10289">
        <v>20140609</v>
      </c>
      <c r="G10289" t="s">
        <v>3771</v>
      </c>
      <c r="H10289" t="s">
        <v>354</v>
      </c>
      <c r="I10289" t="s">
        <v>21</v>
      </c>
    </row>
    <row r="10290" spans="1:9" x14ac:dyDescent="0.25">
      <c r="A10290">
        <v>20140612</v>
      </c>
      <c r="B10290" t="str">
        <f>"116170"</f>
        <v>116170</v>
      </c>
      <c r="C10290" t="str">
        <f>"86799"</f>
        <v>86799</v>
      </c>
      <c r="D10290" t="s">
        <v>4345</v>
      </c>
      <c r="E10290">
        <v>247.5</v>
      </c>
      <c r="F10290">
        <v>20140611</v>
      </c>
      <c r="G10290" t="s">
        <v>48</v>
      </c>
      <c r="H10290" t="s">
        <v>4346</v>
      </c>
      <c r="I10290" t="s">
        <v>25</v>
      </c>
    </row>
    <row r="10291" spans="1:9" x14ac:dyDescent="0.25">
      <c r="A10291">
        <v>20140612</v>
      </c>
      <c r="B10291" t="str">
        <f>"116171"</f>
        <v>116171</v>
      </c>
      <c r="C10291" t="str">
        <f>"81072"</f>
        <v>81072</v>
      </c>
      <c r="D10291" t="s">
        <v>598</v>
      </c>
      <c r="E10291" s="1">
        <v>1900</v>
      </c>
      <c r="F10291">
        <v>20140606</v>
      </c>
      <c r="G10291" t="s">
        <v>746</v>
      </c>
      <c r="H10291" t="s">
        <v>555</v>
      </c>
      <c r="I10291" t="s">
        <v>21</v>
      </c>
    </row>
    <row r="10292" spans="1:9" x14ac:dyDescent="0.25">
      <c r="A10292">
        <v>20140612</v>
      </c>
      <c r="B10292" t="str">
        <f>"116172"</f>
        <v>116172</v>
      </c>
      <c r="C10292" t="str">
        <f>"87308"</f>
        <v>87308</v>
      </c>
      <c r="D10292" t="s">
        <v>4609</v>
      </c>
      <c r="E10292">
        <v>12.02</v>
      </c>
      <c r="F10292">
        <v>20140611</v>
      </c>
      <c r="G10292" t="s">
        <v>4610</v>
      </c>
      <c r="H10292" t="s">
        <v>354</v>
      </c>
      <c r="I10292" t="s">
        <v>25</v>
      </c>
    </row>
    <row r="10293" spans="1:9" x14ac:dyDescent="0.25">
      <c r="A10293">
        <v>20140612</v>
      </c>
      <c r="B10293" t="str">
        <f>"116173"</f>
        <v>116173</v>
      </c>
      <c r="C10293" t="str">
        <f>"35337"</f>
        <v>35337</v>
      </c>
      <c r="D10293" t="s">
        <v>599</v>
      </c>
      <c r="E10293">
        <v>514.25</v>
      </c>
      <c r="F10293">
        <v>20140606</v>
      </c>
      <c r="G10293" t="s">
        <v>498</v>
      </c>
      <c r="H10293" t="s">
        <v>499</v>
      </c>
      <c r="I10293" t="s">
        <v>21</v>
      </c>
    </row>
    <row r="10294" spans="1:9" x14ac:dyDescent="0.25">
      <c r="A10294">
        <v>20140612</v>
      </c>
      <c r="B10294" t="str">
        <f>"116173"</f>
        <v>116173</v>
      </c>
      <c r="C10294" t="str">
        <f>"35337"</f>
        <v>35337</v>
      </c>
      <c r="D10294" t="s">
        <v>599</v>
      </c>
      <c r="E10294">
        <v>153.37</v>
      </c>
      <c r="F10294">
        <v>20140606</v>
      </c>
      <c r="G10294" t="s">
        <v>498</v>
      </c>
      <c r="H10294" t="s">
        <v>499</v>
      </c>
      <c r="I10294" t="s">
        <v>21</v>
      </c>
    </row>
    <row r="10295" spans="1:9" x14ac:dyDescent="0.25">
      <c r="A10295">
        <v>20140612</v>
      </c>
      <c r="B10295" t="str">
        <f>"116174"</f>
        <v>116174</v>
      </c>
      <c r="C10295" t="str">
        <f>"87088"</f>
        <v>87088</v>
      </c>
      <c r="D10295" t="s">
        <v>1097</v>
      </c>
      <c r="E10295" s="1">
        <v>3208.75</v>
      </c>
      <c r="F10295">
        <v>20140606</v>
      </c>
      <c r="G10295" t="s">
        <v>1271</v>
      </c>
      <c r="H10295" t="s">
        <v>1098</v>
      </c>
      <c r="I10295" t="s">
        <v>21</v>
      </c>
    </row>
    <row r="10296" spans="1:9" x14ac:dyDescent="0.25">
      <c r="A10296">
        <v>20140612</v>
      </c>
      <c r="B10296" t="str">
        <f>"116175"</f>
        <v>116175</v>
      </c>
      <c r="C10296" t="str">
        <f>"35817"</f>
        <v>35817</v>
      </c>
      <c r="D10296" t="s">
        <v>600</v>
      </c>
      <c r="E10296">
        <v>6.39</v>
      </c>
      <c r="F10296">
        <v>20140609</v>
      </c>
      <c r="G10296" t="s">
        <v>601</v>
      </c>
      <c r="H10296" t="s">
        <v>563</v>
      </c>
      <c r="I10296" t="s">
        <v>21</v>
      </c>
    </row>
    <row r="10297" spans="1:9" x14ac:dyDescent="0.25">
      <c r="A10297">
        <v>20140612</v>
      </c>
      <c r="B10297" t="str">
        <f>"116176"</f>
        <v>116176</v>
      </c>
      <c r="C10297" t="str">
        <f>"00453"</f>
        <v>00453</v>
      </c>
      <c r="D10297" t="s">
        <v>2526</v>
      </c>
      <c r="E10297">
        <v>261.60000000000002</v>
      </c>
      <c r="F10297">
        <v>20140611</v>
      </c>
      <c r="G10297" t="s">
        <v>904</v>
      </c>
      <c r="H10297" t="s">
        <v>921</v>
      </c>
      <c r="I10297" t="s">
        <v>75</v>
      </c>
    </row>
    <row r="10298" spans="1:9" x14ac:dyDescent="0.25">
      <c r="A10298">
        <v>20140612</v>
      </c>
      <c r="B10298" t="str">
        <f>"116177"</f>
        <v>116177</v>
      </c>
      <c r="C10298" t="str">
        <f>"00268"</f>
        <v>00268</v>
      </c>
      <c r="D10298" t="s">
        <v>1878</v>
      </c>
      <c r="E10298">
        <v>502.88</v>
      </c>
      <c r="F10298">
        <v>20140611</v>
      </c>
      <c r="G10298" t="s">
        <v>808</v>
      </c>
      <c r="H10298" t="s">
        <v>921</v>
      </c>
      <c r="I10298" t="s">
        <v>21</v>
      </c>
    </row>
    <row r="10299" spans="1:9" x14ac:dyDescent="0.25">
      <c r="A10299">
        <v>20140612</v>
      </c>
      <c r="B10299" t="str">
        <f>"116177"</f>
        <v>116177</v>
      </c>
      <c r="C10299" t="str">
        <f>"00268"</f>
        <v>00268</v>
      </c>
      <c r="D10299" t="s">
        <v>1878</v>
      </c>
      <c r="E10299" s="1">
        <v>2581.42</v>
      </c>
      <c r="F10299">
        <v>20140611</v>
      </c>
      <c r="G10299" t="s">
        <v>1120</v>
      </c>
      <c r="H10299" t="s">
        <v>921</v>
      </c>
      <c r="I10299" t="s">
        <v>66</v>
      </c>
    </row>
    <row r="10300" spans="1:9" x14ac:dyDescent="0.25">
      <c r="A10300">
        <v>20140612</v>
      </c>
      <c r="B10300" t="str">
        <f>"116178"</f>
        <v>116178</v>
      </c>
      <c r="C10300" t="str">
        <f>"87890"</f>
        <v>87890</v>
      </c>
      <c r="D10300" t="s">
        <v>4611</v>
      </c>
      <c r="E10300">
        <v>365.48</v>
      </c>
      <c r="F10300">
        <v>20140611</v>
      </c>
      <c r="G10300" t="s">
        <v>3962</v>
      </c>
      <c r="H10300" t="s">
        <v>921</v>
      </c>
      <c r="I10300" t="s">
        <v>79</v>
      </c>
    </row>
    <row r="10301" spans="1:9" x14ac:dyDescent="0.25">
      <c r="A10301">
        <v>20140612</v>
      </c>
      <c r="B10301" t="str">
        <f>"116179"</f>
        <v>116179</v>
      </c>
      <c r="C10301" t="str">
        <f>"36909"</f>
        <v>36909</v>
      </c>
      <c r="D10301" t="s">
        <v>2208</v>
      </c>
      <c r="E10301">
        <v>76.5</v>
      </c>
      <c r="F10301">
        <v>20140606</v>
      </c>
      <c r="G10301" t="s">
        <v>734</v>
      </c>
      <c r="H10301" t="s">
        <v>2209</v>
      </c>
      <c r="I10301" t="s">
        <v>21</v>
      </c>
    </row>
    <row r="10302" spans="1:9" x14ac:dyDescent="0.25">
      <c r="A10302">
        <v>20140612</v>
      </c>
      <c r="B10302" t="str">
        <f>"116180"</f>
        <v>116180</v>
      </c>
      <c r="C10302" t="str">
        <f>"36960"</f>
        <v>36960</v>
      </c>
      <c r="D10302" t="s">
        <v>871</v>
      </c>
      <c r="E10302">
        <v>905.5</v>
      </c>
      <c r="F10302">
        <v>20140611</v>
      </c>
      <c r="G10302" t="s">
        <v>1408</v>
      </c>
      <c r="H10302" t="s">
        <v>525</v>
      </c>
      <c r="I10302" t="s">
        <v>12</v>
      </c>
    </row>
    <row r="10303" spans="1:9" x14ac:dyDescent="0.25">
      <c r="A10303">
        <v>20140612</v>
      </c>
      <c r="B10303" t="str">
        <f>"116181"</f>
        <v>116181</v>
      </c>
      <c r="C10303" t="str">
        <f>"36970"</f>
        <v>36970</v>
      </c>
      <c r="D10303" t="s">
        <v>1253</v>
      </c>
      <c r="E10303">
        <v>44.82</v>
      </c>
      <c r="F10303">
        <v>20140611</v>
      </c>
      <c r="G10303" t="s">
        <v>892</v>
      </c>
      <c r="H10303" t="s">
        <v>563</v>
      </c>
      <c r="I10303" t="s">
        <v>79</v>
      </c>
    </row>
    <row r="10304" spans="1:9" x14ac:dyDescent="0.25">
      <c r="A10304">
        <v>20140612</v>
      </c>
      <c r="B10304" t="str">
        <f>"116182"</f>
        <v>116182</v>
      </c>
      <c r="C10304" t="str">
        <f>"37725"</f>
        <v>37725</v>
      </c>
      <c r="D10304" t="s">
        <v>1255</v>
      </c>
      <c r="E10304" s="1">
        <v>1485</v>
      </c>
      <c r="F10304">
        <v>20140611</v>
      </c>
      <c r="G10304" t="s">
        <v>1722</v>
      </c>
      <c r="H10304" t="s">
        <v>921</v>
      </c>
      <c r="I10304" t="s">
        <v>66</v>
      </c>
    </row>
    <row r="10305" spans="1:9" x14ac:dyDescent="0.25">
      <c r="A10305">
        <v>20140612</v>
      </c>
      <c r="B10305" t="str">
        <f>"116183"</f>
        <v>116183</v>
      </c>
      <c r="C10305" t="str">
        <f>"38750"</f>
        <v>38750</v>
      </c>
      <c r="D10305" t="s">
        <v>4612</v>
      </c>
      <c r="E10305">
        <v>395</v>
      </c>
      <c r="F10305">
        <v>20140611</v>
      </c>
      <c r="G10305" t="s">
        <v>601</v>
      </c>
      <c r="H10305" t="s">
        <v>388</v>
      </c>
      <c r="I10305" t="s">
        <v>21</v>
      </c>
    </row>
    <row r="10306" spans="1:9" x14ac:dyDescent="0.25">
      <c r="A10306">
        <v>20140612</v>
      </c>
      <c r="B10306" t="str">
        <f>"116184"</f>
        <v>116184</v>
      </c>
      <c r="C10306" t="str">
        <f>"86459"</f>
        <v>86459</v>
      </c>
      <c r="D10306" t="s">
        <v>881</v>
      </c>
      <c r="E10306" s="1">
        <v>1632</v>
      </c>
      <c r="F10306">
        <v>20140610</v>
      </c>
      <c r="G10306" t="s">
        <v>1200</v>
      </c>
      <c r="H10306" t="s">
        <v>4613</v>
      </c>
      <c r="I10306" t="s">
        <v>61</v>
      </c>
    </row>
    <row r="10307" spans="1:9" x14ac:dyDescent="0.25">
      <c r="A10307">
        <v>20140612</v>
      </c>
      <c r="B10307" t="str">
        <f>"116185"</f>
        <v>116185</v>
      </c>
      <c r="C10307" t="str">
        <f>"87893"</f>
        <v>87893</v>
      </c>
      <c r="D10307" t="s">
        <v>4614</v>
      </c>
      <c r="E10307">
        <v>100</v>
      </c>
      <c r="F10307">
        <v>20140611</v>
      </c>
      <c r="G10307" t="s">
        <v>189</v>
      </c>
      <c r="H10307" t="s">
        <v>4615</v>
      </c>
      <c r="I10307" t="s">
        <v>25</v>
      </c>
    </row>
    <row r="10308" spans="1:9" x14ac:dyDescent="0.25">
      <c r="A10308">
        <v>20140612</v>
      </c>
      <c r="B10308" t="str">
        <f>"116186"</f>
        <v>116186</v>
      </c>
      <c r="C10308" t="str">
        <f>"40448"</f>
        <v>40448</v>
      </c>
      <c r="D10308" t="s">
        <v>613</v>
      </c>
      <c r="E10308">
        <v>75</v>
      </c>
      <c r="F10308">
        <v>20140606</v>
      </c>
      <c r="G10308" t="s">
        <v>340</v>
      </c>
      <c r="H10308" t="s">
        <v>1452</v>
      </c>
      <c r="I10308" t="s">
        <v>21</v>
      </c>
    </row>
    <row r="10309" spans="1:9" x14ac:dyDescent="0.25">
      <c r="A10309">
        <v>20140612</v>
      </c>
      <c r="B10309" t="str">
        <f>"116186"</f>
        <v>116186</v>
      </c>
      <c r="C10309" t="str">
        <f>"40448"</f>
        <v>40448</v>
      </c>
      <c r="D10309" t="s">
        <v>613</v>
      </c>
      <c r="E10309">
        <v>-75</v>
      </c>
      <c r="F10309">
        <v>20140731</v>
      </c>
      <c r="G10309" t="s">
        <v>340</v>
      </c>
      <c r="H10309" t="s">
        <v>4616</v>
      </c>
      <c r="I10309" t="s">
        <v>21</v>
      </c>
    </row>
    <row r="10310" spans="1:9" x14ac:dyDescent="0.25">
      <c r="A10310">
        <v>20140612</v>
      </c>
      <c r="B10310" t="str">
        <f>"116186"</f>
        <v>116186</v>
      </c>
      <c r="C10310" t="str">
        <f>"40448"</f>
        <v>40448</v>
      </c>
      <c r="D10310" t="s">
        <v>613</v>
      </c>
      <c r="E10310" s="1">
        <v>1091.5</v>
      </c>
      <c r="F10310">
        <v>20140606</v>
      </c>
      <c r="G10310" t="s">
        <v>498</v>
      </c>
      <c r="H10310" t="s">
        <v>4617</v>
      </c>
      <c r="I10310" t="s">
        <v>21</v>
      </c>
    </row>
    <row r="10311" spans="1:9" x14ac:dyDescent="0.25">
      <c r="A10311">
        <v>20140612</v>
      </c>
      <c r="B10311" t="str">
        <f>"116186"</f>
        <v>116186</v>
      </c>
      <c r="C10311" t="str">
        <f>"40448"</f>
        <v>40448</v>
      </c>
      <c r="D10311" t="s">
        <v>613</v>
      </c>
      <c r="E10311" s="1">
        <v>-1091.5</v>
      </c>
      <c r="F10311">
        <v>20140731</v>
      </c>
      <c r="G10311" t="s">
        <v>498</v>
      </c>
      <c r="H10311" t="s">
        <v>4616</v>
      </c>
      <c r="I10311" t="s">
        <v>21</v>
      </c>
    </row>
    <row r="10312" spans="1:9" x14ac:dyDescent="0.25">
      <c r="A10312">
        <v>20140612</v>
      </c>
      <c r="B10312" t="str">
        <f>"116187"</f>
        <v>116187</v>
      </c>
      <c r="C10312" t="str">
        <f>"40910"</f>
        <v>40910</v>
      </c>
      <c r="D10312" t="s">
        <v>1886</v>
      </c>
      <c r="E10312">
        <v>269.14</v>
      </c>
      <c r="F10312">
        <v>20140611</v>
      </c>
      <c r="G10312" t="s">
        <v>331</v>
      </c>
      <c r="H10312" t="s">
        <v>414</v>
      </c>
      <c r="I10312" t="s">
        <v>12</v>
      </c>
    </row>
    <row r="10313" spans="1:9" x14ac:dyDescent="0.25">
      <c r="A10313">
        <v>20140612</v>
      </c>
      <c r="B10313" t="str">
        <f>"116187"</f>
        <v>116187</v>
      </c>
      <c r="C10313" t="str">
        <f>"40910"</f>
        <v>40910</v>
      </c>
      <c r="D10313" t="s">
        <v>1886</v>
      </c>
      <c r="E10313">
        <v>-269.14</v>
      </c>
      <c r="F10313">
        <v>20140618</v>
      </c>
      <c r="G10313" t="s">
        <v>331</v>
      </c>
      <c r="H10313" t="s">
        <v>1706</v>
      </c>
      <c r="I10313" t="s">
        <v>12</v>
      </c>
    </row>
    <row r="10314" spans="1:9" x14ac:dyDescent="0.25">
      <c r="A10314">
        <v>20140612</v>
      </c>
      <c r="B10314" t="str">
        <f>"116188"</f>
        <v>116188</v>
      </c>
      <c r="C10314" t="str">
        <f>"82061"</f>
        <v>82061</v>
      </c>
      <c r="D10314" t="s">
        <v>1998</v>
      </c>
      <c r="E10314">
        <v>65</v>
      </c>
      <c r="F10314">
        <v>20140611</v>
      </c>
      <c r="G10314" t="s">
        <v>498</v>
      </c>
      <c r="H10314" t="s">
        <v>499</v>
      </c>
      <c r="I10314" t="s">
        <v>21</v>
      </c>
    </row>
    <row r="10315" spans="1:9" x14ac:dyDescent="0.25">
      <c r="A10315">
        <v>20140612</v>
      </c>
      <c r="B10315" t="str">
        <f>"116189"</f>
        <v>116189</v>
      </c>
      <c r="C10315" t="str">
        <f>"82732"</f>
        <v>82732</v>
      </c>
      <c r="D10315" t="s">
        <v>1453</v>
      </c>
      <c r="E10315">
        <v>294</v>
      </c>
      <c r="F10315">
        <v>20140611</v>
      </c>
      <c r="G10315" t="s">
        <v>1454</v>
      </c>
      <c r="H10315" t="s">
        <v>2589</v>
      </c>
      <c r="I10315" t="s">
        <v>21</v>
      </c>
    </row>
    <row r="10316" spans="1:9" x14ac:dyDescent="0.25">
      <c r="A10316">
        <v>20140612</v>
      </c>
      <c r="B10316" t="str">
        <f>"116190"</f>
        <v>116190</v>
      </c>
      <c r="C10316" t="str">
        <f>"41253"</f>
        <v>41253</v>
      </c>
      <c r="D10316" t="s">
        <v>421</v>
      </c>
      <c r="E10316" s="1">
        <v>112505.4</v>
      </c>
      <c r="F10316">
        <v>20140611</v>
      </c>
      <c r="G10316" t="s">
        <v>404</v>
      </c>
      <c r="H10316" t="s">
        <v>913</v>
      </c>
      <c r="I10316" t="s">
        <v>12</v>
      </c>
    </row>
    <row r="10317" spans="1:9" x14ac:dyDescent="0.25">
      <c r="A10317">
        <v>20140612</v>
      </c>
      <c r="B10317" t="str">
        <f>"116190"</f>
        <v>116190</v>
      </c>
      <c r="C10317" t="str">
        <f>"41253"</f>
        <v>41253</v>
      </c>
      <c r="D10317" t="s">
        <v>421</v>
      </c>
      <c r="E10317" s="1">
        <v>9465.48</v>
      </c>
      <c r="F10317">
        <v>20140611</v>
      </c>
      <c r="G10317" t="s">
        <v>1404</v>
      </c>
      <c r="H10317" t="s">
        <v>1456</v>
      </c>
      <c r="I10317" t="s">
        <v>12</v>
      </c>
    </row>
    <row r="10318" spans="1:9" x14ac:dyDescent="0.25">
      <c r="A10318">
        <v>20140612</v>
      </c>
      <c r="B10318" t="str">
        <f>"116191"</f>
        <v>116191</v>
      </c>
      <c r="C10318" t="str">
        <f>"41375"</f>
        <v>41375</v>
      </c>
      <c r="D10318" t="s">
        <v>616</v>
      </c>
      <c r="E10318">
        <v>135.69</v>
      </c>
      <c r="F10318">
        <v>20140610</v>
      </c>
      <c r="G10318" t="s">
        <v>935</v>
      </c>
      <c r="H10318" t="s">
        <v>839</v>
      </c>
      <c r="I10318" t="s">
        <v>21</v>
      </c>
    </row>
    <row r="10319" spans="1:9" x14ac:dyDescent="0.25">
      <c r="A10319">
        <v>20140612</v>
      </c>
      <c r="B10319" t="str">
        <f>"116192"</f>
        <v>116192</v>
      </c>
      <c r="C10319" t="str">
        <f>"86928"</f>
        <v>86928</v>
      </c>
      <c r="D10319" t="s">
        <v>1457</v>
      </c>
      <c r="E10319">
        <v>781.38</v>
      </c>
      <c r="F10319">
        <v>20140611</v>
      </c>
      <c r="G10319" t="s">
        <v>892</v>
      </c>
      <c r="H10319" t="s">
        <v>563</v>
      </c>
      <c r="I10319" t="s">
        <v>79</v>
      </c>
    </row>
    <row r="10320" spans="1:9" x14ac:dyDescent="0.25">
      <c r="A10320">
        <v>20140612</v>
      </c>
      <c r="B10320" t="str">
        <f>"116193"</f>
        <v>116193</v>
      </c>
      <c r="C10320" t="str">
        <f>"86767"</f>
        <v>86767</v>
      </c>
      <c r="D10320" t="s">
        <v>1458</v>
      </c>
      <c r="E10320">
        <v>41.09</v>
      </c>
      <c r="F10320">
        <v>20140609</v>
      </c>
      <c r="G10320" t="s">
        <v>601</v>
      </c>
      <c r="H10320" t="s">
        <v>563</v>
      </c>
      <c r="I10320" t="s">
        <v>21</v>
      </c>
    </row>
    <row r="10321" spans="1:9" x14ac:dyDescent="0.25">
      <c r="A10321">
        <v>20140612</v>
      </c>
      <c r="B10321" t="str">
        <f>"116194"</f>
        <v>116194</v>
      </c>
      <c r="C10321" t="str">
        <f>"42750"</f>
        <v>42750</v>
      </c>
      <c r="D10321" t="s">
        <v>888</v>
      </c>
      <c r="E10321">
        <v>257.61</v>
      </c>
      <c r="F10321">
        <v>20140611</v>
      </c>
      <c r="G10321" t="s">
        <v>181</v>
      </c>
      <c r="H10321" t="s">
        <v>354</v>
      </c>
      <c r="I10321" t="s">
        <v>38</v>
      </c>
    </row>
    <row r="10322" spans="1:9" x14ac:dyDescent="0.25">
      <c r="A10322">
        <v>20140612</v>
      </c>
      <c r="B10322" t="str">
        <f>"116195"</f>
        <v>116195</v>
      </c>
      <c r="C10322" t="str">
        <f>"43798"</f>
        <v>43798</v>
      </c>
      <c r="D10322" t="s">
        <v>620</v>
      </c>
      <c r="E10322">
        <v>324</v>
      </c>
      <c r="F10322">
        <v>20140606</v>
      </c>
      <c r="G10322" t="s">
        <v>511</v>
      </c>
      <c r="H10322" t="s">
        <v>623</v>
      </c>
      <c r="I10322" t="s">
        <v>21</v>
      </c>
    </row>
    <row r="10323" spans="1:9" x14ac:dyDescent="0.25">
      <c r="A10323">
        <v>20140612</v>
      </c>
      <c r="B10323" t="str">
        <f>"116196"</f>
        <v>116196</v>
      </c>
      <c r="C10323" t="str">
        <f>"43815"</f>
        <v>43815</v>
      </c>
      <c r="D10323" t="s">
        <v>4618</v>
      </c>
      <c r="E10323" s="1">
        <v>1000</v>
      </c>
      <c r="F10323">
        <v>20140611</v>
      </c>
      <c r="G10323" t="s">
        <v>1140</v>
      </c>
      <c r="H10323" t="s">
        <v>4619</v>
      </c>
      <c r="I10323" t="s">
        <v>12</v>
      </c>
    </row>
    <row r="10324" spans="1:9" x14ac:dyDescent="0.25">
      <c r="A10324">
        <v>20140612</v>
      </c>
      <c r="B10324" t="str">
        <f>"116197"</f>
        <v>116197</v>
      </c>
      <c r="C10324" t="str">
        <f>"87889"</f>
        <v>87889</v>
      </c>
      <c r="D10324" t="s">
        <v>4620</v>
      </c>
      <c r="E10324">
        <v>425</v>
      </c>
      <c r="F10324">
        <v>20140611</v>
      </c>
      <c r="G10324" t="s">
        <v>4621</v>
      </c>
      <c r="H10324" t="s">
        <v>954</v>
      </c>
      <c r="I10324" t="s">
        <v>21</v>
      </c>
    </row>
    <row r="10325" spans="1:9" x14ac:dyDescent="0.25">
      <c r="A10325">
        <v>20140612</v>
      </c>
      <c r="B10325" t="str">
        <f>"116198"</f>
        <v>116198</v>
      </c>
      <c r="C10325" t="str">
        <f>"45605"</f>
        <v>45605</v>
      </c>
      <c r="D10325" t="s">
        <v>1474</v>
      </c>
      <c r="E10325">
        <v>19.02</v>
      </c>
      <c r="F10325">
        <v>20140606</v>
      </c>
      <c r="G10325" t="s">
        <v>627</v>
      </c>
      <c r="H10325" t="s">
        <v>414</v>
      </c>
      <c r="I10325" t="s">
        <v>21</v>
      </c>
    </row>
    <row r="10326" spans="1:9" x14ac:dyDescent="0.25">
      <c r="A10326">
        <v>20140612</v>
      </c>
      <c r="B10326" t="str">
        <f>"116198"</f>
        <v>116198</v>
      </c>
      <c r="C10326" t="str">
        <f>"45605"</f>
        <v>45605</v>
      </c>
      <c r="D10326" t="s">
        <v>1474</v>
      </c>
      <c r="E10326">
        <v>4.16</v>
      </c>
      <c r="F10326">
        <v>20140606</v>
      </c>
      <c r="G10326" t="s">
        <v>628</v>
      </c>
      <c r="H10326" t="s">
        <v>414</v>
      </c>
      <c r="I10326" t="s">
        <v>21</v>
      </c>
    </row>
    <row r="10327" spans="1:9" x14ac:dyDescent="0.25">
      <c r="A10327">
        <v>20140612</v>
      </c>
      <c r="B10327" t="str">
        <f>"116198"</f>
        <v>116198</v>
      </c>
      <c r="C10327" t="str">
        <f>"45605"</f>
        <v>45605</v>
      </c>
      <c r="D10327" t="s">
        <v>1474</v>
      </c>
      <c r="E10327">
        <v>23.54</v>
      </c>
      <c r="F10327">
        <v>20140606</v>
      </c>
      <c r="G10327" t="s">
        <v>392</v>
      </c>
      <c r="H10327" t="s">
        <v>414</v>
      </c>
      <c r="I10327" t="s">
        <v>21</v>
      </c>
    </row>
    <row r="10328" spans="1:9" x14ac:dyDescent="0.25">
      <c r="A10328">
        <v>20140612</v>
      </c>
      <c r="B10328" t="str">
        <f>"116198"</f>
        <v>116198</v>
      </c>
      <c r="C10328" t="str">
        <f>"45605"</f>
        <v>45605</v>
      </c>
      <c r="D10328" t="s">
        <v>1474</v>
      </c>
      <c r="E10328">
        <v>246.99</v>
      </c>
      <c r="F10328">
        <v>20140606</v>
      </c>
      <c r="G10328" t="s">
        <v>392</v>
      </c>
      <c r="H10328" t="s">
        <v>414</v>
      </c>
      <c r="I10328" t="s">
        <v>21</v>
      </c>
    </row>
    <row r="10329" spans="1:9" x14ac:dyDescent="0.25">
      <c r="A10329">
        <v>20140612</v>
      </c>
      <c r="B10329" t="str">
        <f>"116199"</f>
        <v>116199</v>
      </c>
      <c r="C10329" t="str">
        <f>"46500"</f>
        <v>46500</v>
      </c>
      <c r="D10329" t="s">
        <v>626</v>
      </c>
      <c r="E10329">
        <v>43.9</v>
      </c>
      <c r="F10329">
        <v>20140606</v>
      </c>
      <c r="G10329" t="s">
        <v>627</v>
      </c>
      <c r="H10329" t="s">
        <v>414</v>
      </c>
      <c r="I10329" t="s">
        <v>21</v>
      </c>
    </row>
    <row r="10330" spans="1:9" x14ac:dyDescent="0.25">
      <c r="A10330">
        <v>20140612</v>
      </c>
      <c r="B10330" t="str">
        <f>"116199"</f>
        <v>116199</v>
      </c>
      <c r="C10330" t="str">
        <f>"46500"</f>
        <v>46500</v>
      </c>
      <c r="D10330" t="s">
        <v>626</v>
      </c>
      <c r="E10330">
        <v>223.77</v>
      </c>
      <c r="F10330">
        <v>20140611</v>
      </c>
      <c r="G10330" t="s">
        <v>630</v>
      </c>
      <c r="H10330" t="s">
        <v>414</v>
      </c>
      <c r="I10330" t="s">
        <v>21</v>
      </c>
    </row>
    <row r="10331" spans="1:9" x14ac:dyDescent="0.25">
      <c r="A10331">
        <v>20140612</v>
      </c>
      <c r="B10331" t="str">
        <f>"116199"</f>
        <v>116199</v>
      </c>
      <c r="C10331" t="str">
        <f>"46500"</f>
        <v>46500</v>
      </c>
      <c r="D10331" t="s">
        <v>626</v>
      </c>
      <c r="E10331">
        <v>59.9</v>
      </c>
      <c r="F10331">
        <v>20140606</v>
      </c>
      <c r="G10331" t="s">
        <v>631</v>
      </c>
      <c r="H10331" t="s">
        <v>414</v>
      </c>
      <c r="I10331" t="s">
        <v>21</v>
      </c>
    </row>
    <row r="10332" spans="1:9" x14ac:dyDescent="0.25">
      <c r="A10332">
        <v>20140612</v>
      </c>
      <c r="B10332" t="str">
        <f>"116199"</f>
        <v>116199</v>
      </c>
      <c r="C10332" t="str">
        <f>"46500"</f>
        <v>46500</v>
      </c>
      <c r="D10332" t="s">
        <v>626</v>
      </c>
      <c r="E10332">
        <v>130.6</v>
      </c>
      <c r="F10332">
        <v>20140606</v>
      </c>
      <c r="G10332" t="s">
        <v>531</v>
      </c>
      <c r="H10332" t="s">
        <v>414</v>
      </c>
      <c r="I10332" t="s">
        <v>21</v>
      </c>
    </row>
    <row r="10333" spans="1:9" x14ac:dyDescent="0.25">
      <c r="A10333">
        <v>20140612</v>
      </c>
      <c r="B10333" t="str">
        <f>"116199"</f>
        <v>116199</v>
      </c>
      <c r="C10333" t="str">
        <f>"46500"</f>
        <v>46500</v>
      </c>
      <c r="D10333" t="s">
        <v>626</v>
      </c>
      <c r="E10333" s="1">
        <v>7437.77</v>
      </c>
      <c r="F10333">
        <v>20140606</v>
      </c>
      <c r="G10333" t="s">
        <v>3820</v>
      </c>
      <c r="H10333" t="s">
        <v>414</v>
      </c>
      <c r="I10333" t="s">
        <v>21</v>
      </c>
    </row>
    <row r="10334" spans="1:9" x14ac:dyDescent="0.25">
      <c r="A10334">
        <v>20140612</v>
      </c>
      <c r="B10334" t="str">
        <f>"116200"</f>
        <v>116200</v>
      </c>
      <c r="C10334" t="str">
        <f>"84239"</f>
        <v>84239</v>
      </c>
      <c r="D10334" t="s">
        <v>632</v>
      </c>
      <c r="E10334">
        <v>420.5</v>
      </c>
      <c r="F10334">
        <v>20140611</v>
      </c>
      <c r="G10334" t="s">
        <v>633</v>
      </c>
      <c r="H10334" t="s">
        <v>634</v>
      </c>
      <c r="I10334" t="s">
        <v>21</v>
      </c>
    </row>
    <row r="10335" spans="1:9" x14ac:dyDescent="0.25">
      <c r="A10335">
        <v>20140612</v>
      </c>
      <c r="B10335" t="str">
        <f>"116201"</f>
        <v>116201</v>
      </c>
      <c r="C10335" t="str">
        <f>"82365"</f>
        <v>82365</v>
      </c>
      <c r="D10335" t="s">
        <v>1477</v>
      </c>
      <c r="E10335">
        <v>498.39</v>
      </c>
      <c r="F10335">
        <v>20140611</v>
      </c>
      <c r="G10335" t="s">
        <v>1478</v>
      </c>
      <c r="H10335" t="s">
        <v>3939</v>
      </c>
      <c r="I10335" t="s">
        <v>21</v>
      </c>
    </row>
    <row r="10336" spans="1:9" x14ac:dyDescent="0.25">
      <c r="A10336">
        <v>20140612</v>
      </c>
      <c r="B10336" t="str">
        <f>"116202"</f>
        <v>116202</v>
      </c>
      <c r="C10336" t="str">
        <f>"87557"</f>
        <v>87557</v>
      </c>
      <c r="D10336" t="s">
        <v>1629</v>
      </c>
      <c r="E10336">
        <v>97.25</v>
      </c>
      <c r="F10336">
        <v>20140611</v>
      </c>
      <c r="G10336" t="s">
        <v>562</v>
      </c>
      <c r="H10336" t="s">
        <v>563</v>
      </c>
      <c r="I10336" t="s">
        <v>21</v>
      </c>
    </row>
    <row r="10337" spans="1:9" x14ac:dyDescent="0.25">
      <c r="A10337">
        <v>20140612</v>
      </c>
      <c r="B10337" t="str">
        <f>"116203"</f>
        <v>116203</v>
      </c>
      <c r="C10337" t="str">
        <f>"87404"</f>
        <v>87404</v>
      </c>
      <c r="D10337" t="s">
        <v>1108</v>
      </c>
      <c r="E10337">
        <v>18.34</v>
      </c>
      <c r="F10337">
        <v>20140611</v>
      </c>
      <c r="G10337" t="s">
        <v>426</v>
      </c>
      <c r="H10337" t="s">
        <v>968</v>
      </c>
      <c r="I10337" t="s">
        <v>21</v>
      </c>
    </row>
    <row r="10338" spans="1:9" x14ac:dyDescent="0.25">
      <c r="A10338">
        <v>20140612</v>
      </c>
      <c r="B10338" t="str">
        <f>"116204"</f>
        <v>116204</v>
      </c>
      <c r="C10338" t="str">
        <f>"87404"</f>
        <v>87404</v>
      </c>
      <c r="D10338" t="s">
        <v>1108</v>
      </c>
      <c r="E10338">
        <v>15.46</v>
      </c>
      <c r="F10338">
        <v>20140611</v>
      </c>
      <c r="G10338" t="s">
        <v>426</v>
      </c>
      <c r="H10338" t="s">
        <v>968</v>
      </c>
      <c r="I10338" t="s">
        <v>21</v>
      </c>
    </row>
    <row r="10339" spans="1:9" x14ac:dyDescent="0.25">
      <c r="A10339">
        <v>20140612</v>
      </c>
      <c r="B10339" t="str">
        <f>"116205"</f>
        <v>116205</v>
      </c>
      <c r="C10339" t="str">
        <f>"87404"</f>
        <v>87404</v>
      </c>
      <c r="D10339" t="s">
        <v>1108</v>
      </c>
      <c r="E10339">
        <v>12.48</v>
      </c>
      <c r="F10339">
        <v>20140611</v>
      </c>
      <c r="G10339" t="s">
        <v>426</v>
      </c>
      <c r="H10339" t="s">
        <v>968</v>
      </c>
      <c r="I10339" t="s">
        <v>21</v>
      </c>
    </row>
    <row r="10340" spans="1:9" x14ac:dyDescent="0.25">
      <c r="A10340">
        <v>20140612</v>
      </c>
      <c r="B10340" t="str">
        <f>"116206"</f>
        <v>116206</v>
      </c>
      <c r="C10340" t="str">
        <f>"87404"</f>
        <v>87404</v>
      </c>
      <c r="D10340" t="s">
        <v>1108</v>
      </c>
      <c r="E10340">
        <v>4.1399999999999997</v>
      </c>
      <c r="F10340">
        <v>20140611</v>
      </c>
      <c r="G10340" t="s">
        <v>426</v>
      </c>
      <c r="H10340" t="s">
        <v>968</v>
      </c>
      <c r="I10340" t="s">
        <v>21</v>
      </c>
    </row>
    <row r="10341" spans="1:9" x14ac:dyDescent="0.25">
      <c r="A10341">
        <v>20140612</v>
      </c>
      <c r="B10341" t="str">
        <f>"116207"</f>
        <v>116207</v>
      </c>
      <c r="C10341" t="str">
        <f>"87404"</f>
        <v>87404</v>
      </c>
      <c r="D10341" t="s">
        <v>1108</v>
      </c>
      <c r="E10341">
        <v>4.1399999999999997</v>
      </c>
      <c r="F10341">
        <v>20140611</v>
      </c>
      <c r="G10341" t="s">
        <v>426</v>
      </c>
      <c r="H10341" t="s">
        <v>968</v>
      </c>
      <c r="I10341" t="s">
        <v>21</v>
      </c>
    </row>
    <row r="10342" spans="1:9" x14ac:dyDescent="0.25">
      <c r="A10342">
        <v>20140612</v>
      </c>
      <c r="B10342" t="str">
        <f t="shared" ref="B10342:B10357" si="599">"116208"</f>
        <v>116208</v>
      </c>
      <c r="C10342" t="str">
        <f t="shared" ref="C10342:C10357" si="600">"29230"</f>
        <v>29230</v>
      </c>
      <c r="D10342" t="s">
        <v>1267</v>
      </c>
      <c r="E10342">
        <v>65.88</v>
      </c>
      <c r="F10342">
        <v>20140611</v>
      </c>
      <c r="G10342" t="s">
        <v>511</v>
      </c>
      <c r="H10342" t="s">
        <v>1269</v>
      </c>
      <c r="I10342" t="s">
        <v>21</v>
      </c>
    </row>
    <row r="10343" spans="1:9" x14ac:dyDescent="0.25">
      <c r="A10343">
        <v>20140612</v>
      </c>
      <c r="B10343" t="str">
        <f t="shared" si="599"/>
        <v>116208</v>
      </c>
      <c r="C10343" t="str">
        <f t="shared" si="600"/>
        <v>29230</v>
      </c>
      <c r="D10343" t="s">
        <v>1267</v>
      </c>
      <c r="E10343" s="1">
        <v>1807.56</v>
      </c>
      <c r="F10343">
        <v>20140611</v>
      </c>
      <c r="G10343" t="s">
        <v>511</v>
      </c>
      <c r="H10343" t="s">
        <v>1269</v>
      </c>
      <c r="I10343" t="s">
        <v>21</v>
      </c>
    </row>
    <row r="10344" spans="1:9" x14ac:dyDescent="0.25">
      <c r="A10344">
        <v>20140612</v>
      </c>
      <c r="B10344" t="str">
        <f t="shared" si="599"/>
        <v>116208</v>
      </c>
      <c r="C10344" t="str">
        <f t="shared" si="600"/>
        <v>29230</v>
      </c>
      <c r="D10344" t="s">
        <v>1267</v>
      </c>
      <c r="E10344" s="1">
        <v>2110.6</v>
      </c>
      <c r="F10344">
        <v>20140611</v>
      </c>
      <c r="G10344" t="s">
        <v>511</v>
      </c>
      <c r="H10344" t="s">
        <v>1269</v>
      </c>
      <c r="I10344" t="s">
        <v>21</v>
      </c>
    </row>
    <row r="10345" spans="1:9" x14ac:dyDescent="0.25">
      <c r="A10345">
        <v>20140612</v>
      </c>
      <c r="B10345" t="str">
        <f t="shared" si="599"/>
        <v>116208</v>
      </c>
      <c r="C10345" t="str">
        <f t="shared" si="600"/>
        <v>29230</v>
      </c>
      <c r="D10345" t="s">
        <v>1267</v>
      </c>
      <c r="E10345" s="1">
        <v>1284.6600000000001</v>
      </c>
      <c r="F10345">
        <v>20140611</v>
      </c>
      <c r="G10345" t="s">
        <v>621</v>
      </c>
      <c r="H10345" t="s">
        <v>1269</v>
      </c>
      <c r="I10345" t="s">
        <v>21</v>
      </c>
    </row>
    <row r="10346" spans="1:9" x14ac:dyDescent="0.25">
      <c r="A10346">
        <v>20140612</v>
      </c>
      <c r="B10346" t="str">
        <f t="shared" si="599"/>
        <v>116208</v>
      </c>
      <c r="C10346" t="str">
        <f t="shared" si="600"/>
        <v>29230</v>
      </c>
      <c r="D10346" t="s">
        <v>1267</v>
      </c>
      <c r="E10346">
        <v>878.4</v>
      </c>
      <c r="F10346">
        <v>20140611</v>
      </c>
      <c r="G10346" t="s">
        <v>1270</v>
      </c>
      <c r="H10346" t="s">
        <v>1269</v>
      </c>
      <c r="I10346" t="s">
        <v>21</v>
      </c>
    </row>
    <row r="10347" spans="1:9" x14ac:dyDescent="0.25">
      <c r="A10347">
        <v>20140612</v>
      </c>
      <c r="B10347" t="str">
        <f t="shared" si="599"/>
        <v>116208</v>
      </c>
      <c r="C10347" t="str">
        <f t="shared" si="600"/>
        <v>29230</v>
      </c>
      <c r="D10347" t="s">
        <v>1267</v>
      </c>
      <c r="E10347">
        <v>761.28</v>
      </c>
      <c r="F10347">
        <v>20140611</v>
      </c>
      <c r="G10347" t="s">
        <v>624</v>
      </c>
      <c r="H10347" t="s">
        <v>1269</v>
      </c>
      <c r="I10347" t="s">
        <v>21</v>
      </c>
    </row>
    <row r="10348" spans="1:9" x14ac:dyDescent="0.25">
      <c r="A10348">
        <v>20140612</v>
      </c>
      <c r="B10348" t="str">
        <f t="shared" si="599"/>
        <v>116208</v>
      </c>
      <c r="C10348" t="str">
        <f t="shared" si="600"/>
        <v>29230</v>
      </c>
      <c r="D10348" t="s">
        <v>1267</v>
      </c>
      <c r="E10348" s="1">
        <v>1416.88</v>
      </c>
      <c r="F10348">
        <v>20140611</v>
      </c>
      <c r="G10348" t="s">
        <v>950</v>
      </c>
      <c r="H10348" t="s">
        <v>1269</v>
      </c>
      <c r="I10348" t="s">
        <v>21</v>
      </c>
    </row>
    <row r="10349" spans="1:9" x14ac:dyDescent="0.25">
      <c r="A10349">
        <v>20140612</v>
      </c>
      <c r="B10349" t="str">
        <f t="shared" si="599"/>
        <v>116208</v>
      </c>
      <c r="C10349" t="str">
        <f t="shared" si="600"/>
        <v>29230</v>
      </c>
      <c r="D10349" t="s">
        <v>1267</v>
      </c>
      <c r="E10349">
        <v>839.97</v>
      </c>
      <c r="F10349">
        <v>20140611</v>
      </c>
      <c r="G10349" t="s">
        <v>524</v>
      </c>
      <c r="H10349" t="s">
        <v>1269</v>
      </c>
      <c r="I10349" t="s">
        <v>21</v>
      </c>
    </row>
    <row r="10350" spans="1:9" x14ac:dyDescent="0.25">
      <c r="A10350">
        <v>20140612</v>
      </c>
      <c r="B10350" t="str">
        <f t="shared" si="599"/>
        <v>116208</v>
      </c>
      <c r="C10350" t="str">
        <f t="shared" si="600"/>
        <v>29230</v>
      </c>
      <c r="D10350" t="s">
        <v>1267</v>
      </c>
      <c r="E10350">
        <v>253.76</v>
      </c>
      <c r="F10350">
        <v>20140611</v>
      </c>
      <c r="G10350" t="s">
        <v>526</v>
      </c>
      <c r="H10350" t="s">
        <v>1269</v>
      </c>
      <c r="I10350" t="s">
        <v>21</v>
      </c>
    </row>
    <row r="10351" spans="1:9" x14ac:dyDescent="0.25">
      <c r="A10351">
        <v>20140612</v>
      </c>
      <c r="B10351" t="str">
        <f t="shared" si="599"/>
        <v>116208</v>
      </c>
      <c r="C10351" t="str">
        <f t="shared" si="600"/>
        <v>29230</v>
      </c>
      <c r="D10351" t="s">
        <v>1267</v>
      </c>
      <c r="E10351">
        <v>805.2</v>
      </c>
      <c r="F10351">
        <v>20140611</v>
      </c>
      <c r="G10351" t="s">
        <v>450</v>
      </c>
      <c r="H10351" t="s">
        <v>1269</v>
      </c>
      <c r="I10351" t="s">
        <v>21</v>
      </c>
    </row>
    <row r="10352" spans="1:9" x14ac:dyDescent="0.25">
      <c r="A10352">
        <v>20140612</v>
      </c>
      <c r="B10352" t="str">
        <f t="shared" si="599"/>
        <v>116208</v>
      </c>
      <c r="C10352" t="str">
        <f t="shared" si="600"/>
        <v>29230</v>
      </c>
      <c r="D10352" t="s">
        <v>1267</v>
      </c>
      <c r="E10352">
        <v>34.159999999999997</v>
      </c>
      <c r="F10352">
        <v>20140611</v>
      </c>
      <c r="G10352" t="s">
        <v>1271</v>
      </c>
      <c r="H10352" t="s">
        <v>1269</v>
      </c>
      <c r="I10352" t="s">
        <v>21</v>
      </c>
    </row>
    <row r="10353" spans="1:9" x14ac:dyDescent="0.25">
      <c r="A10353">
        <v>20140612</v>
      </c>
      <c r="B10353" t="str">
        <f t="shared" si="599"/>
        <v>116208</v>
      </c>
      <c r="C10353" t="str">
        <f t="shared" si="600"/>
        <v>29230</v>
      </c>
      <c r="D10353" t="s">
        <v>1267</v>
      </c>
      <c r="E10353">
        <v>80.52</v>
      </c>
      <c r="F10353">
        <v>20140611</v>
      </c>
      <c r="G10353" t="s">
        <v>1271</v>
      </c>
      <c r="H10353" t="s">
        <v>1269</v>
      </c>
      <c r="I10353" t="s">
        <v>21</v>
      </c>
    </row>
    <row r="10354" spans="1:9" x14ac:dyDescent="0.25">
      <c r="A10354">
        <v>20140612</v>
      </c>
      <c r="B10354" t="str">
        <f t="shared" si="599"/>
        <v>116208</v>
      </c>
      <c r="C10354" t="str">
        <f t="shared" si="600"/>
        <v>29230</v>
      </c>
      <c r="D10354" t="s">
        <v>1267</v>
      </c>
      <c r="E10354">
        <v>278.16000000000003</v>
      </c>
      <c r="F10354">
        <v>20140611</v>
      </c>
      <c r="G10354" t="s">
        <v>1272</v>
      </c>
      <c r="H10354" t="s">
        <v>1269</v>
      </c>
      <c r="I10354" t="s">
        <v>21</v>
      </c>
    </row>
    <row r="10355" spans="1:9" x14ac:dyDescent="0.25">
      <c r="A10355">
        <v>20140612</v>
      </c>
      <c r="B10355" t="str">
        <f t="shared" si="599"/>
        <v>116208</v>
      </c>
      <c r="C10355" t="str">
        <f t="shared" si="600"/>
        <v>29230</v>
      </c>
      <c r="D10355" t="s">
        <v>1267</v>
      </c>
      <c r="E10355">
        <v>333.52</v>
      </c>
      <c r="F10355">
        <v>20140611</v>
      </c>
      <c r="G10355" t="s">
        <v>1273</v>
      </c>
      <c r="H10355" t="s">
        <v>1269</v>
      </c>
      <c r="I10355" t="s">
        <v>21</v>
      </c>
    </row>
    <row r="10356" spans="1:9" x14ac:dyDescent="0.25">
      <c r="A10356">
        <v>20140612</v>
      </c>
      <c r="B10356" t="str">
        <f t="shared" si="599"/>
        <v>116208</v>
      </c>
      <c r="C10356" t="str">
        <f t="shared" si="600"/>
        <v>29230</v>
      </c>
      <c r="D10356" t="s">
        <v>1267</v>
      </c>
      <c r="E10356">
        <v>112.55</v>
      </c>
      <c r="F10356">
        <v>20140611</v>
      </c>
      <c r="G10356" t="s">
        <v>1464</v>
      </c>
      <c r="H10356" t="s">
        <v>1269</v>
      </c>
      <c r="I10356" t="s">
        <v>21</v>
      </c>
    </row>
    <row r="10357" spans="1:9" x14ac:dyDescent="0.25">
      <c r="A10357">
        <v>20140612</v>
      </c>
      <c r="B10357" t="str">
        <f t="shared" si="599"/>
        <v>116208</v>
      </c>
      <c r="C10357" t="str">
        <f t="shared" si="600"/>
        <v>29230</v>
      </c>
      <c r="D10357" t="s">
        <v>1267</v>
      </c>
      <c r="E10357">
        <v>39.04</v>
      </c>
      <c r="F10357">
        <v>20140611</v>
      </c>
      <c r="G10357" t="s">
        <v>1464</v>
      </c>
      <c r="H10357" t="s">
        <v>1269</v>
      </c>
      <c r="I10357" t="s">
        <v>21</v>
      </c>
    </row>
    <row r="10358" spans="1:9" x14ac:dyDescent="0.25">
      <c r="A10358">
        <v>20140612</v>
      </c>
      <c r="B10358" t="str">
        <f>"116209"</f>
        <v>116209</v>
      </c>
      <c r="C10358" t="str">
        <f>"00760"</f>
        <v>00760</v>
      </c>
      <c r="D10358" t="s">
        <v>920</v>
      </c>
      <c r="E10358">
        <v>602.44000000000005</v>
      </c>
      <c r="F10358">
        <v>20140609</v>
      </c>
      <c r="G10358" t="s">
        <v>926</v>
      </c>
      <c r="H10358" t="s">
        <v>921</v>
      </c>
      <c r="I10358" t="s">
        <v>21</v>
      </c>
    </row>
    <row r="10359" spans="1:9" x14ac:dyDescent="0.25">
      <c r="A10359">
        <v>20140612</v>
      </c>
      <c r="B10359" t="str">
        <f>"116210"</f>
        <v>116210</v>
      </c>
      <c r="C10359" t="str">
        <f>"00760"</f>
        <v>00760</v>
      </c>
      <c r="D10359" t="s">
        <v>920</v>
      </c>
      <c r="E10359">
        <v>483</v>
      </c>
      <c r="F10359">
        <v>20140609</v>
      </c>
      <c r="G10359" t="s">
        <v>1170</v>
      </c>
      <c r="H10359" t="s">
        <v>921</v>
      </c>
      <c r="I10359" t="s">
        <v>21</v>
      </c>
    </row>
    <row r="10360" spans="1:9" x14ac:dyDescent="0.25">
      <c r="A10360">
        <v>20140612</v>
      </c>
      <c r="B10360" t="str">
        <f>"116211"</f>
        <v>116211</v>
      </c>
      <c r="C10360" t="str">
        <f>"87887"</f>
        <v>87887</v>
      </c>
      <c r="D10360" t="s">
        <v>4622</v>
      </c>
      <c r="E10360">
        <v>72</v>
      </c>
      <c r="F10360">
        <v>20140611</v>
      </c>
      <c r="G10360" t="s">
        <v>159</v>
      </c>
      <c r="H10360" t="s">
        <v>4623</v>
      </c>
      <c r="I10360" t="s">
        <v>25</v>
      </c>
    </row>
    <row r="10361" spans="1:9" x14ac:dyDescent="0.25">
      <c r="A10361">
        <v>20140612</v>
      </c>
      <c r="B10361" t="str">
        <f>"116212"</f>
        <v>116212</v>
      </c>
      <c r="C10361" t="str">
        <f>"82625"</f>
        <v>82625</v>
      </c>
      <c r="D10361" t="s">
        <v>649</v>
      </c>
      <c r="E10361">
        <v>46.5</v>
      </c>
      <c r="F10361">
        <v>20140610</v>
      </c>
      <c r="G10361" t="s">
        <v>2552</v>
      </c>
      <c r="H10361" t="s">
        <v>839</v>
      </c>
      <c r="I10361" t="s">
        <v>21</v>
      </c>
    </row>
    <row r="10362" spans="1:9" x14ac:dyDescent="0.25">
      <c r="A10362">
        <v>20140612</v>
      </c>
      <c r="B10362" t="str">
        <f>"116213"</f>
        <v>116213</v>
      </c>
      <c r="C10362" t="str">
        <f>"55675"</f>
        <v>55675</v>
      </c>
      <c r="D10362" t="s">
        <v>1114</v>
      </c>
      <c r="E10362">
        <v>32.94</v>
      </c>
      <c r="F10362">
        <v>20140611</v>
      </c>
      <c r="G10362" t="s">
        <v>1115</v>
      </c>
      <c r="H10362" t="s">
        <v>414</v>
      </c>
      <c r="I10362" t="s">
        <v>21</v>
      </c>
    </row>
    <row r="10363" spans="1:9" x14ac:dyDescent="0.25">
      <c r="A10363">
        <v>20140612</v>
      </c>
      <c r="B10363" t="str">
        <f>"116214"</f>
        <v>116214</v>
      </c>
      <c r="C10363" t="str">
        <f>"57041"</f>
        <v>57041</v>
      </c>
      <c r="D10363" t="s">
        <v>1496</v>
      </c>
      <c r="E10363">
        <v>658.42</v>
      </c>
      <c r="F10363">
        <v>20140611</v>
      </c>
      <c r="G10363" t="s">
        <v>3820</v>
      </c>
      <c r="H10363" t="s">
        <v>414</v>
      </c>
      <c r="I10363" t="s">
        <v>21</v>
      </c>
    </row>
    <row r="10364" spans="1:9" x14ac:dyDescent="0.25">
      <c r="A10364">
        <v>20140612</v>
      </c>
      <c r="B10364" t="str">
        <f>"116215"</f>
        <v>116215</v>
      </c>
      <c r="C10364" t="str">
        <f>"83263"</f>
        <v>83263</v>
      </c>
      <c r="D10364" t="s">
        <v>2876</v>
      </c>
      <c r="E10364">
        <v>2.25</v>
      </c>
      <c r="F10364">
        <v>20140611</v>
      </c>
      <c r="G10364" t="s">
        <v>410</v>
      </c>
      <c r="H10364" t="s">
        <v>411</v>
      </c>
      <c r="I10364" t="s">
        <v>12</v>
      </c>
    </row>
    <row r="10365" spans="1:9" x14ac:dyDescent="0.25">
      <c r="A10365">
        <v>20140612</v>
      </c>
      <c r="B10365" t="str">
        <f>"116216"</f>
        <v>116216</v>
      </c>
      <c r="C10365" t="str">
        <f>"58570"</f>
        <v>58570</v>
      </c>
      <c r="D10365" t="s">
        <v>655</v>
      </c>
      <c r="E10365">
        <v>384.45</v>
      </c>
      <c r="F10365">
        <v>20140611</v>
      </c>
      <c r="G10365" t="s">
        <v>340</v>
      </c>
      <c r="H10365" t="s">
        <v>525</v>
      </c>
      <c r="I10365" t="s">
        <v>21</v>
      </c>
    </row>
    <row r="10366" spans="1:9" x14ac:dyDescent="0.25">
      <c r="A10366">
        <v>20140612</v>
      </c>
      <c r="B10366" t="str">
        <f>"116216"</f>
        <v>116216</v>
      </c>
      <c r="C10366" t="str">
        <f>"58570"</f>
        <v>58570</v>
      </c>
      <c r="D10366" t="s">
        <v>655</v>
      </c>
      <c r="E10366">
        <v>60</v>
      </c>
      <c r="F10366">
        <v>20140611</v>
      </c>
      <c r="G10366" t="s">
        <v>340</v>
      </c>
      <c r="H10366" t="s">
        <v>656</v>
      </c>
      <c r="I10366" t="s">
        <v>21</v>
      </c>
    </row>
    <row r="10367" spans="1:9" x14ac:dyDescent="0.25">
      <c r="A10367">
        <v>20140612</v>
      </c>
      <c r="B10367" t="str">
        <f>"116216"</f>
        <v>116216</v>
      </c>
      <c r="C10367" t="str">
        <f>"58570"</f>
        <v>58570</v>
      </c>
      <c r="D10367" t="s">
        <v>655</v>
      </c>
      <c r="E10367">
        <v>35</v>
      </c>
      <c r="F10367">
        <v>20140611</v>
      </c>
      <c r="G10367" t="s">
        <v>340</v>
      </c>
      <c r="H10367" t="s">
        <v>656</v>
      </c>
      <c r="I10367" t="s">
        <v>21</v>
      </c>
    </row>
    <row r="10368" spans="1:9" x14ac:dyDescent="0.25">
      <c r="A10368">
        <v>20140612</v>
      </c>
      <c r="B10368" t="str">
        <f t="shared" ref="B10368:B10374" si="601">"116217"</f>
        <v>116217</v>
      </c>
      <c r="C10368" t="str">
        <f t="shared" ref="C10368:C10374" si="602">"86964"</f>
        <v>86964</v>
      </c>
      <c r="D10368" t="s">
        <v>1280</v>
      </c>
      <c r="E10368" s="1">
        <v>130519.5</v>
      </c>
      <c r="F10368">
        <v>20140609</v>
      </c>
      <c r="G10368" t="s">
        <v>2147</v>
      </c>
      <c r="H10368" t="s">
        <v>4624</v>
      </c>
      <c r="I10368" t="s">
        <v>21</v>
      </c>
    </row>
    <row r="10369" spans="1:9" x14ac:dyDescent="0.25">
      <c r="A10369">
        <v>20140612</v>
      </c>
      <c r="B10369" t="str">
        <f t="shared" si="601"/>
        <v>116217</v>
      </c>
      <c r="C10369" t="str">
        <f t="shared" si="602"/>
        <v>86964</v>
      </c>
      <c r="D10369" t="s">
        <v>1280</v>
      </c>
      <c r="E10369" s="1">
        <v>40000</v>
      </c>
      <c r="F10369">
        <v>20140609</v>
      </c>
      <c r="G10369" t="s">
        <v>2147</v>
      </c>
      <c r="H10369" t="s">
        <v>4625</v>
      </c>
      <c r="I10369" t="s">
        <v>21</v>
      </c>
    </row>
    <row r="10370" spans="1:9" x14ac:dyDescent="0.25">
      <c r="A10370">
        <v>20140612</v>
      </c>
      <c r="B10370" t="str">
        <f t="shared" si="601"/>
        <v>116217</v>
      </c>
      <c r="C10370" t="str">
        <f t="shared" si="602"/>
        <v>86964</v>
      </c>
      <c r="D10370" t="s">
        <v>1280</v>
      </c>
      <c r="E10370" s="1">
        <v>5527.5</v>
      </c>
      <c r="F10370">
        <v>20140609</v>
      </c>
      <c r="G10370" t="s">
        <v>2147</v>
      </c>
      <c r="H10370" t="s">
        <v>4625</v>
      </c>
      <c r="I10370" t="s">
        <v>21</v>
      </c>
    </row>
    <row r="10371" spans="1:9" x14ac:dyDescent="0.25">
      <c r="A10371">
        <v>20140612</v>
      </c>
      <c r="B10371" t="str">
        <f t="shared" si="601"/>
        <v>116217</v>
      </c>
      <c r="C10371" t="str">
        <f t="shared" si="602"/>
        <v>86964</v>
      </c>
      <c r="D10371" t="s">
        <v>1280</v>
      </c>
      <c r="E10371" s="1">
        <v>8040</v>
      </c>
      <c r="F10371">
        <v>20140609</v>
      </c>
      <c r="G10371" t="s">
        <v>2147</v>
      </c>
      <c r="H10371" t="s">
        <v>4625</v>
      </c>
      <c r="I10371" t="s">
        <v>21</v>
      </c>
    </row>
    <row r="10372" spans="1:9" x14ac:dyDescent="0.25">
      <c r="A10372">
        <v>20140612</v>
      </c>
      <c r="B10372" t="str">
        <f t="shared" si="601"/>
        <v>116217</v>
      </c>
      <c r="C10372" t="str">
        <f t="shared" si="602"/>
        <v>86964</v>
      </c>
      <c r="D10372" t="s">
        <v>1280</v>
      </c>
      <c r="E10372" s="1">
        <v>3037.16</v>
      </c>
      <c r="F10372">
        <v>20140611</v>
      </c>
      <c r="G10372" t="s">
        <v>2147</v>
      </c>
      <c r="H10372" t="s">
        <v>4625</v>
      </c>
      <c r="I10372" t="s">
        <v>21</v>
      </c>
    </row>
    <row r="10373" spans="1:9" x14ac:dyDescent="0.25">
      <c r="A10373">
        <v>20140612</v>
      </c>
      <c r="B10373" t="str">
        <f t="shared" si="601"/>
        <v>116217</v>
      </c>
      <c r="C10373" t="str">
        <f t="shared" si="602"/>
        <v>86964</v>
      </c>
      <c r="D10373" t="s">
        <v>1280</v>
      </c>
      <c r="E10373" s="1">
        <v>1004.17</v>
      </c>
      <c r="F10373">
        <v>20140611</v>
      </c>
      <c r="G10373" t="s">
        <v>2147</v>
      </c>
      <c r="H10373" t="s">
        <v>4625</v>
      </c>
      <c r="I10373" t="s">
        <v>21</v>
      </c>
    </row>
    <row r="10374" spans="1:9" x14ac:dyDescent="0.25">
      <c r="A10374">
        <v>20140612</v>
      </c>
      <c r="B10374" t="str">
        <f t="shared" si="601"/>
        <v>116217</v>
      </c>
      <c r="C10374" t="str">
        <f t="shared" si="602"/>
        <v>86964</v>
      </c>
      <c r="D10374" t="s">
        <v>1280</v>
      </c>
      <c r="E10374" s="1">
        <v>72431.12</v>
      </c>
      <c r="F10374">
        <v>20140605</v>
      </c>
      <c r="G10374" t="s">
        <v>1399</v>
      </c>
      <c r="H10374" t="s">
        <v>4626</v>
      </c>
      <c r="I10374" t="s">
        <v>21</v>
      </c>
    </row>
    <row r="10375" spans="1:9" x14ac:dyDescent="0.25">
      <c r="A10375">
        <v>20140612</v>
      </c>
      <c r="B10375" t="str">
        <f>"116218"</f>
        <v>116218</v>
      </c>
      <c r="C10375" t="str">
        <f>"58675"</f>
        <v>58675</v>
      </c>
      <c r="D10375" t="s">
        <v>657</v>
      </c>
      <c r="E10375" s="1">
        <v>3048.59</v>
      </c>
      <c r="F10375">
        <v>20140611</v>
      </c>
      <c r="G10375" t="s">
        <v>498</v>
      </c>
      <c r="H10375" t="s">
        <v>499</v>
      </c>
      <c r="I10375" t="s">
        <v>21</v>
      </c>
    </row>
    <row r="10376" spans="1:9" x14ac:dyDescent="0.25">
      <c r="A10376">
        <v>20140612</v>
      </c>
      <c r="B10376" t="str">
        <f>"116219"</f>
        <v>116219</v>
      </c>
      <c r="C10376" t="str">
        <f>"59190"</f>
        <v>59190</v>
      </c>
      <c r="D10376" t="s">
        <v>1499</v>
      </c>
      <c r="E10376">
        <v>22.86</v>
      </c>
      <c r="F10376">
        <v>20140606</v>
      </c>
      <c r="G10376" t="s">
        <v>413</v>
      </c>
      <c r="H10376" t="s">
        <v>414</v>
      </c>
      <c r="I10376" t="s">
        <v>21</v>
      </c>
    </row>
    <row r="10377" spans="1:9" x14ac:dyDescent="0.25">
      <c r="A10377">
        <v>20140612</v>
      </c>
      <c r="B10377" t="str">
        <f>"116219"</f>
        <v>116219</v>
      </c>
      <c r="C10377" t="str">
        <f>"59190"</f>
        <v>59190</v>
      </c>
      <c r="D10377" t="s">
        <v>1499</v>
      </c>
      <c r="E10377">
        <v>22.18</v>
      </c>
      <c r="F10377">
        <v>20140606</v>
      </c>
      <c r="G10377" t="s">
        <v>415</v>
      </c>
      <c r="H10377" t="s">
        <v>3947</v>
      </c>
      <c r="I10377" t="s">
        <v>21</v>
      </c>
    </row>
    <row r="10378" spans="1:9" x14ac:dyDescent="0.25">
      <c r="A10378">
        <v>20140612</v>
      </c>
      <c r="B10378" t="str">
        <f>"116219"</f>
        <v>116219</v>
      </c>
      <c r="C10378" t="str">
        <f>"59190"</f>
        <v>59190</v>
      </c>
      <c r="D10378" t="s">
        <v>1499</v>
      </c>
      <c r="E10378">
        <v>24.32</v>
      </c>
      <c r="F10378">
        <v>20140606</v>
      </c>
      <c r="G10378" t="s">
        <v>1408</v>
      </c>
      <c r="H10378" t="s">
        <v>3947</v>
      </c>
      <c r="I10378" t="s">
        <v>12</v>
      </c>
    </row>
    <row r="10379" spans="1:9" x14ac:dyDescent="0.25">
      <c r="A10379">
        <v>20140612</v>
      </c>
      <c r="B10379" t="str">
        <f>"116220"</f>
        <v>116220</v>
      </c>
      <c r="C10379" t="str">
        <f>"00266"</f>
        <v>00266</v>
      </c>
      <c r="D10379" t="s">
        <v>4627</v>
      </c>
      <c r="E10379">
        <v>860.28</v>
      </c>
      <c r="F10379">
        <v>20140611</v>
      </c>
      <c r="G10379" t="s">
        <v>48</v>
      </c>
      <c r="H10379" t="s">
        <v>921</v>
      </c>
      <c r="I10379" t="s">
        <v>25</v>
      </c>
    </row>
    <row r="10380" spans="1:9" x14ac:dyDescent="0.25">
      <c r="A10380">
        <v>20140612</v>
      </c>
      <c r="B10380" t="str">
        <f>"116221"</f>
        <v>116221</v>
      </c>
      <c r="C10380" t="str">
        <f>"59500"</f>
        <v>59500</v>
      </c>
      <c r="D10380" t="s">
        <v>670</v>
      </c>
      <c r="E10380">
        <v>49.98</v>
      </c>
      <c r="F10380">
        <v>20140610</v>
      </c>
      <c r="G10380" t="s">
        <v>828</v>
      </c>
      <c r="H10380" t="s">
        <v>4628</v>
      </c>
      <c r="I10380" t="s">
        <v>21</v>
      </c>
    </row>
    <row r="10381" spans="1:9" x14ac:dyDescent="0.25">
      <c r="A10381">
        <v>20140612</v>
      </c>
      <c r="B10381" t="str">
        <f>"116221"</f>
        <v>116221</v>
      </c>
      <c r="C10381" t="str">
        <f>"59500"</f>
        <v>59500</v>
      </c>
      <c r="D10381" t="s">
        <v>670</v>
      </c>
      <c r="E10381">
        <v>23.79</v>
      </c>
      <c r="F10381">
        <v>20140611</v>
      </c>
      <c r="G10381" t="s">
        <v>137</v>
      </c>
      <c r="H10381" t="s">
        <v>414</v>
      </c>
      <c r="I10381" t="s">
        <v>21</v>
      </c>
    </row>
    <row r="10382" spans="1:9" x14ac:dyDescent="0.25">
      <c r="A10382">
        <v>20140612</v>
      </c>
      <c r="B10382" t="str">
        <f>"116222"</f>
        <v>116222</v>
      </c>
      <c r="C10382" t="str">
        <f>"60450"</f>
        <v>60450</v>
      </c>
      <c r="D10382" t="s">
        <v>1917</v>
      </c>
      <c r="E10382">
        <v>194.21</v>
      </c>
      <c r="F10382">
        <v>20140610</v>
      </c>
      <c r="G10382" t="s">
        <v>935</v>
      </c>
      <c r="H10382" t="s">
        <v>414</v>
      </c>
      <c r="I10382" t="s">
        <v>21</v>
      </c>
    </row>
    <row r="10383" spans="1:9" x14ac:dyDescent="0.25">
      <c r="A10383">
        <v>20140612</v>
      </c>
      <c r="B10383" t="str">
        <f>"116223"</f>
        <v>116223</v>
      </c>
      <c r="C10383" t="str">
        <f>"87483"</f>
        <v>87483</v>
      </c>
      <c r="D10383" t="s">
        <v>1286</v>
      </c>
      <c r="E10383" s="1">
        <v>3163.5</v>
      </c>
      <c r="F10383">
        <v>20140605</v>
      </c>
      <c r="G10383" t="s">
        <v>840</v>
      </c>
      <c r="H10383" t="s">
        <v>4629</v>
      </c>
      <c r="I10383" t="s">
        <v>21</v>
      </c>
    </row>
    <row r="10384" spans="1:9" x14ac:dyDescent="0.25">
      <c r="A10384">
        <v>20140612</v>
      </c>
      <c r="B10384" t="str">
        <f>"116224"</f>
        <v>116224</v>
      </c>
      <c r="C10384" t="str">
        <f>"83617"</f>
        <v>83617</v>
      </c>
      <c r="D10384" t="s">
        <v>1289</v>
      </c>
      <c r="E10384">
        <v>360.64</v>
      </c>
      <c r="F10384">
        <v>20140611</v>
      </c>
      <c r="G10384" t="s">
        <v>892</v>
      </c>
      <c r="H10384" t="s">
        <v>563</v>
      </c>
      <c r="I10384" t="s">
        <v>79</v>
      </c>
    </row>
    <row r="10385" spans="1:9" x14ac:dyDescent="0.25">
      <c r="A10385">
        <v>20140612</v>
      </c>
      <c r="B10385" t="str">
        <f>"116225"</f>
        <v>116225</v>
      </c>
      <c r="C10385" t="str">
        <f>"61410"</f>
        <v>61410</v>
      </c>
      <c r="D10385" t="s">
        <v>2969</v>
      </c>
      <c r="E10385" s="1">
        <v>1623.6</v>
      </c>
      <c r="F10385">
        <v>20140611</v>
      </c>
      <c r="G10385" t="s">
        <v>181</v>
      </c>
      <c r="H10385" t="s">
        <v>553</v>
      </c>
      <c r="I10385" t="s">
        <v>38</v>
      </c>
    </row>
    <row r="10386" spans="1:9" x14ac:dyDescent="0.25">
      <c r="A10386">
        <v>20140612</v>
      </c>
      <c r="B10386" t="str">
        <f>"116226"</f>
        <v>116226</v>
      </c>
      <c r="C10386" t="str">
        <f>"84597"</f>
        <v>84597</v>
      </c>
      <c r="D10386" t="s">
        <v>1508</v>
      </c>
      <c r="E10386">
        <v>261.39999999999998</v>
      </c>
      <c r="F10386">
        <v>20140611</v>
      </c>
      <c r="G10386" t="s">
        <v>498</v>
      </c>
      <c r="H10386" t="s">
        <v>499</v>
      </c>
      <c r="I10386" t="s">
        <v>21</v>
      </c>
    </row>
    <row r="10387" spans="1:9" x14ac:dyDescent="0.25">
      <c r="A10387">
        <v>20140612</v>
      </c>
      <c r="B10387" t="str">
        <f>"116227"</f>
        <v>116227</v>
      </c>
      <c r="C10387" t="str">
        <f>"62200"</f>
        <v>62200</v>
      </c>
      <c r="D10387" t="s">
        <v>1510</v>
      </c>
      <c r="E10387">
        <v>190.62</v>
      </c>
      <c r="F10387">
        <v>20140606</v>
      </c>
      <c r="G10387" t="s">
        <v>496</v>
      </c>
      <c r="H10387" t="s">
        <v>414</v>
      </c>
      <c r="I10387" t="s">
        <v>21</v>
      </c>
    </row>
    <row r="10388" spans="1:9" x14ac:dyDescent="0.25">
      <c r="A10388">
        <v>20140612</v>
      </c>
      <c r="B10388" t="str">
        <f>"116228"</f>
        <v>116228</v>
      </c>
      <c r="C10388" t="str">
        <f>"87815"</f>
        <v>87815</v>
      </c>
      <c r="D10388" t="s">
        <v>4630</v>
      </c>
      <c r="E10388" s="1">
        <v>1581.7</v>
      </c>
      <c r="F10388">
        <v>20140610</v>
      </c>
      <c r="G10388" t="s">
        <v>1304</v>
      </c>
      <c r="H10388" t="s">
        <v>4631</v>
      </c>
      <c r="I10388" t="s">
        <v>21</v>
      </c>
    </row>
    <row r="10389" spans="1:9" x14ac:dyDescent="0.25">
      <c r="A10389">
        <v>20140612</v>
      </c>
      <c r="B10389" t="str">
        <f>"116229"</f>
        <v>116229</v>
      </c>
      <c r="C10389" t="str">
        <f>"82957"</f>
        <v>82957</v>
      </c>
      <c r="D10389" t="s">
        <v>1927</v>
      </c>
      <c r="E10389">
        <v>189</v>
      </c>
      <c r="F10389">
        <v>20140611</v>
      </c>
      <c r="G10389" t="s">
        <v>910</v>
      </c>
      <c r="H10389" t="s">
        <v>4632</v>
      </c>
      <c r="I10389" t="s">
        <v>25</v>
      </c>
    </row>
    <row r="10390" spans="1:9" x14ac:dyDescent="0.25">
      <c r="A10390">
        <v>20140612</v>
      </c>
      <c r="B10390" t="str">
        <f>"116230"</f>
        <v>116230</v>
      </c>
      <c r="C10390" t="str">
        <f>"83242"</f>
        <v>83242</v>
      </c>
      <c r="D10390" t="s">
        <v>4633</v>
      </c>
      <c r="E10390" s="1">
        <v>1322.55</v>
      </c>
      <c r="F10390">
        <v>20140610</v>
      </c>
      <c r="G10390" t="s">
        <v>3029</v>
      </c>
      <c r="H10390" t="s">
        <v>4634</v>
      </c>
      <c r="I10390" t="s">
        <v>21</v>
      </c>
    </row>
    <row r="10391" spans="1:9" x14ac:dyDescent="0.25">
      <c r="A10391">
        <v>20140612</v>
      </c>
      <c r="B10391" t="str">
        <f>"116231"</f>
        <v>116231</v>
      </c>
      <c r="C10391" t="str">
        <f>"87886"</f>
        <v>87886</v>
      </c>
      <c r="D10391" t="s">
        <v>4635</v>
      </c>
      <c r="E10391">
        <v>60.93</v>
      </c>
      <c r="F10391">
        <v>20140609</v>
      </c>
      <c r="G10391" t="s">
        <v>442</v>
      </c>
      <c r="H10391" t="s">
        <v>365</v>
      </c>
      <c r="I10391" t="s">
        <v>66</v>
      </c>
    </row>
    <row r="10392" spans="1:9" x14ac:dyDescent="0.25">
      <c r="A10392">
        <v>20140612</v>
      </c>
      <c r="B10392" t="str">
        <f>"116231"</f>
        <v>116231</v>
      </c>
      <c r="C10392" t="str">
        <f>"87886"</f>
        <v>87886</v>
      </c>
      <c r="D10392" t="s">
        <v>4635</v>
      </c>
      <c r="E10392">
        <v>59.96</v>
      </c>
      <c r="F10392">
        <v>20140611</v>
      </c>
      <c r="G10392" t="s">
        <v>39</v>
      </c>
      <c r="H10392" t="s">
        <v>354</v>
      </c>
      <c r="I10392" t="s">
        <v>38</v>
      </c>
    </row>
    <row r="10393" spans="1:9" x14ac:dyDescent="0.25">
      <c r="A10393">
        <v>20140612</v>
      </c>
      <c r="B10393" t="str">
        <f>"116232"</f>
        <v>116232</v>
      </c>
      <c r="C10393" t="str">
        <f>"81162"</f>
        <v>81162</v>
      </c>
      <c r="D10393" t="s">
        <v>1802</v>
      </c>
      <c r="E10393">
        <v>259.42</v>
      </c>
      <c r="F10393">
        <v>20140611</v>
      </c>
      <c r="G10393" t="s">
        <v>1522</v>
      </c>
      <c r="H10393" t="s">
        <v>921</v>
      </c>
      <c r="I10393" t="s">
        <v>21</v>
      </c>
    </row>
    <row r="10394" spans="1:9" x14ac:dyDescent="0.25">
      <c r="A10394">
        <v>20140612</v>
      </c>
      <c r="B10394" t="str">
        <f>"116233"</f>
        <v>116233</v>
      </c>
      <c r="C10394" t="str">
        <f>"81411"</f>
        <v>81411</v>
      </c>
      <c r="D10394" t="s">
        <v>687</v>
      </c>
      <c r="E10394">
        <v>-273</v>
      </c>
      <c r="F10394">
        <v>20140612</v>
      </c>
      <c r="G10394" t="s">
        <v>340</v>
      </c>
      <c r="H10394" t="s">
        <v>4636</v>
      </c>
      <c r="I10394" t="s">
        <v>21</v>
      </c>
    </row>
    <row r="10395" spans="1:9" x14ac:dyDescent="0.25">
      <c r="A10395">
        <v>20140612</v>
      </c>
      <c r="B10395" t="str">
        <f>"116233"</f>
        <v>116233</v>
      </c>
      <c r="C10395" t="str">
        <f>"81411"</f>
        <v>81411</v>
      </c>
      <c r="D10395" t="s">
        <v>687</v>
      </c>
      <c r="E10395" s="1">
        <v>1295</v>
      </c>
      <c r="F10395">
        <v>20140606</v>
      </c>
      <c r="G10395" t="s">
        <v>498</v>
      </c>
      <c r="H10395" t="s">
        <v>688</v>
      </c>
      <c r="I10395" t="s">
        <v>21</v>
      </c>
    </row>
    <row r="10396" spans="1:9" x14ac:dyDescent="0.25">
      <c r="A10396">
        <v>20140612</v>
      </c>
      <c r="B10396" t="str">
        <f>"116234"</f>
        <v>116234</v>
      </c>
      <c r="C10396" t="str">
        <f>"87361"</f>
        <v>87361</v>
      </c>
      <c r="D10396" t="s">
        <v>2283</v>
      </c>
      <c r="E10396">
        <v>700</v>
      </c>
      <c r="F10396">
        <v>20140611</v>
      </c>
      <c r="G10396" t="s">
        <v>511</v>
      </c>
      <c r="H10396" t="s">
        <v>4637</v>
      </c>
      <c r="I10396" t="s">
        <v>21</v>
      </c>
    </row>
    <row r="10397" spans="1:9" x14ac:dyDescent="0.25">
      <c r="A10397">
        <v>20140612</v>
      </c>
      <c r="B10397" t="str">
        <f>"116235"</f>
        <v>116235</v>
      </c>
      <c r="C10397" t="str">
        <f>"86376"</f>
        <v>86376</v>
      </c>
      <c r="D10397" t="s">
        <v>1661</v>
      </c>
      <c r="E10397">
        <v>685.19</v>
      </c>
      <c r="F10397">
        <v>20140610</v>
      </c>
      <c r="G10397" t="s">
        <v>577</v>
      </c>
      <c r="H10397" t="s">
        <v>839</v>
      </c>
      <c r="I10397" t="s">
        <v>21</v>
      </c>
    </row>
    <row r="10398" spans="1:9" x14ac:dyDescent="0.25">
      <c r="A10398">
        <v>20140612</v>
      </c>
      <c r="B10398" t="str">
        <f>"116235"</f>
        <v>116235</v>
      </c>
      <c r="C10398" t="str">
        <f>"86376"</f>
        <v>86376</v>
      </c>
      <c r="D10398" t="s">
        <v>1661</v>
      </c>
      <c r="E10398" s="1">
        <v>8139.81</v>
      </c>
      <c r="F10398">
        <v>20140610</v>
      </c>
      <c r="G10398" t="s">
        <v>1281</v>
      </c>
      <c r="H10398" t="s">
        <v>839</v>
      </c>
      <c r="I10398" t="s">
        <v>21</v>
      </c>
    </row>
    <row r="10399" spans="1:9" x14ac:dyDescent="0.25">
      <c r="A10399">
        <v>20140612</v>
      </c>
      <c r="B10399" t="str">
        <f>"116236"</f>
        <v>116236</v>
      </c>
      <c r="C10399" t="str">
        <f>"81886"</f>
        <v>81886</v>
      </c>
      <c r="D10399" t="s">
        <v>1527</v>
      </c>
      <c r="E10399" s="1">
        <v>1025</v>
      </c>
      <c r="F10399">
        <v>20140606</v>
      </c>
      <c r="G10399" t="s">
        <v>746</v>
      </c>
      <c r="H10399" t="s">
        <v>555</v>
      </c>
      <c r="I10399" t="s">
        <v>21</v>
      </c>
    </row>
    <row r="10400" spans="1:9" x14ac:dyDescent="0.25">
      <c r="A10400">
        <v>20140612</v>
      </c>
      <c r="B10400" t="str">
        <f>"116237"</f>
        <v>116237</v>
      </c>
      <c r="C10400" t="str">
        <f>"87393"</f>
        <v>87393</v>
      </c>
      <c r="D10400" t="s">
        <v>4638</v>
      </c>
      <c r="E10400">
        <v>344</v>
      </c>
      <c r="F10400">
        <v>20140605</v>
      </c>
      <c r="G10400" t="s">
        <v>574</v>
      </c>
      <c r="H10400" t="s">
        <v>4639</v>
      </c>
      <c r="I10400" t="s">
        <v>21</v>
      </c>
    </row>
    <row r="10401" spans="1:9" x14ac:dyDescent="0.25">
      <c r="A10401">
        <v>20140612</v>
      </c>
      <c r="B10401" t="str">
        <f>"116238"</f>
        <v>116238</v>
      </c>
      <c r="C10401" t="str">
        <f>"00392"</f>
        <v>00392</v>
      </c>
      <c r="D10401" t="s">
        <v>4098</v>
      </c>
      <c r="E10401">
        <v>110</v>
      </c>
      <c r="F10401">
        <v>20140609</v>
      </c>
      <c r="G10401" t="s">
        <v>367</v>
      </c>
      <c r="H10401" t="s">
        <v>4640</v>
      </c>
      <c r="I10401" t="s">
        <v>21</v>
      </c>
    </row>
    <row r="10402" spans="1:9" x14ac:dyDescent="0.25">
      <c r="A10402">
        <v>20140612</v>
      </c>
      <c r="B10402" t="str">
        <f>"116239"</f>
        <v>116239</v>
      </c>
      <c r="C10402" t="str">
        <f>"70680"</f>
        <v>70680</v>
      </c>
      <c r="D10402" t="s">
        <v>1314</v>
      </c>
      <c r="E10402">
        <v>80</v>
      </c>
      <c r="F10402">
        <v>20140611</v>
      </c>
      <c r="G10402" t="s">
        <v>194</v>
      </c>
      <c r="H10402" t="s">
        <v>1677</v>
      </c>
      <c r="I10402" t="s">
        <v>25</v>
      </c>
    </row>
    <row r="10403" spans="1:9" x14ac:dyDescent="0.25">
      <c r="A10403">
        <v>20140612</v>
      </c>
      <c r="B10403" t="str">
        <f>"116240"</f>
        <v>116240</v>
      </c>
      <c r="C10403" t="str">
        <f>"70775"</f>
        <v>70775</v>
      </c>
      <c r="D10403" t="s">
        <v>4292</v>
      </c>
      <c r="E10403">
        <v>100</v>
      </c>
      <c r="F10403">
        <v>20140611</v>
      </c>
      <c r="G10403" t="s">
        <v>1153</v>
      </c>
      <c r="H10403" t="s">
        <v>1677</v>
      </c>
      <c r="I10403" t="s">
        <v>61</v>
      </c>
    </row>
    <row r="10404" spans="1:9" x14ac:dyDescent="0.25">
      <c r="A10404">
        <v>20140612</v>
      </c>
      <c r="B10404" t="str">
        <f>"116240"</f>
        <v>116240</v>
      </c>
      <c r="C10404" t="str">
        <f>"70775"</f>
        <v>70775</v>
      </c>
      <c r="D10404" t="s">
        <v>4292</v>
      </c>
      <c r="E10404">
        <v>100</v>
      </c>
      <c r="F10404">
        <v>20140611</v>
      </c>
      <c r="G10404" t="s">
        <v>1153</v>
      </c>
      <c r="H10404" t="s">
        <v>1677</v>
      </c>
      <c r="I10404" t="s">
        <v>61</v>
      </c>
    </row>
    <row r="10405" spans="1:9" x14ac:dyDescent="0.25">
      <c r="A10405">
        <v>20140612</v>
      </c>
      <c r="B10405" t="str">
        <f>"116240"</f>
        <v>116240</v>
      </c>
      <c r="C10405" t="str">
        <f>"70775"</f>
        <v>70775</v>
      </c>
      <c r="D10405" t="s">
        <v>4292</v>
      </c>
      <c r="E10405">
        <v>100</v>
      </c>
      <c r="F10405">
        <v>20140611</v>
      </c>
      <c r="G10405" t="s">
        <v>1153</v>
      </c>
      <c r="H10405" t="s">
        <v>1677</v>
      </c>
      <c r="I10405" t="s">
        <v>61</v>
      </c>
    </row>
    <row r="10406" spans="1:9" x14ac:dyDescent="0.25">
      <c r="A10406">
        <v>20140612</v>
      </c>
      <c r="B10406" t="str">
        <f>"116241"</f>
        <v>116241</v>
      </c>
      <c r="C10406" t="str">
        <f>"81002"</f>
        <v>81002</v>
      </c>
      <c r="D10406" t="s">
        <v>4641</v>
      </c>
      <c r="E10406">
        <v>275</v>
      </c>
      <c r="F10406">
        <v>20140609</v>
      </c>
      <c r="G10406" t="s">
        <v>1170</v>
      </c>
      <c r="H10406" t="s">
        <v>954</v>
      </c>
      <c r="I10406" t="s">
        <v>21</v>
      </c>
    </row>
    <row r="10407" spans="1:9" x14ac:dyDescent="0.25">
      <c r="A10407">
        <v>20140612</v>
      </c>
      <c r="B10407" t="str">
        <f>"116242"</f>
        <v>116242</v>
      </c>
      <c r="C10407" t="str">
        <f>"71975"</f>
        <v>71975</v>
      </c>
      <c r="D10407" t="s">
        <v>4642</v>
      </c>
      <c r="E10407">
        <v>101.5</v>
      </c>
      <c r="F10407">
        <v>20140606</v>
      </c>
      <c r="G10407" t="s">
        <v>327</v>
      </c>
      <c r="H10407" t="s">
        <v>414</v>
      </c>
      <c r="I10407" t="s">
        <v>25</v>
      </c>
    </row>
    <row r="10408" spans="1:9" x14ac:dyDescent="0.25">
      <c r="A10408">
        <v>20140612</v>
      </c>
      <c r="B10408" t="str">
        <f>"116243"</f>
        <v>116243</v>
      </c>
      <c r="C10408" t="str">
        <f>"86085"</f>
        <v>86085</v>
      </c>
      <c r="D10408" t="s">
        <v>703</v>
      </c>
      <c r="E10408">
        <v>76</v>
      </c>
      <c r="F10408">
        <v>20140606</v>
      </c>
      <c r="G10408" t="s">
        <v>704</v>
      </c>
      <c r="H10408" t="s">
        <v>705</v>
      </c>
      <c r="I10408" t="s">
        <v>21</v>
      </c>
    </row>
    <row r="10409" spans="1:9" x14ac:dyDescent="0.25">
      <c r="A10409">
        <v>20140612</v>
      </c>
      <c r="B10409" t="str">
        <f t="shared" ref="B10409:B10421" si="603">"116244"</f>
        <v>116244</v>
      </c>
      <c r="C10409" t="str">
        <f t="shared" ref="C10409:C10421" si="604">"82502"</f>
        <v>82502</v>
      </c>
      <c r="D10409" t="s">
        <v>706</v>
      </c>
      <c r="E10409">
        <v>10</v>
      </c>
      <c r="F10409">
        <v>20140606</v>
      </c>
      <c r="G10409" t="s">
        <v>340</v>
      </c>
      <c r="H10409" t="s">
        <v>4643</v>
      </c>
      <c r="I10409" t="s">
        <v>21</v>
      </c>
    </row>
    <row r="10410" spans="1:9" x14ac:dyDescent="0.25">
      <c r="A10410">
        <v>20140612</v>
      </c>
      <c r="B10410" t="str">
        <f t="shared" si="603"/>
        <v>116244</v>
      </c>
      <c r="C10410" t="str">
        <f t="shared" si="604"/>
        <v>82502</v>
      </c>
      <c r="D10410" t="s">
        <v>706</v>
      </c>
      <c r="E10410">
        <v>25</v>
      </c>
      <c r="F10410">
        <v>20140606</v>
      </c>
      <c r="G10410" t="s">
        <v>340</v>
      </c>
      <c r="H10410" t="s">
        <v>656</v>
      </c>
      <c r="I10410" t="s">
        <v>21</v>
      </c>
    </row>
    <row r="10411" spans="1:9" x14ac:dyDescent="0.25">
      <c r="A10411">
        <v>20140612</v>
      </c>
      <c r="B10411" t="str">
        <f t="shared" si="603"/>
        <v>116244</v>
      </c>
      <c r="C10411" t="str">
        <f t="shared" si="604"/>
        <v>82502</v>
      </c>
      <c r="D10411" t="s">
        <v>706</v>
      </c>
      <c r="E10411">
        <v>17.5</v>
      </c>
      <c r="F10411">
        <v>20140606</v>
      </c>
      <c r="G10411" t="s">
        <v>340</v>
      </c>
      <c r="H10411" t="s">
        <v>656</v>
      </c>
      <c r="I10411" t="s">
        <v>21</v>
      </c>
    </row>
    <row r="10412" spans="1:9" x14ac:dyDescent="0.25">
      <c r="A10412">
        <v>20140612</v>
      </c>
      <c r="B10412" t="str">
        <f t="shared" si="603"/>
        <v>116244</v>
      </c>
      <c r="C10412" t="str">
        <f t="shared" si="604"/>
        <v>82502</v>
      </c>
      <c r="D10412" t="s">
        <v>706</v>
      </c>
      <c r="E10412">
        <v>20</v>
      </c>
      <c r="F10412">
        <v>20140606</v>
      </c>
      <c r="G10412" t="s">
        <v>340</v>
      </c>
      <c r="H10412" t="s">
        <v>656</v>
      </c>
      <c r="I10412" t="s">
        <v>21</v>
      </c>
    </row>
    <row r="10413" spans="1:9" x14ac:dyDescent="0.25">
      <c r="A10413">
        <v>20140612</v>
      </c>
      <c r="B10413" t="str">
        <f t="shared" si="603"/>
        <v>116244</v>
      </c>
      <c r="C10413" t="str">
        <f t="shared" si="604"/>
        <v>82502</v>
      </c>
      <c r="D10413" t="s">
        <v>706</v>
      </c>
      <c r="E10413">
        <v>25</v>
      </c>
      <c r="F10413">
        <v>20140606</v>
      </c>
      <c r="G10413" t="s">
        <v>340</v>
      </c>
      <c r="H10413" t="s">
        <v>656</v>
      </c>
      <c r="I10413" t="s">
        <v>21</v>
      </c>
    </row>
    <row r="10414" spans="1:9" x14ac:dyDescent="0.25">
      <c r="A10414">
        <v>20140612</v>
      </c>
      <c r="B10414" t="str">
        <f t="shared" si="603"/>
        <v>116244</v>
      </c>
      <c r="C10414" t="str">
        <f t="shared" si="604"/>
        <v>82502</v>
      </c>
      <c r="D10414" t="s">
        <v>706</v>
      </c>
      <c r="E10414">
        <v>25</v>
      </c>
      <c r="F10414">
        <v>20140606</v>
      </c>
      <c r="G10414" t="s">
        <v>340</v>
      </c>
      <c r="H10414" t="s">
        <v>656</v>
      </c>
      <c r="I10414" t="s">
        <v>21</v>
      </c>
    </row>
    <row r="10415" spans="1:9" x14ac:dyDescent="0.25">
      <c r="A10415">
        <v>20140612</v>
      </c>
      <c r="B10415" t="str">
        <f t="shared" si="603"/>
        <v>116244</v>
      </c>
      <c r="C10415" t="str">
        <f t="shared" si="604"/>
        <v>82502</v>
      </c>
      <c r="D10415" t="s">
        <v>706</v>
      </c>
      <c r="E10415">
        <v>20</v>
      </c>
      <c r="F10415">
        <v>20140606</v>
      </c>
      <c r="G10415" t="s">
        <v>340</v>
      </c>
      <c r="H10415" t="s">
        <v>656</v>
      </c>
      <c r="I10415" t="s">
        <v>21</v>
      </c>
    </row>
    <row r="10416" spans="1:9" x14ac:dyDescent="0.25">
      <c r="A10416">
        <v>20140612</v>
      </c>
      <c r="B10416" t="str">
        <f t="shared" si="603"/>
        <v>116244</v>
      </c>
      <c r="C10416" t="str">
        <f t="shared" si="604"/>
        <v>82502</v>
      </c>
      <c r="D10416" t="s">
        <v>706</v>
      </c>
      <c r="E10416">
        <v>20</v>
      </c>
      <c r="F10416">
        <v>20140606</v>
      </c>
      <c r="G10416" t="s">
        <v>340</v>
      </c>
      <c r="H10416" t="s">
        <v>656</v>
      </c>
      <c r="I10416" t="s">
        <v>21</v>
      </c>
    </row>
    <row r="10417" spans="1:9" x14ac:dyDescent="0.25">
      <c r="A10417">
        <v>20140612</v>
      </c>
      <c r="B10417" t="str">
        <f t="shared" si="603"/>
        <v>116244</v>
      </c>
      <c r="C10417" t="str">
        <f t="shared" si="604"/>
        <v>82502</v>
      </c>
      <c r="D10417" t="s">
        <v>706</v>
      </c>
      <c r="E10417">
        <v>25</v>
      </c>
      <c r="F10417">
        <v>20140606</v>
      </c>
      <c r="G10417" t="s">
        <v>340</v>
      </c>
      <c r="H10417" t="s">
        <v>656</v>
      </c>
      <c r="I10417" t="s">
        <v>21</v>
      </c>
    </row>
    <row r="10418" spans="1:9" x14ac:dyDescent="0.25">
      <c r="A10418">
        <v>20140612</v>
      </c>
      <c r="B10418" t="str">
        <f t="shared" si="603"/>
        <v>116244</v>
      </c>
      <c r="C10418" t="str">
        <f t="shared" si="604"/>
        <v>82502</v>
      </c>
      <c r="D10418" t="s">
        <v>706</v>
      </c>
      <c r="E10418">
        <v>7.5</v>
      </c>
      <c r="F10418">
        <v>20140606</v>
      </c>
      <c r="G10418" t="s">
        <v>340</v>
      </c>
      <c r="H10418" t="s">
        <v>656</v>
      </c>
      <c r="I10418" t="s">
        <v>21</v>
      </c>
    </row>
    <row r="10419" spans="1:9" x14ac:dyDescent="0.25">
      <c r="A10419">
        <v>20140612</v>
      </c>
      <c r="B10419" t="str">
        <f t="shared" si="603"/>
        <v>116244</v>
      </c>
      <c r="C10419" t="str">
        <f t="shared" si="604"/>
        <v>82502</v>
      </c>
      <c r="D10419" t="s">
        <v>706</v>
      </c>
      <c r="E10419">
        <v>10</v>
      </c>
      <c r="F10419">
        <v>20140611</v>
      </c>
      <c r="G10419" t="s">
        <v>340</v>
      </c>
      <c r="H10419" t="s">
        <v>656</v>
      </c>
      <c r="I10419" t="s">
        <v>21</v>
      </c>
    </row>
    <row r="10420" spans="1:9" x14ac:dyDescent="0.25">
      <c r="A10420">
        <v>20140612</v>
      </c>
      <c r="B10420" t="str">
        <f t="shared" si="603"/>
        <v>116244</v>
      </c>
      <c r="C10420" t="str">
        <f t="shared" si="604"/>
        <v>82502</v>
      </c>
      <c r="D10420" t="s">
        <v>706</v>
      </c>
      <c r="E10420">
        <v>7.5</v>
      </c>
      <c r="F10420">
        <v>20140611</v>
      </c>
      <c r="G10420" t="s">
        <v>340</v>
      </c>
      <c r="H10420" t="s">
        <v>656</v>
      </c>
      <c r="I10420" t="s">
        <v>21</v>
      </c>
    </row>
    <row r="10421" spans="1:9" x14ac:dyDescent="0.25">
      <c r="A10421">
        <v>20140612</v>
      </c>
      <c r="B10421" t="str">
        <f t="shared" si="603"/>
        <v>116244</v>
      </c>
      <c r="C10421" t="str">
        <f t="shared" si="604"/>
        <v>82502</v>
      </c>
      <c r="D10421" t="s">
        <v>706</v>
      </c>
      <c r="E10421">
        <v>8</v>
      </c>
      <c r="F10421">
        <v>20140606</v>
      </c>
      <c r="G10421" t="s">
        <v>1271</v>
      </c>
      <c r="H10421" t="s">
        <v>656</v>
      </c>
      <c r="I10421" t="s">
        <v>21</v>
      </c>
    </row>
    <row r="10422" spans="1:9" x14ac:dyDescent="0.25">
      <c r="A10422">
        <v>20140612</v>
      </c>
      <c r="B10422" t="str">
        <f>"116245"</f>
        <v>116245</v>
      </c>
      <c r="C10422" t="str">
        <f>"74338"</f>
        <v>74338</v>
      </c>
      <c r="D10422" t="s">
        <v>2773</v>
      </c>
      <c r="E10422">
        <v>31.09</v>
      </c>
      <c r="F10422">
        <v>20140611</v>
      </c>
      <c r="G10422" t="s">
        <v>39</v>
      </c>
      <c r="H10422" t="s">
        <v>354</v>
      </c>
      <c r="I10422" t="s">
        <v>38</v>
      </c>
    </row>
    <row r="10423" spans="1:9" x14ac:dyDescent="0.25">
      <c r="A10423">
        <v>20140612</v>
      </c>
      <c r="B10423" t="str">
        <f>"116245"</f>
        <v>116245</v>
      </c>
      <c r="C10423" t="str">
        <f>"74338"</f>
        <v>74338</v>
      </c>
      <c r="D10423" t="s">
        <v>2773</v>
      </c>
      <c r="E10423">
        <v>11.96</v>
      </c>
      <c r="F10423">
        <v>20140611</v>
      </c>
      <c r="G10423" t="s">
        <v>39</v>
      </c>
      <c r="H10423" t="s">
        <v>354</v>
      </c>
      <c r="I10423" t="s">
        <v>38</v>
      </c>
    </row>
    <row r="10424" spans="1:9" x14ac:dyDescent="0.25">
      <c r="A10424">
        <v>20140612</v>
      </c>
      <c r="B10424" t="str">
        <f>"116246"</f>
        <v>116246</v>
      </c>
      <c r="C10424" t="str">
        <f>"87891"</f>
        <v>87891</v>
      </c>
      <c r="D10424" t="s">
        <v>4644</v>
      </c>
      <c r="E10424">
        <v>583.33000000000004</v>
      </c>
      <c r="F10424">
        <v>20140611</v>
      </c>
      <c r="G10424" t="s">
        <v>4621</v>
      </c>
      <c r="H10424" t="s">
        <v>921</v>
      </c>
      <c r="I10424" t="s">
        <v>21</v>
      </c>
    </row>
    <row r="10425" spans="1:9" x14ac:dyDescent="0.25">
      <c r="A10425">
        <v>20140612</v>
      </c>
      <c r="B10425" t="str">
        <f>"116247"</f>
        <v>116247</v>
      </c>
      <c r="C10425" t="str">
        <f>"87616"</f>
        <v>87616</v>
      </c>
      <c r="D10425" t="s">
        <v>711</v>
      </c>
      <c r="E10425">
        <v>50</v>
      </c>
      <c r="F10425">
        <v>20140611</v>
      </c>
      <c r="G10425" t="s">
        <v>145</v>
      </c>
      <c r="H10425" t="s">
        <v>713</v>
      </c>
      <c r="I10425" t="s">
        <v>38</v>
      </c>
    </row>
    <row r="10426" spans="1:9" x14ac:dyDescent="0.25">
      <c r="A10426">
        <v>20140612</v>
      </c>
      <c r="B10426" t="str">
        <f>"116247"</f>
        <v>116247</v>
      </c>
      <c r="C10426" t="str">
        <f>"87616"</f>
        <v>87616</v>
      </c>
      <c r="D10426" t="s">
        <v>711</v>
      </c>
      <c r="E10426">
        <v>200</v>
      </c>
      <c r="F10426">
        <v>20140609</v>
      </c>
      <c r="G10426" t="s">
        <v>119</v>
      </c>
      <c r="H10426" t="s">
        <v>713</v>
      </c>
      <c r="I10426" t="s">
        <v>38</v>
      </c>
    </row>
    <row r="10427" spans="1:9" x14ac:dyDescent="0.25">
      <c r="A10427">
        <v>20140612</v>
      </c>
      <c r="B10427" t="str">
        <f>"116247"</f>
        <v>116247</v>
      </c>
      <c r="C10427" t="str">
        <f>"87616"</f>
        <v>87616</v>
      </c>
      <c r="D10427" t="s">
        <v>711</v>
      </c>
      <c r="E10427">
        <v>28</v>
      </c>
      <c r="F10427">
        <v>20140609</v>
      </c>
      <c r="G10427" t="s">
        <v>119</v>
      </c>
      <c r="H10427" t="s">
        <v>2418</v>
      </c>
      <c r="I10427" t="s">
        <v>38</v>
      </c>
    </row>
    <row r="10428" spans="1:9" x14ac:dyDescent="0.25">
      <c r="A10428">
        <v>20140612</v>
      </c>
      <c r="B10428" t="str">
        <f>"116247"</f>
        <v>116247</v>
      </c>
      <c r="C10428" t="str">
        <f>"87616"</f>
        <v>87616</v>
      </c>
      <c r="D10428" t="s">
        <v>711</v>
      </c>
      <c r="E10428">
        <v>132</v>
      </c>
      <c r="F10428">
        <v>20140611</v>
      </c>
      <c r="G10428" t="s">
        <v>39</v>
      </c>
      <c r="H10428" t="s">
        <v>4645</v>
      </c>
      <c r="I10428" t="s">
        <v>38</v>
      </c>
    </row>
    <row r="10429" spans="1:9" x14ac:dyDescent="0.25">
      <c r="A10429">
        <v>20140612</v>
      </c>
      <c r="B10429" t="str">
        <f>"116247"</f>
        <v>116247</v>
      </c>
      <c r="C10429" t="str">
        <f>"87616"</f>
        <v>87616</v>
      </c>
      <c r="D10429" t="s">
        <v>711</v>
      </c>
      <c r="E10429">
        <v>181</v>
      </c>
      <c r="F10429">
        <v>20140611</v>
      </c>
      <c r="G10429" t="s">
        <v>680</v>
      </c>
      <c r="H10429" t="s">
        <v>3526</v>
      </c>
      <c r="I10429" t="s">
        <v>38</v>
      </c>
    </row>
    <row r="10430" spans="1:9" x14ac:dyDescent="0.25">
      <c r="A10430">
        <v>20140612</v>
      </c>
      <c r="B10430" t="str">
        <f>"116248"</f>
        <v>116248</v>
      </c>
      <c r="C10430" t="str">
        <f>"75600"</f>
        <v>75600</v>
      </c>
      <c r="D10430" t="s">
        <v>714</v>
      </c>
      <c r="E10430">
        <v>542.98</v>
      </c>
      <c r="F10430">
        <v>20140611</v>
      </c>
      <c r="G10430" t="s">
        <v>498</v>
      </c>
      <c r="H10430" t="s">
        <v>499</v>
      </c>
      <c r="I10430" t="s">
        <v>21</v>
      </c>
    </row>
    <row r="10431" spans="1:9" x14ac:dyDescent="0.25">
      <c r="A10431">
        <v>20140612</v>
      </c>
      <c r="B10431" t="str">
        <f>"116248"</f>
        <v>116248</v>
      </c>
      <c r="C10431" t="str">
        <f>"75600"</f>
        <v>75600</v>
      </c>
      <c r="D10431" t="s">
        <v>714</v>
      </c>
      <c r="E10431">
        <v>66.72</v>
      </c>
      <c r="F10431">
        <v>20140611</v>
      </c>
      <c r="G10431" t="s">
        <v>498</v>
      </c>
      <c r="H10431" t="s">
        <v>499</v>
      </c>
      <c r="I10431" t="s">
        <v>21</v>
      </c>
    </row>
    <row r="10432" spans="1:9" x14ac:dyDescent="0.25">
      <c r="A10432">
        <v>20140612</v>
      </c>
      <c r="B10432" t="str">
        <f>"116248"</f>
        <v>116248</v>
      </c>
      <c r="C10432" t="str">
        <f>"75600"</f>
        <v>75600</v>
      </c>
      <c r="D10432" t="s">
        <v>714</v>
      </c>
      <c r="E10432">
        <v>260.8</v>
      </c>
      <c r="F10432">
        <v>20140611</v>
      </c>
      <c r="G10432" t="s">
        <v>498</v>
      </c>
      <c r="H10432" t="s">
        <v>499</v>
      </c>
      <c r="I10432" t="s">
        <v>21</v>
      </c>
    </row>
    <row r="10433" spans="1:9" x14ac:dyDescent="0.25">
      <c r="A10433">
        <v>20140612</v>
      </c>
      <c r="B10433" t="str">
        <f>"116249"</f>
        <v>116249</v>
      </c>
      <c r="C10433" t="str">
        <f>"75581"</f>
        <v>75581</v>
      </c>
      <c r="D10433" t="s">
        <v>391</v>
      </c>
      <c r="E10433">
        <v>907.2</v>
      </c>
      <c r="F10433">
        <v>20140611</v>
      </c>
      <c r="G10433" t="s">
        <v>392</v>
      </c>
      <c r="H10433" t="s">
        <v>393</v>
      </c>
      <c r="I10433" t="s">
        <v>21</v>
      </c>
    </row>
    <row r="10434" spans="1:9" x14ac:dyDescent="0.25">
      <c r="A10434">
        <v>20140612</v>
      </c>
      <c r="B10434" t="str">
        <f>"116250"</f>
        <v>116250</v>
      </c>
      <c r="C10434" t="str">
        <f>"86951"</f>
        <v>86951</v>
      </c>
      <c r="D10434" t="s">
        <v>394</v>
      </c>
      <c r="E10434">
        <v>257.44</v>
      </c>
      <c r="F10434">
        <v>20140611</v>
      </c>
      <c r="G10434" t="s">
        <v>337</v>
      </c>
      <c r="H10434" t="s">
        <v>338</v>
      </c>
      <c r="I10434" t="s">
        <v>21</v>
      </c>
    </row>
    <row r="10435" spans="1:9" x14ac:dyDescent="0.25">
      <c r="A10435">
        <v>20140612</v>
      </c>
      <c r="B10435" t="str">
        <f t="shared" ref="B10435:B10441" si="605">"116251"</f>
        <v>116251</v>
      </c>
      <c r="C10435" t="str">
        <f t="shared" ref="C10435:C10441" si="606">"87189"</f>
        <v>87189</v>
      </c>
      <c r="D10435" t="s">
        <v>730</v>
      </c>
      <c r="E10435">
        <v>126.98</v>
      </c>
      <c r="F10435">
        <v>20140606</v>
      </c>
      <c r="G10435" t="s">
        <v>413</v>
      </c>
      <c r="H10435" t="s">
        <v>3607</v>
      </c>
      <c r="I10435" t="s">
        <v>21</v>
      </c>
    </row>
    <row r="10436" spans="1:9" x14ac:dyDescent="0.25">
      <c r="A10436">
        <v>20140612</v>
      </c>
      <c r="B10436" t="str">
        <f t="shared" si="605"/>
        <v>116251</v>
      </c>
      <c r="C10436" t="str">
        <f t="shared" si="606"/>
        <v>87189</v>
      </c>
      <c r="D10436" t="s">
        <v>730</v>
      </c>
      <c r="E10436">
        <v>339.68</v>
      </c>
      <c r="F10436">
        <v>20140606</v>
      </c>
      <c r="G10436" t="s">
        <v>482</v>
      </c>
      <c r="H10436" t="s">
        <v>4646</v>
      </c>
      <c r="I10436" t="s">
        <v>21</v>
      </c>
    </row>
    <row r="10437" spans="1:9" x14ac:dyDescent="0.25">
      <c r="A10437">
        <v>20140612</v>
      </c>
      <c r="B10437" t="str">
        <f t="shared" si="605"/>
        <v>116251</v>
      </c>
      <c r="C10437" t="str">
        <f t="shared" si="606"/>
        <v>87189</v>
      </c>
      <c r="D10437" t="s">
        <v>730</v>
      </c>
      <c r="E10437">
        <v>86.78</v>
      </c>
      <c r="F10437">
        <v>20140606</v>
      </c>
      <c r="G10437" t="s">
        <v>482</v>
      </c>
      <c r="H10437" t="s">
        <v>4647</v>
      </c>
      <c r="I10437" t="s">
        <v>21</v>
      </c>
    </row>
    <row r="10438" spans="1:9" x14ac:dyDescent="0.25">
      <c r="A10438">
        <v>20140612</v>
      </c>
      <c r="B10438" t="str">
        <f t="shared" si="605"/>
        <v>116251</v>
      </c>
      <c r="C10438" t="str">
        <f t="shared" si="606"/>
        <v>87189</v>
      </c>
      <c r="D10438" t="s">
        <v>730</v>
      </c>
      <c r="E10438">
        <v>310.95999999999998</v>
      </c>
      <c r="F10438">
        <v>20140611</v>
      </c>
      <c r="G10438" t="s">
        <v>482</v>
      </c>
      <c r="H10438" t="s">
        <v>4647</v>
      </c>
      <c r="I10438" t="s">
        <v>21</v>
      </c>
    </row>
    <row r="10439" spans="1:9" x14ac:dyDescent="0.25">
      <c r="A10439">
        <v>20140612</v>
      </c>
      <c r="B10439" t="str">
        <f t="shared" si="605"/>
        <v>116251</v>
      </c>
      <c r="C10439" t="str">
        <f t="shared" si="606"/>
        <v>87189</v>
      </c>
      <c r="D10439" t="s">
        <v>730</v>
      </c>
      <c r="E10439">
        <v>97.53</v>
      </c>
      <c r="F10439">
        <v>20140606</v>
      </c>
      <c r="G10439" t="s">
        <v>530</v>
      </c>
      <c r="H10439" t="s">
        <v>4648</v>
      </c>
      <c r="I10439" t="s">
        <v>21</v>
      </c>
    </row>
    <row r="10440" spans="1:9" x14ac:dyDescent="0.25">
      <c r="A10440">
        <v>20140612</v>
      </c>
      <c r="B10440" t="str">
        <f t="shared" si="605"/>
        <v>116251</v>
      </c>
      <c r="C10440" t="str">
        <f t="shared" si="606"/>
        <v>87189</v>
      </c>
      <c r="D10440" t="s">
        <v>730</v>
      </c>
      <c r="E10440">
        <v>492.7</v>
      </c>
      <c r="F10440">
        <v>20140606</v>
      </c>
      <c r="G10440" t="s">
        <v>3820</v>
      </c>
      <c r="H10440" t="s">
        <v>4471</v>
      </c>
      <c r="I10440" t="s">
        <v>21</v>
      </c>
    </row>
    <row r="10441" spans="1:9" x14ac:dyDescent="0.25">
      <c r="A10441">
        <v>20140612</v>
      </c>
      <c r="B10441" t="str">
        <f t="shared" si="605"/>
        <v>116251</v>
      </c>
      <c r="C10441" t="str">
        <f t="shared" si="606"/>
        <v>87189</v>
      </c>
      <c r="D10441" t="s">
        <v>730</v>
      </c>
      <c r="E10441">
        <v>644.96</v>
      </c>
      <c r="F10441">
        <v>20140611</v>
      </c>
      <c r="G10441" t="s">
        <v>3820</v>
      </c>
      <c r="H10441" t="s">
        <v>414</v>
      </c>
      <c r="I10441" t="s">
        <v>21</v>
      </c>
    </row>
    <row r="10442" spans="1:9" x14ac:dyDescent="0.25">
      <c r="A10442">
        <v>20140612</v>
      </c>
      <c r="B10442" t="str">
        <f>"116252"</f>
        <v>116252</v>
      </c>
      <c r="C10442" t="str">
        <f>"81358"</f>
        <v>81358</v>
      </c>
      <c r="D10442" t="s">
        <v>736</v>
      </c>
      <c r="E10442">
        <v>416.4</v>
      </c>
      <c r="F10442">
        <v>20140609</v>
      </c>
      <c r="G10442" t="s">
        <v>737</v>
      </c>
      <c r="H10442" t="s">
        <v>738</v>
      </c>
      <c r="I10442" t="s">
        <v>21</v>
      </c>
    </row>
    <row r="10443" spans="1:9" x14ac:dyDescent="0.25">
      <c r="A10443">
        <v>20140612</v>
      </c>
      <c r="B10443" t="str">
        <f>"116253"</f>
        <v>116253</v>
      </c>
      <c r="C10443" t="str">
        <f>"81358"</f>
        <v>81358</v>
      </c>
      <c r="D10443" t="s">
        <v>736</v>
      </c>
      <c r="E10443">
        <v>98.45</v>
      </c>
      <c r="F10443">
        <v>20140609</v>
      </c>
      <c r="G10443" t="s">
        <v>737</v>
      </c>
      <c r="H10443" t="s">
        <v>738</v>
      </c>
      <c r="I10443" t="s">
        <v>21</v>
      </c>
    </row>
    <row r="10444" spans="1:9" x14ac:dyDescent="0.25">
      <c r="A10444">
        <v>20140612</v>
      </c>
      <c r="B10444" t="str">
        <f>"116254"</f>
        <v>116254</v>
      </c>
      <c r="C10444" t="str">
        <f>"76690"</f>
        <v>76690</v>
      </c>
      <c r="D10444" t="s">
        <v>1544</v>
      </c>
      <c r="E10444">
        <v>692.73</v>
      </c>
      <c r="F10444">
        <v>20140606</v>
      </c>
      <c r="G10444" t="s">
        <v>392</v>
      </c>
      <c r="H10444" t="s">
        <v>1545</v>
      </c>
      <c r="I10444" t="s">
        <v>21</v>
      </c>
    </row>
    <row r="10445" spans="1:9" x14ac:dyDescent="0.25">
      <c r="A10445">
        <v>20140612</v>
      </c>
      <c r="B10445" t="str">
        <f>"116254"</f>
        <v>116254</v>
      </c>
      <c r="C10445" t="str">
        <f>"76690"</f>
        <v>76690</v>
      </c>
      <c r="D10445" t="s">
        <v>1544</v>
      </c>
      <c r="E10445">
        <v>250.49</v>
      </c>
      <c r="F10445">
        <v>20140606</v>
      </c>
      <c r="G10445" t="s">
        <v>392</v>
      </c>
      <c r="H10445" t="s">
        <v>1545</v>
      </c>
      <c r="I10445" t="s">
        <v>21</v>
      </c>
    </row>
    <row r="10446" spans="1:9" x14ac:dyDescent="0.25">
      <c r="A10446">
        <v>20140612</v>
      </c>
      <c r="B10446" t="str">
        <f>"116255"</f>
        <v>116255</v>
      </c>
      <c r="C10446" t="str">
        <f>"76775"</f>
        <v>76775</v>
      </c>
      <c r="D10446" t="s">
        <v>2308</v>
      </c>
      <c r="E10446">
        <v>695</v>
      </c>
      <c r="F10446">
        <v>20140606</v>
      </c>
      <c r="G10446" t="s">
        <v>524</v>
      </c>
      <c r="H10446" t="s">
        <v>4649</v>
      </c>
      <c r="I10446" t="s">
        <v>21</v>
      </c>
    </row>
    <row r="10447" spans="1:9" x14ac:dyDescent="0.25">
      <c r="A10447">
        <v>20140612</v>
      </c>
      <c r="B10447" t="str">
        <f>"116255"</f>
        <v>116255</v>
      </c>
      <c r="C10447" t="str">
        <f>"76775"</f>
        <v>76775</v>
      </c>
      <c r="D10447" t="s">
        <v>2308</v>
      </c>
      <c r="E10447" s="1">
        <v>14681.68</v>
      </c>
      <c r="F10447">
        <v>20140606</v>
      </c>
      <c r="G10447" t="s">
        <v>1271</v>
      </c>
      <c r="H10447" t="s">
        <v>4650</v>
      </c>
      <c r="I10447" t="s">
        <v>21</v>
      </c>
    </row>
    <row r="10448" spans="1:9" x14ac:dyDescent="0.25">
      <c r="A10448">
        <v>20140612</v>
      </c>
      <c r="B10448" t="str">
        <f>"116255"</f>
        <v>116255</v>
      </c>
      <c r="C10448" t="str">
        <f>"76775"</f>
        <v>76775</v>
      </c>
      <c r="D10448" t="s">
        <v>2308</v>
      </c>
      <c r="E10448">
        <v>722.49</v>
      </c>
      <c r="F10448">
        <v>20140606</v>
      </c>
      <c r="G10448" t="s">
        <v>1271</v>
      </c>
      <c r="H10448" t="s">
        <v>4651</v>
      </c>
      <c r="I10448" t="s">
        <v>21</v>
      </c>
    </row>
    <row r="10449" spans="1:9" x14ac:dyDescent="0.25">
      <c r="A10449">
        <v>20140612</v>
      </c>
      <c r="B10449" t="str">
        <f>"116256"</f>
        <v>116256</v>
      </c>
      <c r="C10449" t="str">
        <f>"85627"</f>
        <v>85627</v>
      </c>
      <c r="D10449" t="s">
        <v>4652</v>
      </c>
      <c r="E10449">
        <v>49.63</v>
      </c>
      <c r="F10449">
        <v>20140611</v>
      </c>
      <c r="G10449" t="s">
        <v>191</v>
      </c>
      <c r="H10449" t="s">
        <v>738</v>
      </c>
      <c r="I10449" t="s">
        <v>25</v>
      </c>
    </row>
    <row r="10450" spans="1:9" x14ac:dyDescent="0.25">
      <c r="A10450">
        <v>20140612</v>
      </c>
      <c r="B10450" t="str">
        <f>"116257"</f>
        <v>116257</v>
      </c>
      <c r="C10450" t="str">
        <f>"86402"</f>
        <v>86402</v>
      </c>
      <c r="D10450" t="s">
        <v>4570</v>
      </c>
      <c r="E10450">
        <v>300</v>
      </c>
      <c r="F10450">
        <v>20140611</v>
      </c>
      <c r="G10450" t="s">
        <v>2495</v>
      </c>
      <c r="H10450" t="s">
        <v>2468</v>
      </c>
      <c r="I10450" t="s">
        <v>21</v>
      </c>
    </row>
    <row r="10451" spans="1:9" x14ac:dyDescent="0.25">
      <c r="A10451">
        <v>20140612</v>
      </c>
      <c r="B10451" t="str">
        <f>"116258"</f>
        <v>116258</v>
      </c>
      <c r="C10451" t="str">
        <f>"77173"</f>
        <v>77173</v>
      </c>
      <c r="D10451" t="s">
        <v>741</v>
      </c>
      <c r="E10451">
        <v>182.55</v>
      </c>
      <c r="F10451">
        <v>20140609</v>
      </c>
      <c r="G10451" t="s">
        <v>2309</v>
      </c>
      <c r="H10451" t="s">
        <v>743</v>
      </c>
      <c r="I10451" t="s">
        <v>21</v>
      </c>
    </row>
    <row r="10452" spans="1:9" x14ac:dyDescent="0.25">
      <c r="A10452">
        <v>20140612</v>
      </c>
      <c r="B10452" t="str">
        <f>"116258"</f>
        <v>116258</v>
      </c>
      <c r="C10452" t="str">
        <f>"77173"</f>
        <v>77173</v>
      </c>
      <c r="D10452" t="s">
        <v>741</v>
      </c>
      <c r="E10452" s="1">
        <v>1339.6</v>
      </c>
      <c r="F10452">
        <v>20140609</v>
      </c>
      <c r="G10452" t="s">
        <v>742</v>
      </c>
      <c r="H10452" t="s">
        <v>743</v>
      </c>
      <c r="I10452" t="s">
        <v>21</v>
      </c>
    </row>
    <row r="10453" spans="1:9" x14ac:dyDescent="0.25">
      <c r="A10453">
        <v>20140612</v>
      </c>
      <c r="B10453" t="str">
        <f>"116258"</f>
        <v>116258</v>
      </c>
      <c r="C10453" t="str">
        <f>"77173"</f>
        <v>77173</v>
      </c>
      <c r="D10453" t="s">
        <v>741</v>
      </c>
      <c r="E10453" s="1">
        <v>4521.6000000000004</v>
      </c>
      <c r="F10453">
        <v>20140609</v>
      </c>
      <c r="G10453" t="s">
        <v>742</v>
      </c>
      <c r="H10453" t="s">
        <v>743</v>
      </c>
      <c r="I10453" t="s">
        <v>21</v>
      </c>
    </row>
    <row r="10454" spans="1:9" x14ac:dyDescent="0.25">
      <c r="A10454">
        <v>20140612</v>
      </c>
      <c r="B10454" t="str">
        <f>"116258"</f>
        <v>116258</v>
      </c>
      <c r="C10454" t="str">
        <f>"77173"</f>
        <v>77173</v>
      </c>
      <c r="D10454" t="s">
        <v>741</v>
      </c>
      <c r="E10454">
        <v>700</v>
      </c>
      <c r="F10454">
        <v>20140610</v>
      </c>
      <c r="G10454" t="s">
        <v>367</v>
      </c>
      <c r="H10454" t="s">
        <v>839</v>
      </c>
      <c r="I10454" t="s">
        <v>21</v>
      </c>
    </row>
    <row r="10455" spans="1:9" x14ac:dyDescent="0.25">
      <c r="A10455">
        <v>20140612</v>
      </c>
      <c r="B10455" t="str">
        <f>"116259"</f>
        <v>116259</v>
      </c>
      <c r="C10455" t="str">
        <f>"83814"</f>
        <v>83814</v>
      </c>
      <c r="D10455" t="s">
        <v>3457</v>
      </c>
      <c r="E10455" s="1">
        <v>8425.36</v>
      </c>
      <c r="F10455">
        <v>20140611</v>
      </c>
      <c r="G10455" t="s">
        <v>1900</v>
      </c>
      <c r="H10455" t="s">
        <v>3458</v>
      </c>
      <c r="I10455" t="s">
        <v>608</v>
      </c>
    </row>
    <row r="10456" spans="1:9" x14ac:dyDescent="0.25">
      <c r="A10456">
        <v>20140612</v>
      </c>
      <c r="B10456" t="str">
        <f>"116259"</f>
        <v>116259</v>
      </c>
      <c r="C10456" t="str">
        <f>"83814"</f>
        <v>83814</v>
      </c>
      <c r="D10456" t="s">
        <v>3457</v>
      </c>
      <c r="E10456" s="1">
        <v>3823.03</v>
      </c>
      <c r="F10456">
        <v>20140611</v>
      </c>
      <c r="G10456" t="s">
        <v>1900</v>
      </c>
      <c r="H10456" t="s">
        <v>3458</v>
      </c>
      <c r="I10456" t="s">
        <v>608</v>
      </c>
    </row>
    <row r="10457" spans="1:9" x14ac:dyDescent="0.25">
      <c r="A10457">
        <v>20140612</v>
      </c>
      <c r="B10457" t="str">
        <f>"116259"</f>
        <v>116259</v>
      </c>
      <c r="C10457" t="str">
        <f>"83814"</f>
        <v>83814</v>
      </c>
      <c r="D10457" t="s">
        <v>3457</v>
      </c>
      <c r="E10457" s="1">
        <v>2456.5100000000002</v>
      </c>
      <c r="F10457">
        <v>20140611</v>
      </c>
      <c r="G10457" t="s">
        <v>1900</v>
      </c>
      <c r="H10457" t="s">
        <v>3458</v>
      </c>
      <c r="I10457" t="s">
        <v>608</v>
      </c>
    </row>
    <row r="10458" spans="1:9" x14ac:dyDescent="0.25">
      <c r="A10458">
        <v>20140612</v>
      </c>
      <c r="B10458" t="str">
        <f>"116259"</f>
        <v>116259</v>
      </c>
      <c r="C10458" t="str">
        <f>"83814"</f>
        <v>83814</v>
      </c>
      <c r="D10458" t="s">
        <v>3457</v>
      </c>
      <c r="E10458" s="1">
        <v>3496.46</v>
      </c>
      <c r="F10458">
        <v>20140611</v>
      </c>
      <c r="G10458" t="s">
        <v>1900</v>
      </c>
      <c r="H10458" t="s">
        <v>3458</v>
      </c>
      <c r="I10458" t="s">
        <v>608</v>
      </c>
    </row>
    <row r="10459" spans="1:9" x14ac:dyDescent="0.25">
      <c r="A10459">
        <v>20140612</v>
      </c>
      <c r="B10459" t="str">
        <f>"116260"</f>
        <v>116260</v>
      </c>
      <c r="C10459" t="str">
        <f>"19200"</f>
        <v>19200</v>
      </c>
      <c r="D10459" t="s">
        <v>436</v>
      </c>
      <c r="E10459">
        <v>27</v>
      </c>
      <c r="F10459">
        <v>20140611</v>
      </c>
      <c r="G10459" t="s">
        <v>410</v>
      </c>
      <c r="H10459" t="s">
        <v>411</v>
      </c>
      <c r="I10459" t="s">
        <v>12</v>
      </c>
    </row>
    <row r="10460" spans="1:9" x14ac:dyDescent="0.25">
      <c r="A10460">
        <v>20140612</v>
      </c>
      <c r="B10460" t="str">
        <f>"116261"</f>
        <v>116261</v>
      </c>
      <c r="C10460" t="str">
        <f>"86881"</f>
        <v>86881</v>
      </c>
      <c r="D10460" t="s">
        <v>4653</v>
      </c>
      <c r="E10460" s="1">
        <v>1827.4</v>
      </c>
      <c r="F10460">
        <v>20140611</v>
      </c>
      <c r="G10460" t="s">
        <v>3962</v>
      </c>
      <c r="H10460" t="s">
        <v>921</v>
      </c>
      <c r="I10460" t="s">
        <v>79</v>
      </c>
    </row>
    <row r="10461" spans="1:9" x14ac:dyDescent="0.25">
      <c r="A10461">
        <v>20140612</v>
      </c>
      <c r="B10461" t="str">
        <f>"116262"</f>
        <v>116262</v>
      </c>
      <c r="C10461" t="str">
        <f>"84132"</f>
        <v>84132</v>
      </c>
      <c r="D10461" t="s">
        <v>1695</v>
      </c>
      <c r="E10461">
        <v>92.93</v>
      </c>
      <c r="F10461">
        <v>20140609</v>
      </c>
      <c r="G10461" t="s">
        <v>1721</v>
      </c>
      <c r="H10461" t="s">
        <v>563</v>
      </c>
      <c r="I10461" t="s">
        <v>21</v>
      </c>
    </row>
    <row r="10462" spans="1:9" x14ac:dyDescent="0.25">
      <c r="A10462">
        <v>20140612</v>
      </c>
      <c r="B10462" t="str">
        <f>"116263"</f>
        <v>116263</v>
      </c>
      <c r="C10462" t="str">
        <f>"80874"</f>
        <v>80874</v>
      </c>
      <c r="D10462" t="s">
        <v>1956</v>
      </c>
      <c r="E10462">
        <v>6.44</v>
      </c>
      <c r="F10462">
        <v>20140611</v>
      </c>
      <c r="G10462" t="s">
        <v>39</v>
      </c>
      <c r="H10462" t="s">
        <v>354</v>
      </c>
      <c r="I10462" t="s">
        <v>38</v>
      </c>
    </row>
    <row r="10463" spans="1:9" x14ac:dyDescent="0.25">
      <c r="A10463">
        <v>20140619</v>
      </c>
      <c r="B10463" t="str">
        <f>"116264"</f>
        <v>116264</v>
      </c>
      <c r="C10463" t="str">
        <f>"00923"</f>
        <v>00923</v>
      </c>
      <c r="D10463" t="s">
        <v>1177</v>
      </c>
      <c r="E10463">
        <v>81.319999999999993</v>
      </c>
      <c r="F10463">
        <v>20140618</v>
      </c>
      <c r="G10463" t="s">
        <v>1178</v>
      </c>
      <c r="H10463" t="s">
        <v>365</v>
      </c>
      <c r="I10463" t="s">
        <v>21</v>
      </c>
    </row>
    <row r="10464" spans="1:9" x14ac:dyDescent="0.25">
      <c r="A10464">
        <v>20140619</v>
      </c>
      <c r="B10464" t="str">
        <f>"116265"</f>
        <v>116265</v>
      </c>
      <c r="C10464" t="str">
        <f>"00954"</f>
        <v>00954</v>
      </c>
      <c r="D10464" t="s">
        <v>445</v>
      </c>
      <c r="E10464">
        <v>28</v>
      </c>
      <c r="F10464">
        <v>20140618</v>
      </c>
      <c r="G10464" t="s">
        <v>837</v>
      </c>
      <c r="H10464" t="s">
        <v>4654</v>
      </c>
      <c r="I10464" t="s">
        <v>21</v>
      </c>
    </row>
    <row r="10465" spans="1:9" x14ac:dyDescent="0.25">
      <c r="A10465">
        <v>20140619</v>
      </c>
      <c r="B10465" t="str">
        <f>"116266"</f>
        <v>116266</v>
      </c>
      <c r="C10465" t="str">
        <f>"01890"</f>
        <v>01890</v>
      </c>
      <c r="D10465" t="s">
        <v>447</v>
      </c>
      <c r="E10465">
        <v>151.21</v>
      </c>
      <c r="F10465">
        <v>20140618</v>
      </c>
      <c r="G10465" t="s">
        <v>496</v>
      </c>
      <c r="H10465" t="s">
        <v>414</v>
      </c>
      <c r="I10465" t="s">
        <v>21</v>
      </c>
    </row>
    <row r="10466" spans="1:9" x14ac:dyDescent="0.25">
      <c r="A10466">
        <v>20140619</v>
      </c>
      <c r="B10466" t="str">
        <f>"116266"</f>
        <v>116266</v>
      </c>
      <c r="C10466" t="str">
        <f>"01890"</f>
        <v>01890</v>
      </c>
      <c r="D10466" t="s">
        <v>447</v>
      </c>
      <c r="E10466">
        <v>21.05</v>
      </c>
      <c r="F10466">
        <v>20140618</v>
      </c>
      <c r="G10466" t="s">
        <v>392</v>
      </c>
      <c r="H10466" t="s">
        <v>414</v>
      </c>
      <c r="I10466" t="s">
        <v>21</v>
      </c>
    </row>
    <row r="10467" spans="1:9" x14ac:dyDescent="0.25">
      <c r="A10467">
        <v>20140619</v>
      </c>
      <c r="B10467" t="str">
        <f>"116267"</f>
        <v>116267</v>
      </c>
      <c r="C10467" t="str">
        <f>"05320"</f>
        <v>05320</v>
      </c>
      <c r="D10467" t="s">
        <v>471</v>
      </c>
      <c r="E10467" s="1">
        <v>1037.99</v>
      </c>
      <c r="F10467">
        <v>20140616</v>
      </c>
      <c r="G10467" t="s">
        <v>39</v>
      </c>
      <c r="H10467" t="s">
        <v>4655</v>
      </c>
      <c r="I10467" t="s">
        <v>38</v>
      </c>
    </row>
    <row r="10468" spans="1:9" x14ac:dyDescent="0.25">
      <c r="A10468">
        <v>20140619</v>
      </c>
      <c r="B10468" t="str">
        <f>"116268"</f>
        <v>116268</v>
      </c>
      <c r="C10468" t="str">
        <f>"82844"</f>
        <v>82844</v>
      </c>
      <c r="D10468" t="s">
        <v>4656</v>
      </c>
      <c r="E10468" s="1">
        <v>10984</v>
      </c>
      <c r="F10468">
        <v>20140612</v>
      </c>
      <c r="G10468" t="s">
        <v>4657</v>
      </c>
      <c r="H10468" t="s">
        <v>4658</v>
      </c>
      <c r="I10468" t="s">
        <v>21</v>
      </c>
    </row>
    <row r="10469" spans="1:9" x14ac:dyDescent="0.25">
      <c r="A10469">
        <v>20140619</v>
      </c>
      <c r="B10469" t="str">
        <f>"116269"</f>
        <v>116269</v>
      </c>
      <c r="C10469" t="str">
        <f>"73900"</f>
        <v>73900</v>
      </c>
      <c r="D10469" t="s">
        <v>4659</v>
      </c>
      <c r="E10469">
        <v>51.25</v>
      </c>
      <c r="F10469">
        <v>20140618</v>
      </c>
      <c r="G10469" t="s">
        <v>140</v>
      </c>
      <c r="H10469" t="s">
        <v>1535</v>
      </c>
      <c r="I10469" t="s">
        <v>25</v>
      </c>
    </row>
    <row r="10470" spans="1:9" x14ac:dyDescent="0.25">
      <c r="A10470">
        <v>20140619</v>
      </c>
      <c r="B10470" t="str">
        <f>"116270"</f>
        <v>116270</v>
      </c>
      <c r="C10470" t="str">
        <f>"11851"</f>
        <v>11851</v>
      </c>
      <c r="D10470" t="s">
        <v>342</v>
      </c>
      <c r="E10470">
        <v>95</v>
      </c>
      <c r="F10470">
        <v>20140618</v>
      </c>
      <c r="G10470" t="s">
        <v>119</v>
      </c>
      <c r="H10470" t="s">
        <v>784</v>
      </c>
      <c r="I10470" t="s">
        <v>38</v>
      </c>
    </row>
    <row r="10471" spans="1:9" x14ac:dyDescent="0.25">
      <c r="A10471">
        <v>20140619</v>
      </c>
      <c r="B10471" t="str">
        <f>"116271"</f>
        <v>116271</v>
      </c>
      <c r="C10471" t="str">
        <f>"12392"</f>
        <v>12392</v>
      </c>
      <c r="D10471" t="s">
        <v>1196</v>
      </c>
      <c r="E10471">
        <v>53.18</v>
      </c>
      <c r="F10471">
        <v>20140618</v>
      </c>
      <c r="G10471" t="s">
        <v>1197</v>
      </c>
      <c r="H10471" t="s">
        <v>365</v>
      </c>
      <c r="I10471" t="s">
        <v>21</v>
      </c>
    </row>
    <row r="10472" spans="1:9" x14ac:dyDescent="0.25">
      <c r="A10472">
        <v>20140619</v>
      </c>
      <c r="B10472" t="str">
        <f>"116271"</f>
        <v>116271</v>
      </c>
      <c r="C10472" t="str">
        <f>"12392"</f>
        <v>12392</v>
      </c>
      <c r="D10472" t="s">
        <v>1196</v>
      </c>
      <c r="E10472">
        <v>77.099999999999994</v>
      </c>
      <c r="F10472">
        <v>20140618</v>
      </c>
      <c r="G10472" t="s">
        <v>1960</v>
      </c>
      <c r="H10472" t="s">
        <v>365</v>
      </c>
      <c r="I10472" t="s">
        <v>21</v>
      </c>
    </row>
    <row r="10473" spans="1:9" x14ac:dyDescent="0.25">
      <c r="A10473">
        <v>20140619</v>
      </c>
      <c r="B10473" t="str">
        <f>"116271"</f>
        <v>116271</v>
      </c>
      <c r="C10473" t="str">
        <f>"12392"</f>
        <v>12392</v>
      </c>
      <c r="D10473" t="s">
        <v>1196</v>
      </c>
      <c r="E10473">
        <v>35.869999999999997</v>
      </c>
      <c r="F10473">
        <v>20140618</v>
      </c>
      <c r="G10473" t="s">
        <v>1960</v>
      </c>
      <c r="H10473" t="s">
        <v>563</v>
      </c>
      <c r="I10473" t="s">
        <v>21</v>
      </c>
    </row>
    <row r="10474" spans="1:9" x14ac:dyDescent="0.25">
      <c r="A10474">
        <v>20140619</v>
      </c>
      <c r="B10474" t="str">
        <f>"116272"</f>
        <v>116272</v>
      </c>
      <c r="C10474" t="str">
        <f>"87897"</f>
        <v>87897</v>
      </c>
      <c r="D10474" t="s">
        <v>4660</v>
      </c>
      <c r="E10474">
        <v>24.9</v>
      </c>
      <c r="F10474">
        <v>20140618</v>
      </c>
      <c r="G10474" t="s">
        <v>1981</v>
      </c>
      <c r="H10474" t="s">
        <v>354</v>
      </c>
      <c r="I10474" t="s">
        <v>38</v>
      </c>
    </row>
    <row r="10475" spans="1:9" x14ac:dyDescent="0.25">
      <c r="A10475">
        <v>20140619</v>
      </c>
      <c r="B10475" t="str">
        <f>"116273"</f>
        <v>116273</v>
      </c>
      <c r="C10475" t="str">
        <f>"10075"</f>
        <v>10075</v>
      </c>
      <c r="D10475" t="s">
        <v>1199</v>
      </c>
      <c r="E10475">
        <v>292.05</v>
      </c>
      <c r="F10475">
        <v>20140618</v>
      </c>
      <c r="G10475" t="s">
        <v>579</v>
      </c>
      <c r="H10475" t="s">
        <v>414</v>
      </c>
      <c r="I10475" t="s">
        <v>21</v>
      </c>
    </row>
    <row r="10476" spans="1:9" x14ac:dyDescent="0.25">
      <c r="A10476">
        <v>20140619</v>
      </c>
      <c r="B10476" t="str">
        <f>"116273"</f>
        <v>116273</v>
      </c>
      <c r="C10476" t="str">
        <f>"10075"</f>
        <v>10075</v>
      </c>
      <c r="D10476" t="s">
        <v>1199</v>
      </c>
      <c r="E10476">
        <v>100</v>
      </c>
      <c r="F10476">
        <v>20140618</v>
      </c>
      <c r="G10476" t="s">
        <v>4661</v>
      </c>
      <c r="H10476" t="s">
        <v>414</v>
      </c>
      <c r="I10476" t="s">
        <v>21</v>
      </c>
    </row>
    <row r="10477" spans="1:9" x14ac:dyDescent="0.25">
      <c r="A10477">
        <v>20140619</v>
      </c>
      <c r="B10477" t="str">
        <f>"116274"</f>
        <v>116274</v>
      </c>
      <c r="C10477" t="str">
        <f>"86472"</f>
        <v>86472</v>
      </c>
      <c r="D10477" t="s">
        <v>3904</v>
      </c>
      <c r="E10477">
        <v>370</v>
      </c>
      <c r="F10477">
        <v>20140618</v>
      </c>
      <c r="G10477" t="s">
        <v>498</v>
      </c>
      <c r="H10477" t="s">
        <v>4662</v>
      </c>
      <c r="I10477" t="s">
        <v>21</v>
      </c>
    </row>
    <row r="10478" spans="1:9" x14ac:dyDescent="0.25">
      <c r="A10478">
        <v>20140619</v>
      </c>
      <c r="B10478" t="str">
        <f>"116275"</f>
        <v>116275</v>
      </c>
      <c r="C10478" t="str">
        <f>"87481"</f>
        <v>87481</v>
      </c>
      <c r="D10478" t="s">
        <v>2487</v>
      </c>
      <c r="E10478">
        <v>160.63</v>
      </c>
      <c r="F10478">
        <v>20140616</v>
      </c>
      <c r="G10478" t="s">
        <v>1167</v>
      </c>
      <c r="H10478" t="s">
        <v>839</v>
      </c>
      <c r="I10478" t="s">
        <v>21</v>
      </c>
    </row>
    <row r="10479" spans="1:9" x14ac:dyDescent="0.25">
      <c r="A10479">
        <v>20140619</v>
      </c>
      <c r="B10479" t="str">
        <f>"116276"</f>
        <v>116276</v>
      </c>
      <c r="C10479" t="str">
        <f>"84575"</f>
        <v>84575</v>
      </c>
      <c r="D10479" t="s">
        <v>1568</v>
      </c>
      <c r="E10479">
        <v>151.19999999999999</v>
      </c>
      <c r="F10479">
        <v>20140618</v>
      </c>
      <c r="G10479" t="s">
        <v>562</v>
      </c>
      <c r="H10479" t="s">
        <v>563</v>
      </c>
      <c r="I10479" t="s">
        <v>21</v>
      </c>
    </row>
    <row r="10480" spans="1:9" x14ac:dyDescent="0.25">
      <c r="A10480">
        <v>20140619</v>
      </c>
      <c r="B10480" t="str">
        <f>"116277"</f>
        <v>116277</v>
      </c>
      <c r="C10480" t="str">
        <f>"85759"</f>
        <v>85759</v>
      </c>
      <c r="D10480" t="s">
        <v>4409</v>
      </c>
      <c r="E10480" s="1">
        <v>3513</v>
      </c>
      <c r="F10480">
        <v>20140616</v>
      </c>
      <c r="G10480" t="s">
        <v>840</v>
      </c>
      <c r="H10480" t="s">
        <v>839</v>
      </c>
      <c r="I10480" t="s">
        <v>21</v>
      </c>
    </row>
    <row r="10481" spans="1:9" x14ac:dyDescent="0.25">
      <c r="A10481">
        <v>20140619</v>
      </c>
      <c r="B10481" t="str">
        <f>"116278"</f>
        <v>116278</v>
      </c>
      <c r="C10481" t="str">
        <f>"17285"</f>
        <v>17285</v>
      </c>
      <c r="D10481" t="s">
        <v>4200</v>
      </c>
      <c r="E10481">
        <v>243.25</v>
      </c>
      <c r="F10481">
        <v>20140618</v>
      </c>
      <c r="G10481" t="s">
        <v>496</v>
      </c>
      <c r="H10481" t="s">
        <v>414</v>
      </c>
      <c r="I10481" t="s">
        <v>21</v>
      </c>
    </row>
    <row r="10482" spans="1:9" x14ac:dyDescent="0.25">
      <c r="A10482">
        <v>20140619</v>
      </c>
      <c r="B10482" t="str">
        <f>"116279"</f>
        <v>116279</v>
      </c>
      <c r="C10482" t="str">
        <f>"87835"</f>
        <v>87835</v>
      </c>
      <c r="D10482" t="s">
        <v>4663</v>
      </c>
      <c r="E10482" s="1">
        <v>2255.25</v>
      </c>
      <c r="F10482">
        <v>20140612</v>
      </c>
      <c r="G10482" t="s">
        <v>1943</v>
      </c>
      <c r="H10482" t="s">
        <v>4664</v>
      </c>
      <c r="I10482" t="s">
        <v>21</v>
      </c>
    </row>
    <row r="10483" spans="1:9" x14ac:dyDescent="0.25">
      <c r="A10483">
        <v>20140619</v>
      </c>
      <c r="B10483" t="str">
        <f>"116280"</f>
        <v>116280</v>
      </c>
      <c r="C10483" t="str">
        <f>"20265"</f>
        <v>20265</v>
      </c>
      <c r="D10483" t="s">
        <v>1389</v>
      </c>
      <c r="E10483">
        <v>906</v>
      </c>
      <c r="F10483">
        <v>20140618</v>
      </c>
      <c r="G10483" t="s">
        <v>633</v>
      </c>
      <c r="H10483" t="s">
        <v>634</v>
      </c>
      <c r="I10483" t="s">
        <v>21</v>
      </c>
    </row>
    <row r="10484" spans="1:9" x14ac:dyDescent="0.25">
      <c r="A10484">
        <v>20140619</v>
      </c>
      <c r="B10484" t="str">
        <f>"116281"</f>
        <v>116281</v>
      </c>
      <c r="C10484" t="str">
        <f>"87001"</f>
        <v>87001</v>
      </c>
      <c r="D10484" t="s">
        <v>4665</v>
      </c>
      <c r="E10484">
        <v>18.420000000000002</v>
      </c>
      <c r="F10484">
        <v>20140618</v>
      </c>
      <c r="G10484" t="s">
        <v>1197</v>
      </c>
      <c r="H10484" t="s">
        <v>365</v>
      </c>
      <c r="I10484" t="s">
        <v>21</v>
      </c>
    </row>
    <row r="10485" spans="1:9" x14ac:dyDescent="0.25">
      <c r="A10485">
        <v>20140619</v>
      </c>
      <c r="B10485" t="str">
        <f>"116282"</f>
        <v>116282</v>
      </c>
      <c r="C10485" t="str">
        <f>"86827"</f>
        <v>86827</v>
      </c>
      <c r="D10485" t="s">
        <v>3228</v>
      </c>
      <c r="E10485">
        <v>29.76</v>
      </c>
      <c r="F10485">
        <v>20140618</v>
      </c>
      <c r="G10485" t="s">
        <v>1981</v>
      </c>
      <c r="H10485" t="s">
        <v>354</v>
      </c>
      <c r="I10485" t="s">
        <v>38</v>
      </c>
    </row>
    <row r="10486" spans="1:9" x14ac:dyDescent="0.25">
      <c r="A10486">
        <v>20140619</v>
      </c>
      <c r="B10486" t="str">
        <f>"116283"</f>
        <v>116283</v>
      </c>
      <c r="C10486" t="str">
        <f>"21325"</f>
        <v>21325</v>
      </c>
      <c r="D10486" t="s">
        <v>1216</v>
      </c>
      <c r="E10486">
        <v>18.63</v>
      </c>
      <c r="F10486">
        <v>20140616</v>
      </c>
      <c r="G10486" t="s">
        <v>2203</v>
      </c>
      <c r="H10486" t="s">
        <v>4666</v>
      </c>
      <c r="I10486" t="s">
        <v>21</v>
      </c>
    </row>
    <row r="10487" spans="1:9" x14ac:dyDescent="0.25">
      <c r="A10487">
        <v>20140619</v>
      </c>
      <c r="B10487" t="str">
        <f>"116284"</f>
        <v>116284</v>
      </c>
      <c r="C10487" t="str">
        <f>"81026"</f>
        <v>81026</v>
      </c>
      <c r="D10487" t="s">
        <v>2923</v>
      </c>
      <c r="E10487" s="1">
        <v>1569.6</v>
      </c>
      <c r="F10487">
        <v>20140618</v>
      </c>
      <c r="G10487" t="s">
        <v>904</v>
      </c>
      <c r="H10487" t="s">
        <v>921</v>
      </c>
      <c r="I10487" t="s">
        <v>75</v>
      </c>
    </row>
    <row r="10488" spans="1:9" x14ac:dyDescent="0.25">
      <c r="A10488">
        <v>20140619</v>
      </c>
      <c r="B10488" t="str">
        <f>"116284"</f>
        <v>116284</v>
      </c>
      <c r="C10488" t="str">
        <f>"81026"</f>
        <v>81026</v>
      </c>
      <c r="D10488" t="s">
        <v>2923</v>
      </c>
      <c r="E10488" s="1">
        <v>-1569.6</v>
      </c>
      <c r="F10488">
        <v>20140729</v>
      </c>
      <c r="G10488" t="s">
        <v>904</v>
      </c>
      <c r="H10488" t="s">
        <v>4667</v>
      </c>
      <c r="I10488" t="s">
        <v>75</v>
      </c>
    </row>
    <row r="10489" spans="1:9" x14ac:dyDescent="0.25">
      <c r="A10489">
        <v>20140619</v>
      </c>
      <c r="B10489" t="str">
        <f>"116285"</f>
        <v>116285</v>
      </c>
      <c r="C10489" t="str">
        <f>"84625"</f>
        <v>84625</v>
      </c>
      <c r="D10489" t="s">
        <v>1580</v>
      </c>
      <c r="E10489">
        <v>936.45</v>
      </c>
      <c r="F10489">
        <v>20140612</v>
      </c>
      <c r="G10489" t="s">
        <v>837</v>
      </c>
      <c r="H10489" t="s">
        <v>4668</v>
      </c>
      <c r="I10489" t="s">
        <v>21</v>
      </c>
    </row>
    <row r="10490" spans="1:9" x14ac:dyDescent="0.25">
      <c r="A10490">
        <v>20140619</v>
      </c>
      <c r="B10490" t="str">
        <f>"116285"</f>
        <v>116285</v>
      </c>
      <c r="C10490" t="str">
        <f>"84625"</f>
        <v>84625</v>
      </c>
      <c r="D10490" t="s">
        <v>1580</v>
      </c>
      <c r="E10490" s="1">
        <v>1084.05</v>
      </c>
      <c r="F10490">
        <v>20140616</v>
      </c>
      <c r="G10490" t="s">
        <v>367</v>
      </c>
      <c r="H10490" t="s">
        <v>4669</v>
      </c>
      <c r="I10490" t="s">
        <v>21</v>
      </c>
    </row>
    <row r="10491" spans="1:9" x14ac:dyDescent="0.25">
      <c r="A10491">
        <v>20140619</v>
      </c>
      <c r="B10491" t="str">
        <f>"116285"</f>
        <v>116285</v>
      </c>
      <c r="C10491" t="str">
        <f>"84625"</f>
        <v>84625</v>
      </c>
      <c r="D10491" t="s">
        <v>1580</v>
      </c>
      <c r="E10491">
        <v>936.46</v>
      </c>
      <c r="F10491">
        <v>20140612</v>
      </c>
      <c r="G10491" t="s">
        <v>840</v>
      </c>
      <c r="H10491" t="s">
        <v>4668</v>
      </c>
      <c r="I10491" t="s">
        <v>21</v>
      </c>
    </row>
    <row r="10492" spans="1:9" x14ac:dyDescent="0.25">
      <c r="A10492">
        <v>20140619</v>
      </c>
      <c r="B10492" t="str">
        <f>"116286"</f>
        <v>116286</v>
      </c>
      <c r="C10492" t="str">
        <f>"25575"</f>
        <v>25575</v>
      </c>
      <c r="D10492" t="s">
        <v>2930</v>
      </c>
      <c r="E10492">
        <v>116.78</v>
      </c>
      <c r="F10492">
        <v>20140612</v>
      </c>
      <c r="G10492" t="s">
        <v>1533</v>
      </c>
      <c r="H10492" t="s">
        <v>365</v>
      </c>
      <c r="I10492" t="s">
        <v>21</v>
      </c>
    </row>
    <row r="10493" spans="1:9" x14ac:dyDescent="0.25">
      <c r="A10493">
        <v>20140619</v>
      </c>
      <c r="B10493" t="str">
        <f>"116286"</f>
        <v>116286</v>
      </c>
      <c r="C10493" t="str">
        <f>"25575"</f>
        <v>25575</v>
      </c>
      <c r="D10493" t="s">
        <v>2930</v>
      </c>
      <c r="E10493">
        <v>240.97</v>
      </c>
      <c r="F10493">
        <v>20140618</v>
      </c>
      <c r="G10493" t="s">
        <v>1533</v>
      </c>
      <c r="H10493" t="s">
        <v>365</v>
      </c>
      <c r="I10493" t="s">
        <v>21</v>
      </c>
    </row>
    <row r="10494" spans="1:9" x14ac:dyDescent="0.25">
      <c r="A10494">
        <v>20140619</v>
      </c>
      <c r="B10494" t="str">
        <f>"116286"</f>
        <v>116286</v>
      </c>
      <c r="C10494" t="str">
        <f>"25575"</f>
        <v>25575</v>
      </c>
      <c r="D10494" t="s">
        <v>2930</v>
      </c>
      <c r="E10494">
        <v>70.349999999999994</v>
      </c>
      <c r="F10494">
        <v>20140612</v>
      </c>
      <c r="G10494" t="s">
        <v>1112</v>
      </c>
      <c r="H10494" t="s">
        <v>365</v>
      </c>
      <c r="I10494" t="s">
        <v>66</v>
      </c>
    </row>
    <row r="10495" spans="1:9" x14ac:dyDescent="0.25">
      <c r="A10495">
        <v>20140619</v>
      </c>
      <c r="B10495" t="str">
        <f>"116287"</f>
        <v>116287</v>
      </c>
      <c r="C10495" t="str">
        <f>"25680"</f>
        <v>25680</v>
      </c>
      <c r="D10495" t="s">
        <v>818</v>
      </c>
      <c r="E10495">
        <v>67.75</v>
      </c>
      <c r="F10495">
        <v>20140618</v>
      </c>
      <c r="G10495" t="s">
        <v>99</v>
      </c>
      <c r="H10495" t="s">
        <v>820</v>
      </c>
      <c r="I10495" t="s">
        <v>21</v>
      </c>
    </row>
    <row r="10496" spans="1:9" x14ac:dyDescent="0.25">
      <c r="A10496">
        <v>20140619</v>
      </c>
      <c r="B10496" t="str">
        <f>"116288"</f>
        <v>116288</v>
      </c>
      <c r="C10496" t="str">
        <f>"26990"</f>
        <v>26990</v>
      </c>
      <c r="D10496" t="s">
        <v>548</v>
      </c>
      <c r="E10496">
        <v>76.92</v>
      </c>
      <c r="F10496">
        <v>20140612</v>
      </c>
      <c r="G10496" t="s">
        <v>1033</v>
      </c>
      <c r="H10496" t="s">
        <v>4670</v>
      </c>
      <c r="I10496" t="s">
        <v>21</v>
      </c>
    </row>
    <row r="10497" spans="1:9" x14ac:dyDescent="0.25">
      <c r="A10497">
        <v>20140619</v>
      </c>
      <c r="B10497" t="str">
        <f>"116288"</f>
        <v>116288</v>
      </c>
      <c r="C10497" t="str">
        <f>"26990"</f>
        <v>26990</v>
      </c>
      <c r="D10497" t="s">
        <v>548</v>
      </c>
      <c r="E10497">
        <v>40</v>
      </c>
      <c r="F10497">
        <v>20140618</v>
      </c>
      <c r="G10497" t="s">
        <v>810</v>
      </c>
      <c r="H10497" t="s">
        <v>1054</v>
      </c>
      <c r="I10497" t="s">
        <v>66</v>
      </c>
    </row>
    <row r="10498" spans="1:9" x14ac:dyDescent="0.25">
      <c r="A10498">
        <v>20140619</v>
      </c>
      <c r="B10498" t="str">
        <f>"116289"</f>
        <v>116289</v>
      </c>
      <c r="C10498" t="str">
        <f>"30000"</f>
        <v>30000</v>
      </c>
      <c r="D10498" t="s">
        <v>556</v>
      </c>
      <c r="E10498" s="1">
        <v>2025</v>
      </c>
      <c r="F10498">
        <v>20140618</v>
      </c>
      <c r="G10498" t="s">
        <v>840</v>
      </c>
      <c r="H10498" t="s">
        <v>839</v>
      </c>
      <c r="I10498" t="s">
        <v>21</v>
      </c>
    </row>
    <row r="10499" spans="1:9" x14ac:dyDescent="0.25">
      <c r="A10499">
        <v>20140619</v>
      </c>
      <c r="B10499" t="str">
        <f>"116289"</f>
        <v>116289</v>
      </c>
      <c r="C10499" t="str">
        <f>"30000"</f>
        <v>30000</v>
      </c>
      <c r="D10499" t="s">
        <v>556</v>
      </c>
      <c r="E10499">
        <v>114.95</v>
      </c>
      <c r="F10499">
        <v>20140612</v>
      </c>
      <c r="G10499" t="s">
        <v>1679</v>
      </c>
      <c r="H10499" t="s">
        <v>3390</v>
      </c>
      <c r="I10499" t="s">
        <v>25</v>
      </c>
    </row>
    <row r="10500" spans="1:9" x14ac:dyDescent="0.25">
      <c r="A10500">
        <v>20140619</v>
      </c>
      <c r="B10500" t="str">
        <f>"116290"</f>
        <v>116290</v>
      </c>
      <c r="C10500" t="str">
        <f>"87894"</f>
        <v>87894</v>
      </c>
      <c r="D10500" t="s">
        <v>4671</v>
      </c>
      <c r="E10500">
        <v>13.95</v>
      </c>
      <c r="F10500">
        <v>20140618</v>
      </c>
      <c r="G10500" t="s">
        <v>202</v>
      </c>
      <c r="H10500" t="s">
        <v>4672</v>
      </c>
      <c r="I10500" t="s">
        <v>12</v>
      </c>
    </row>
    <row r="10501" spans="1:9" x14ac:dyDescent="0.25">
      <c r="A10501">
        <v>20140619</v>
      </c>
      <c r="B10501" t="str">
        <f>"116291"</f>
        <v>116291</v>
      </c>
      <c r="C10501" t="str">
        <f>"32675"</f>
        <v>32675</v>
      </c>
      <c r="D10501" t="s">
        <v>2194</v>
      </c>
      <c r="E10501" s="1">
        <v>2970.43</v>
      </c>
      <c r="F10501">
        <v>20140618</v>
      </c>
      <c r="G10501" t="s">
        <v>1304</v>
      </c>
      <c r="H10501" t="s">
        <v>4673</v>
      </c>
      <c r="I10501" t="s">
        <v>21</v>
      </c>
    </row>
    <row r="10502" spans="1:9" x14ac:dyDescent="0.25">
      <c r="A10502">
        <v>20140619</v>
      </c>
      <c r="B10502" t="str">
        <f>"116292"</f>
        <v>116292</v>
      </c>
      <c r="C10502" t="str">
        <f>"87484"</f>
        <v>87484</v>
      </c>
      <c r="D10502" t="s">
        <v>588</v>
      </c>
      <c r="E10502" s="1">
        <v>1235</v>
      </c>
      <c r="F10502">
        <v>20140618</v>
      </c>
      <c r="G10502" t="s">
        <v>589</v>
      </c>
      <c r="H10502" t="s">
        <v>2195</v>
      </c>
      <c r="I10502" t="s">
        <v>68</v>
      </c>
    </row>
    <row r="10503" spans="1:9" x14ac:dyDescent="0.25">
      <c r="A10503">
        <v>20140619</v>
      </c>
      <c r="B10503" t="str">
        <f>"116293"</f>
        <v>116293</v>
      </c>
      <c r="C10503" t="str">
        <f>"35337"</f>
        <v>35337</v>
      </c>
      <c r="D10503" t="s">
        <v>599</v>
      </c>
      <c r="E10503">
        <v>39.85</v>
      </c>
      <c r="F10503">
        <v>20140612</v>
      </c>
      <c r="G10503" t="s">
        <v>498</v>
      </c>
      <c r="H10503" t="s">
        <v>499</v>
      </c>
      <c r="I10503" t="s">
        <v>21</v>
      </c>
    </row>
    <row r="10504" spans="1:9" x14ac:dyDescent="0.25">
      <c r="A10504">
        <v>20140619</v>
      </c>
      <c r="B10504" t="str">
        <f>"116293"</f>
        <v>116293</v>
      </c>
      <c r="C10504" t="str">
        <f>"35337"</f>
        <v>35337</v>
      </c>
      <c r="D10504" t="s">
        <v>599</v>
      </c>
      <c r="E10504">
        <v>35.75</v>
      </c>
      <c r="F10504">
        <v>20140612</v>
      </c>
      <c r="G10504" t="s">
        <v>498</v>
      </c>
      <c r="H10504" t="s">
        <v>499</v>
      </c>
      <c r="I10504" t="s">
        <v>21</v>
      </c>
    </row>
    <row r="10505" spans="1:9" x14ac:dyDescent="0.25">
      <c r="A10505">
        <v>20140619</v>
      </c>
      <c r="B10505" t="str">
        <f>"116294"</f>
        <v>116294</v>
      </c>
      <c r="C10505" t="str">
        <f>"87363"</f>
        <v>87363</v>
      </c>
      <c r="D10505" t="s">
        <v>3355</v>
      </c>
      <c r="E10505">
        <v>96.72</v>
      </c>
      <c r="F10505">
        <v>20140618</v>
      </c>
      <c r="G10505" t="s">
        <v>189</v>
      </c>
      <c r="H10505" t="s">
        <v>354</v>
      </c>
      <c r="I10505" t="s">
        <v>25</v>
      </c>
    </row>
    <row r="10506" spans="1:9" x14ac:dyDescent="0.25">
      <c r="A10506">
        <v>20140619</v>
      </c>
      <c r="B10506" t="str">
        <f>"116295"</f>
        <v>116295</v>
      </c>
      <c r="C10506" t="str">
        <f>"83064"</f>
        <v>83064</v>
      </c>
      <c r="D10506" t="s">
        <v>1760</v>
      </c>
      <c r="E10506">
        <v>203.58</v>
      </c>
      <c r="F10506">
        <v>20140616</v>
      </c>
      <c r="G10506" t="s">
        <v>1229</v>
      </c>
      <c r="H10506" t="s">
        <v>365</v>
      </c>
      <c r="I10506" t="s">
        <v>21</v>
      </c>
    </row>
    <row r="10507" spans="1:9" x14ac:dyDescent="0.25">
      <c r="A10507">
        <v>20140619</v>
      </c>
      <c r="B10507" t="str">
        <f>"116296"</f>
        <v>116296</v>
      </c>
      <c r="C10507" t="str">
        <f>"37565"</f>
        <v>37565</v>
      </c>
      <c r="D10507" t="s">
        <v>609</v>
      </c>
      <c r="E10507" s="1">
        <v>1862</v>
      </c>
      <c r="F10507">
        <v>20140612</v>
      </c>
      <c r="G10507" t="s">
        <v>145</v>
      </c>
      <c r="H10507" t="s">
        <v>4245</v>
      </c>
      <c r="I10507" t="s">
        <v>38</v>
      </c>
    </row>
    <row r="10508" spans="1:9" x14ac:dyDescent="0.25">
      <c r="A10508">
        <v>20140619</v>
      </c>
      <c r="B10508" t="str">
        <f>"116297"</f>
        <v>116297</v>
      </c>
      <c r="C10508" t="str">
        <f>"39157"</f>
        <v>39157</v>
      </c>
      <c r="D10508" t="s">
        <v>2530</v>
      </c>
      <c r="E10508">
        <v>57.57</v>
      </c>
      <c r="F10508">
        <v>20140618</v>
      </c>
      <c r="G10508" t="s">
        <v>810</v>
      </c>
      <c r="H10508" t="s">
        <v>365</v>
      </c>
      <c r="I10508" t="s">
        <v>66</v>
      </c>
    </row>
    <row r="10509" spans="1:9" x14ac:dyDescent="0.25">
      <c r="A10509">
        <v>20140619</v>
      </c>
      <c r="B10509" t="str">
        <f>"116298"</f>
        <v>116298</v>
      </c>
      <c r="C10509" t="str">
        <f>"40910"</f>
        <v>40910</v>
      </c>
      <c r="D10509" t="s">
        <v>1886</v>
      </c>
      <c r="E10509">
        <v>269.47000000000003</v>
      </c>
      <c r="F10509">
        <v>20140612</v>
      </c>
      <c r="G10509" t="s">
        <v>331</v>
      </c>
      <c r="H10509" t="s">
        <v>414</v>
      </c>
      <c r="I10509" t="s">
        <v>12</v>
      </c>
    </row>
    <row r="10510" spans="1:9" x14ac:dyDescent="0.25">
      <c r="A10510">
        <v>20140619</v>
      </c>
      <c r="B10510" t="str">
        <f>"116299"</f>
        <v>116299</v>
      </c>
      <c r="C10510" t="str">
        <f>"81421"</f>
        <v>81421</v>
      </c>
      <c r="D10510" t="s">
        <v>4674</v>
      </c>
      <c r="E10510">
        <v>55.45</v>
      </c>
      <c r="F10510">
        <v>20140618</v>
      </c>
      <c r="G10510" t="s">
        <v>202</v>
      </c>
      <c r="H10510" t="s">
        <v>4675</v>
      </c>
      <c r="I10510" t="s">
        <v>12</v>
      </c>
    </row>
    <row r="10511" spans="1:9" x14ac:dyDescent="0.25">
      <c r="A10511">
        <v>20140619</v>
      </c>
      <c r="B10511" t="str">
        <f>"116300"</f>
        <v>116300</v>
      </c>
      <c r="C10511" t="str">
        <f>"81387"</f>
        <v>81387</v>
      </c>
      <c r="D10511" t="s">
        <v>3498</v>
      </c>
      <c r="E10511">
        <v>92.83</v>
      </c>
      <c r="F10511">
        <v>20140618</v>
      </c>
      <c r="G10511" t="s">
        <v>1197</v>
      </c>
      <c r="H10511" t="s">
        <v>3753</v>
      </c>
      <c r="I10511" t="s">
        <v>21</v>
      </c>
    </row>
    <row r="10512" spans="1:9" x14ac:dyDescent="0.25">
      <c r="A10512">
        <v>20140619</v>
      </c>
      <c r="B10512" t="str">
        <f>"116301"</f>
        <v>116301</v>
      </c>
      <c r="C10512" t="str">
        <f>"86871"</f>
        <v>86871</v>
      </c>
      <c r="D10512" t="s">
        <v>3410</v>
      </c>
      <c r="E10512" s="1">
        <v>2459</v>
      </c>
      <c r="F10512">
        <v>20140616</v>
      </c>
      <c r="G10512" t="s">
        <v>4676</v>
      </c>
      <c r="H10512" t="s">
        <v>743</v>
      </c>
      <c r="I10512" t="s">
        <v>21</v>
      </c>
    </row>
    <row r="10513" spans="1:9" x14ac:dyDescent="0.25">
      <c r="A10513">
        <v>20140619</v>
      </c>
      <c r="B10513" t="str">
        <f>"116302"</f>
        <v>116302</v>
      </c>
      <c r="C10513" t="str">
        <f>"87567"</f>
        <v>87567</v>
      </c>
      <c r="D10513" t="s">
        <v>1768</v>
      </c>
      <c r="E10513" s="1">
        <v>1994.96</v>
      </c>
      <c r="F10513">
        <v>20140618</v>
      </c>
      <c r="G10513" t="s">
        <v>340</v>
      </c>
      <c r="H10513" t="s">
        <v>656</v>
      </c>
      <c r="I10513" t="s">
        <v>21</v>
      </c>
    </row>
    <row r="10514" spans="1:9" x14ac:dyDescent="0.25">
      <c r="A10514">
        <v>20140619</v>
      </c>
      <c r="B10514" t="str">
        <f>"116303"</f>
        <v>116303</v>
      </c>
      <c r="C10514" t="str">
        <f>"87895"</f>
        <v>87895</v>
      </c>
      <c r="D10514" t="s">
        <v>4677</v>
      </c>
      <c r="E10514">
        <v>834</v>
      </c>
      <c r="F10514">
        <v>20140616</v>
      </c>
      <c r="G10514" t="s">
        <v>4425</v>
      </c>
      <c r="H10514" t="s">
        <v>1054</v>
      </c>
      <c r="I10514" t="s">
        <v>21</v>
      </c>
    </row>
    <row r="10515" spans="1:9" x14ac:dyDescent="0.25">
      <c r="A10515">
        <v>20140619</v>
      </c>
      <c r="B10515" t="str">
        <f>"116304"</f>
        <v>116304</v>
      </c>
      <c r="C10515" t="str">
        <f>"87506"</f>
        <v>87506</v>
      </c>
      <c r="D10515" t="s">
        <v>897</v>
      </c>
      <c r="E10515">
        <v>180</v>
      </c>
      <c r="F10515">
        <v>20140618</v>
      </c>
      <c r="G10515" t="s">
        <v>189</v>
      </c>
      <c r="H10515" t="s">
        <v>354</v>
      </c>
      <c r="I10515" t="s">
        <v>25</v>
      </c>
    </row>
    <row r="10516" spans="1:9" x14ac:dyDescent="0.25">
      <c r="A10516">
        <v>20140619</v>
      </c>
      <c r="B10516" t="str">
        <f>"116305"</f>
        <v>116305</v>
      </c>
      <c r="C10516" t="str">
        <f>"87888"</f>
        <v>87888</v>
      </c>
      <c r="D10516" t="s">
        <v>4678</v>
      </c>
      <c r="E10516">
        <v>8</v>
      </c>
      <c r="F10516">
        <v>20140618</v>
      </c>
      <c r="G10516" t="s">
        <v>202</v>
      </c>
      <c r="H10516" t="s">
        <v>4675</v>
      </c>
      <c r="I10516" t="s">
        <v>12</v>
      </c>
    </row>
    <row r="10517" spans="1:9" x14ac:dyDescent="0.25">
      <c r="A10517">
        <v>20140619</v>
      </c>
      <c r="B10517" t="str">
        <f>"116306"</f>
        <v>116306</v>
      </c>
      <c r="C10517" t="str">
        <f>"87855"</f>
        <v>87855</v>
      </c>
      <c r="D10517" t="s">
        <v>4368</v>
      </c>
      <c r="E10517">
        <v>4.05</v>
      </c>
      <c r="F10517">
        <v>20140618</v>
      </c>
      <c r="G10517" t="s">
        <v>410</v>
      </c>
      <c r="H10517" t="s">
        <v>411</v>
      </c>
      <c r="I10517" t="s">
        <v>12</v>
      </c>
    </row>
    <row r="10518" spans="1:9" x14ac:dyDescent="0.25">
      <c r="A10518">
        <v>20140619</v>
      </c>
      <c r="B10518" t="str">
        <f>"116307"</f>
        <v>116307</v>
      </c>
      <c r="C10518" t="str">
        <f>"81561"</f>
        <v>81561</v>
      </c>
      <c r="D10518" t="s">
        <v>4679</v>
      </c>
      <c r="E10518">
        <v>130</v>
      </c>
      <c r="F10518">
        <v>20140612</v>
      </c>
      <c r="G10518" t="s">
        <v>1690</v>
      </c>
      <c r="H10518" t="s">
        <v>697</v>
      </c>
      <c r="I10518" t="s">
        <v>21</v>
      </c>
    </row>
    <row r="10519" spans="1:9" x14ac:dyDescent="0.25">
      <c r="A10519">
        <v>20140619</v>
      </c>
      <c r="B10519" t="str">
        <f>"116308"</f>
        <v>116308</v>
      </c>
      <c r="C10519" t="str">
        <f>"52518"</f>
        <v>52518</v>
      </c>
      <c r="D10519" t="s">
        <v>647</v>
      </c>
      <c r="E10519">
        <v>871.62</v>
      </c>
      <c r="F10519">
        <v>20140618</v>
      </c>
      <c r="G10519" t="s">
        <v>498</v>
      </c>
      <c r="H10519" t="s">
        <v>499</v>
      </c>
      <c r="I10519" t="s">
        <v>21</v>
      </c>
    </row>
    <row r="10520" spans="1:9" x14ac:dyDescent="0.25">
      <c r="A10520">
        <v>20140619</v>
      </c>
      <c r="B10520" t="str">
        <f>"116308"</f>
        <v>116308</v>
      </c>
      <c r="C10520" t="str">
        <f>"52518"</f>
        <v>52518</v>
      </c>
      <c r="D10520" t="s">
        <v>647</v>
      </c>
      <c r="E10520">
        <v>938.5</v>
      </c>
      <c r="F10520">
        <v>20140618</v>
      </c>
      <c r="G10520" t="s">
        <v>496</v>
      </c>
      <c r="H10520" t="s">
        <v>414</v>
      </c>
      <c r="I10520" t="s">
        <v>21</v>
      </c>
    </row>
    <row r="10521" spans="1:9" x14ac:dyDescent="0.25">
      <c r="A10521">
        <v>20140619</v>
      </c>
      <c r="B10521" t="str">
        <f>"116308"</f>
        <v>116308</v>
      </c>
      <c r="C10521" t="str">
        <f>"52518"</f>
        <v>52518</v>
      </c>
      <c r="D10521" t="s">
        <v>647</v>
      </c>
      <c r="E10521">
        <v>13.93</v>
      </c>
      <c r="F10521">
        <v>20140618</v>
      </c>
      <c r="G10521" t="s">
        <v>482</v>
      </c>
      <c r="H10521" t="s">
        <v>414</v>
      </c>
      <c r="I10521" t="s">
        <v>21</v>
      </c>
    </row>
    <row r="10522" spans="1:9" x14ac:dyDescent="0.25">
      <c r="A10522">
        <v>20140619</v>
      </c>
      <c r="B10522" t="str">
        <f>"116309"</f>
        <v>116309</v>
      </c>
      <c r="C10522" t="str">
        <f>"53650"</f>
        <v>53650</v>
      </c>
      <c r="D10522" t="s">
        <v>1492</v>
      </c>
      <c r="E10522">
        <v>630</v>
      </c>
      <c r="F10522">
        <v>20140618</v>
      </c>
      <c r="G10522" t="s">
        <v>99</v>
      </c>
      <c r="H10522" t="s">
        <v>1493</v>
      </c>
      <c r="I10522" t="s">
        <v>21</v>
      </c>
    </row>
    <row r="10523" spans="1:9" x14ac:dyDescent="0.25">
      <c r="A10523">
        <v>20140619</v>
      </c>
      <c r="B10523" t="str">
        <f>"116310"</f>
        <v>116310</v>
      </c>
      <c r="C10523" t="str">
        <f>"86946"</f>
        <v>86946</v>
      </c>
      <c r="D10523" t="s">
        <v>933</v>
      </c>
      <c r="E10523">
        <v>68.540000000000006</v>
      </c>
      <c r="F10523">
        <v>20140618</v>
      </c>
      <c r="G10523" t="s">
        <v>1409</v>
      </c>
      <c r="H10523" t="s">
        <v>365</v>
      </c>
      <c r="I10523" t="s">
        <v>21</v>
      </c>
    </row>
    <row r="10524" spans="1:9" x14ac:dyDescent="0.25">
      <c r="A10524">
        <v>20140619</v>
      </c>
      <c r="B10524" t="str">
        <f>"116311"</f>
        <v>116311</v>
      </c>
      <c r="C10524" t="str">
        <f>"57039"</f>
        <v>57039</v>
      </c>
      <c r="D10524" t="s">
        <v>4680</v>
      </c>
      <c r="E10524">
        <v>350</v>
      </c>
      <c r="F10524">
        <v>20140616</v>
      </c>
      <c r="G10524" t="s">
        <v>4681</v>
      </c>
      <c r="H10524" t="s">
        <v>4682</v>
      </c>
      <c r="I10524" t="s">
        <v>25</v>
      </c>
    </row>
    <row r="10525" spans="1:9" x14ac:dyDescent="0.25">
      <c r="A10525">
        <v>20140619</v>
      </c>
      <c r="B10525" t="str">
        <f>"116312"</f>
        <v>116312</v>
      </c>
      <c r="C10525" t="str">
        <f>"57046"</f>
        <v>57046</v>
      </c>
      <c r="D10525" t="s">
        <v>1789</v>
      </c>
      <c r="E10525">
        <v>753</v>
      </c>
      <c r="F10525">
        <v>20140616</v>
      </c>
      <c r="G10525" t="s">
        <v>545</v>
      </c>
      <c r="H10525" t="s">
        <v>4683</v>
      </c>
      <c r="I10525" t="s">
        <v>21</v>
      </c>
    </row>
    <row r="10526" spans="1:9" x14ac:dyDescent="0.25">
      <c r="A10526">
        <v>20140619</v>
      </c>
      <c r="B10526" t="str">
        <f>"116313"</f>
        <v>116313</v>
      </c>
      <c r="C10526" t="str">
        <f>"58458"</f>
        <v>58458</v>
      </c>
      <c r="D10526" t="s">
        <v>369</v>
      </c>
      <c r="E10526">
        <v>37.590000000000003</v>
      </c>
      <c r="F10526">
        <v>20140618</v>
      </c>
      <c r="G10526" t="s">
        <v>1724</v>
      </c>
      <c r="H10526" t="s">
        <v>365</v>
      </c>
      <c r="I10526" t="s">
        <v>66</v>
      </c>
    </row>
    <row r="10527" spans="1:9" x14ac:dyDescent="0.25">
      <c r="A10527">
        <v>20140619</v>
      </c>
      <c r="B10527" t="str">
        <f>"116314"</f>
        <v>116314</v>
      </c>
      <c r="C10527" t="str">
        <f>"87896"</f>
        <v>87896</v>
      </c>
      <c r="D10527" t="s">
        <v>4684</v>
      </c>
      <c r="E10527">
        <v>251.4</v>
      </c>
      <c r="F10527">
        <v>20140618</v>
      </c>
      <c r="G10527" t="s">
        <v>496</v>
      </c>
      <c r="H10527" t="s">
        <v>414</v>
      </c>
      <c r="I10527" t="s">
        <v>21</v>
      </c>
    </row>
    <row r="10528" spans="1:9" x14ac:dyDescent="0.25">
      <c r="A10528">
        <v>20140619</v>
      </c>
      <c r="B10528" t="str">
        <f>"116315"</f>
        <v>116315</v>
      </c>
      <c r="C10528" t="str">
        <f>"61175"</f>
        <v>61175</v>
      </c>
      <c r="D10528" t="s">
        <v>4685</v>
      </c>
      <c r="E10528">
        <v>40</v>
      </c>
      <c r="F10528">
        <v>20140618</v>
      </c>
      <c r="G10528" t="s">
        <v>128</v>
      </c>
      <c r="H10528" t="s">
        <v>354</v>
      </c>
      <c r="I10528" t="s">
        <v>21</v>
      </c>
    </row>
    <row r="10529" spans="1:9" x14ac:dyDescent="0.25">
      <c r="A10529">
        <v>20140619</v>
      </c>
      <c r="B10529" t="str">
        <f>"116316"</f>
        <v>116316</v>
      </c>
      <c r="C10529" t="str">
        <f>"81893"</f>
        <v>81893</v>
      </c>
      <c r="D10529" t="s">
        <v>4686</v>
      </c>
      <c r="E10529">
        <v>11.58</v>
      </c>
      <c r="F10529">
        <v>20140618</v>
      </c>
      <c r="G10529" t="s">
        <v>1981</v>
      </c>
      <c r="H10529" t="s">
        <v>354</v>
      </c>
      <c r="I10529" t="s">
        <v>38</v>
      </c>
    </row>
    <row r="10530" spans="1:9" x14ac:dyDescent="0.25">
      <c r="A10530">
        <v>20140619</v>
      </c>
      <c r="B10530" t="str">
        <f>"116317"</f>
        <v>116317</v>
      </c>
      <c r="C10530" t="str">
        <f>"87398"</f>
        <v>87398</v>
      </c>
      <c r="D10530" t="s">
        <v>4687</v>
      </c>
      <c r="E10530">
        <v>20.79</v>
      </c>
      <c r="F10530">
        <v>20140618</v>
      </c>
      <c r="G10530" t="s">
        <v>214</v>
      </c>
      <c r="H10530" t="s">
        <v>354</v>
      </c>
      <c r="I10530" t="s">
        <v>38</v>
      </c>
    </row>
    <row r="10531" spans="1:9" x14ac:dyDescent="0.25">
      <c r="A10531">
        <v>20140619</v>
      </c>
      <c r="B10531" t="str">
        <f>"116318"</f>
        <v>116318</v>
      </c>
      <c r="C10531" t="str">
        <f>"62451"</f>
        <v>62451</v>
      </c>
      <c r="D10531" t="s">
        <v>1797</v>
      </c>
      <c r="E10531" s="1">
        <v>4913.5200000000004</v>
      </c>
      <c r="F10531">
        <v>20140618</v>
      </c>
      <c r="G10531" t="s">
        <v>119</v>
      </c>
      <c r="H10531" t="s">
        <v>1798</v>
      </c>
      <c r="I10531" t="s">
        <v>38</v>
      </c>
    </row>
    <row r="10532" spans="1:9" x14ac:dyDescent="0.25">
      <c r="A10532">
        <v>20140619</v>
      </c>
      <c r="B10532" t="str">
        <f>"116319"</f>
        <v>116319</v>
      </c>
      <c r="C10532" t="str">
        <f>"62900"</f>
        <v>62900</v>
      </c>
      <c r="D10532" t="s">
        <v>1293</v>
      </c>
      <c r="E10532">
        <v>280.45</v>
      </c>
      <c r="F10532">
        <v>20140618</v>
      </c>
      <c r="G10532" t="s">
        <v>935</v>
      </c>
      <c r="H10532" t="s">
        <v>839</v>
      </c>
      <c r="I10532" t="s">
        <v>21</v>
      </c>
    </row>
    <row r="10533" spans="1:9" x14ac:dyDescent="0.25">
      <c r="A10533">
        <v>20140619</v>
      </c>
      <c r="B10533" t="str">
        <f>"116320"</f>
        <v>116320</v>
      </c>
      <c r="C10533" t="str">
        <f>"80924"</f>
        <v>80924</v>
      </c>
      <c r="D10533" t="s">
        <v>4688</v>
      </c>
      <c r="E10533">
        <v>925</v>
      </c>
      <c r="F10533">
        <v>20140618</v>
      </c>
      <c r="G10533" t="s">
        <v>1197</v>
      </c>
      <c r="H10533" t="s">
        <v>1228</v>
      </c>
      <c r="I10533" t="s">
        <v>21</v>
      </c>
    </row>
    <row r="10534" spans="1:9" x14ac:dyDescent="0.25">
      <c r="A10534">
        <v>20140619</v>
      </c>
      <c r="B10534" t="str">
        <f>"116321"</f>
        <v>116321</v>
      </c>
      <c r="C10534" t="str">
        <f>"65430"</f>
        <v>65430</v>
      </c>
      <c r="D10534" t="s">
        <v>1518</v>
      </c>
      <c r="E10534">
        <v>24.99</v>
      </c>
      <c r="F10534">
        <v>20140618</v>
      </c>
      <c r="G10534" t="s">
        <v>413</v>
      </c>
      <c r="H10534" t="s">
        <v>414</v>
      </c>
      <c r="I10534" t="s">
        <v>21</v>
      </c>
    </row>
    <row r="10535" spans="1:9" x14ac:dyDescent="0.25">
      <c r="A10535">
        <v>20140619</v>
      </c>
      <c r="B10535" t="str">
        <f>"116322"</f>
        <v>116322</v>
      </c>
      <c r="C10535" t="str">
        <f>"83181"</f>
        <v>83181</v>
      </c>
      <c r="D10535" t="s">
        <v>2404</v>
      </c>
      <c r="E10535">
        <v>28.08</v>
      </c>
      <c r="F10535">
        <v>20140618</v>
      </c>
      <c r="G10535" t="s">
        <v>1024</v>
      </c>
      <c r="H10535" t="s">
        <v>354</v>
      </c>
      <c r="I10535" t="s">
        <v>21</v>
      </c>
    </row>
    <row r="10536" spans="1:9" x14ac:dyDescent="0.25">
      <c r="A10536">
        <v>20140619</v>
      </c>
      <c r="B10536" t="str">
        <f>"116323"</f>
        <v>116323</v>
      </c>
      <c r="C10536" t="str">
        <f>"87321"</f>
        <v>87321</v>
      </c>
      <c r="D10536" t="s">
        <v>4689</v>
      </c>
      <c r="E10536">
        <v>65.98</v>
      </c>
      <c r="F10536">
        <v>20140618</v>
      </c>
      <c r="G10536" t="s">
        <v>498</v>
      </c>
      <c r="H10536" t="s">
        <v>499</v>
      </c>
      <c r="I10536" t="s">
        <v>21</v>
      </c>
    </row>
    <row r="10537" spans="1:9" x14ac:dyDescent="0.25">
      <c r="A10537">
        <v>20140619</v>
      </c>
      <c r="B10537" t="str">
        <f>"116324"</f>
        <v>116324</v>
      </c>
      <c r="C10537" t="str">
        <f>"85353"</f>
        <v>85353</v>
      </c>
      <c r="D10537" t="s">
        <v>4497</v>
      </c>
      <c r="E10537">
        <v>268</v>
      </c>
      <c r="F10537">
        <v>20140618</v>
      </c>
      <c r="G10537" t="s">
        <v>39</v>
      </c>
      <c r="H10537" t="s">
        <v>4498</v>
      </c>
      <c r="I10537" t="s">
        <v>38</v>
      </c>
    </row>
    <row r="10538" spans="1:9" x14ac:dyDescent="0.25">
      <c r="A10538">
        <v>20140619</v>
      </c>
      <c r="B10538" t="str">
        <f>"116325"</f>
        <v>116325</v>
      </c>
      <c r="C10538" t="str">
        <f>"81119"</f>
        <v>81119</v>
      </c>
      <c r="D10538" t="s">
        <v>1815</v>
      </c>
      <c r="E10538">
        <v>57.15</v>
      </c>
      <c r="F10538">
        <v>20140616</v>
      </c>
      <c r="G10538" t="s">
        <v>982</v>
      </c>
      <c r="H10538" t="s">
        <v>563</v>
      </c>
      <c r="I10538" t="s">
        <v>21</v>
      </c>
    </row>
    <row r="10539" spans="1:9" x14ac:dyDescent="0.25">
      <c r="A10539">
        <v>20140619</v>
      </c>
      <c r="B10539" t="str">
        <f>"116326"</f>
        <v>116326</v>
      </c>
      <c r="C10539" t="str">
        <f>"81398"</f>
        <v>81398</v>
      </c>
      <c r="D10539" t="s">
        <v>1154</v>
      </c>
      <c r="E10539">
        <v>174</v>
      </c>
      <c r="F10539">
        <v>20140618</v>
      </c>
      <c r="G10539" t="s">
        <v>4425</v>
      </c>
      <c r="H10539" t="s">
        <v>1054</v>
      </c>
      <c r="I10539" t="s">
        <v>21</v>
      </c>
    </row>
    <row r="10540" spans="1:9" x14ac:dyDescent="0.25">
      <c r="A10540">
        <v>20140619</v>
      </c>
      <c r="B10540" t="str">
        <f>"116327"</f>
        <v>116327</v>
      </c>
      <c r="C10540" t="str">
        <f>"00332"</f>
        <v>00332</v>
      </c>
      <c r="D10540" t="s">
        <v>1160</v>
      </c>
      <c r="E10540">
        <v>98</v>
      </c>
      <c r="F10540">
        <v>20140616</v>
      </c>
      <c r="G10540" t="s">
        <v>367</v>
      </c>
      <c r="H10540" t="s">
        <v>1161</v>
      </c>
      <c r="I10540" t="s">
        <v>21</v>
      </c>
    </row>
    <row r="10541" spans="1:9" x14ac:dyDescent="0.25">
      <c r="A10541">
        <v>20140619</v>
      </c>
      <c r="B10541" t="str">
        <f>"116328"</f>
        <v>116328</v>
      </c>
      <c r="C10541" t="str">
        <f>"70775"</f>
        <v>70775</v>
      </c>
      <c r="D10541" t="s">
        <v>4292</v>
      </c>
      <c r="E10541">
        <v>100</v>
      </c>
      <c r="F10541">
        <v>20140612</v>
      </c>
      <c r="G10541" t="s">
        <v>1153</v>
      </c>
      <c r="H10541" t="s">
        <v>954</v>
      </c>
      <c r="I10541" t="s">
        <v>61</v>
      </c>
    </row>
    <row r="10542" spans="1:9" x14ac:dyDescent="0.25">
      <c r="A10542">
        <v>20140619</v>
      </c>
      <c r="B10542" t="str">
        <f t="shared" ref="B10542:B10547" si="607">"116329"</f>
        <v>116329</v>
      </c>
      <c r="C10542" t="str">
        <f t="shared" ref="C10542:C10547" si="608">"70776"</f>
        <v>70776</v>
      </c>
      <c r="D10542" t="s">
        <v>2413</v>
      </c>
      <c r="E10542">
        <v>105</v>
      </c>
      <c r="F10542">
        <v>20140612</v>
      </c>
      <c r="G10542" t="s">
        <v>1153</v>
      </c>
      <c r="H10542" t="s">
        <v>4563</v>
      </c>
      <c r="I10542" t="s">
        <v>61</v>
      </c>
    </row>
    <row r="10543" spans="1:9" x14ac:dyDescent="0.25">
      <c r="A10543">
        <v>20140619</v>
      </c>
      <c r="B10543" t="str">
        <f t="shared" si="607"/>
        <v>116329</v>
      </c>
      <c r="C10543" t="str">
        <f t="shared" si="608"/>
        <v>70776</v>
      </c>
      <c r="D10543" t="s">
        <v>2413</v>
      </c>
      <c r="E10543">
        <v>105</v>
      </c>
      <c r="F10543">
        <v>20140612</v>
      </c>
      <c r="G10543" t="s">
        <v>1153</v>
      </c>
      <c r="H10543" t="s">
        <v>4563</v>
      </c>
      <c r="I10543" t="s">
        <v>61</v>
      </c>
    </row>
    <row r="10544" spans="1:9" x14ac:dyDescent="0.25">
      <c r="A10544">
        <v>20140619</v>
      </c>
      <c r="B10544" t="str">
        <f t="shared" si="607"/>
        <v>116329</v>
      </c>
      <c r="C10544" t="str">
        <f t="shared" si="608"/>
        <v>70776</v>
      </c>
      <c r="D10544" t="s">
        <v>2413</v>
      </c>
      <c r="E10544">
        <v>105</v>
      </c>
      <c r="F10544">
        <v>20140612</v>
      </c>
      <c r="G10544" t="s">
        <v>1153</v>
      </c>
      <c r="H10544" t="s">
        <v>4563</v>
      </c>
      <c r="I10544" t="s">
        <v>61</v>
      </c>
    </row>
    <row r="10545" spans="1:9" x14ac:dyDescent="0.25">
      <c r="A10545">
        <v>20140619</v>
      </c>
      <c r="B10545" t="str">
        <f t="shared" si="607"/>
        <v>116329</v>
      </c>
      <c r="C10545" t="str">
        <f t="shared" si="608"/>
        <v>70776</v>
      </c>
      <c r="D10545" t="s">
        <v>2413</v>
      </c>
      <c r="E10545">
        <v>105</v>
      </c>
      <c r="F10545">
        <v>20140612</v>
      </c>
      <c r="G10545" t="s">
        <v>1153</v>
      </c>
      <c r="H10545" t="s">
        <v>4563</v>
      </c>
      <c r="I10545" t="s">
        <v>61</v>
      </c>
    </row>
    <row r="10546" spans="1:9" x14ac:dyDescent="0.25">
      <c r="A10546">
        <v>20140619</v>
      </c>
      <c r="B10546" t="str">
        <f t="shared" si="607"/>
        <v>116329</v>
      </c>
      <c r="C10546" t="str">
        <f t="shared" si="608"/>
        <v>70776</v>
      </c>
      <c r="D10546" t="s">
        <v>2413</v>
      </c>
      <c r="E10546">
        <v>105</v>
      </c>
      <c r="F10546">
        <v>20140612</v>
      </c>
      <c r="G10546" t="s">
        <v>1153</v>
      </c>
      <c r="H10546" t="s">
        <v>4563</v>
      </c>
      <c r="I10546" t="s">
        <v>61</v>
      </c>
    </row>
    <row r="10547" spans="1:9" x14ac:dyDescent="0.25">
      <c r="A10547">
        <v>20140619</v>
      </c>
      <c r="B10547" t="str">
        <f t="shared" si="607"/>
        <v>116329</v>
      </c>
      <c r="C10547" t="str">
        <f t="shared" si="608"/>
        <v>70776</v>
      </c>
      <c r="D10547" t="s">
        <v>2413</v>
      </c>
      <c r="E10547">
        <v>105</v>
      </c>
      <c r="F10547">
        <v>20140612</v>
      </c>
      <c r="G10547" t="s">
        <v>1153</v>
      </c>
      <c r="H10547" t="s">
        <v>4563</v>
      </c>
      <c r="I10547" t="s">
        <v>61</v>
      </c>
    </row>
    <row r="10548" spans="1:9" x14ac:dyDescent="0.25">
      <c r="A10548">
        <v>20140619</v>
      </c>
      <c r="B10548" t="str">
        <f>"116330"</f>
        <v>116330</v>
      </c>
      <c r="C10548" t="str">
        <f>"74338"</f>
        <v>74338</v>
      </c>
      <c r="D10548" t="s">
        <v>2773</v>
      </c>
      <c r="E10548">
        <v>45.15</v>
      </c>
      <c r="F10548">
        <v>20140616</v>
      </c>
      <c r="G10548" t="s">
        <v>39</v>
      </c>
      <c r="H10548" t="s">
        <v>354</v>
      </c>
      <c r="I10548" t="s">
        <v>38</v>
      </c>
    </row>
    <row r="10549" spans="1:9" x14ac:dyDescent="0.25">
      <c r="A10549">
        <v>20140619</v>
      </c>
      <c r="B10549" t="str">
        <f>"116331"</f>
        <v>116331</v>
      </c>
      <c r="C10549" t="str">
        <f>"85763"</f>
        <v>85763</v>
      </c>
      <c r="D10549" t="s">
        <v>3792</v>
      </c>
      <c r="E10549" s="1">
        <v>1200</v>
      </c>
      <c r="F10549">
        <v>20140618</v>
      </c>
      <c r="G10549" t="s">
        <v>746</v>
      </c>
      <c r="H10549" t="s">
        <v>555</v>
      </c>
      <c r="I10549" t="s">
        <v>21</v>
      </c>
    </row>
    <row r="10550" spans="1:9" x14ac:dyDescent="0.25">
      <c r="A10550">
        <v>20140619</v>
      </c>
      <c r="B10550" t="str">
        <f>"116331"</f>
        <v>116331</v>
      </c>
      <c r="C10550" t="str">
        <f>"85763"</f>
        <v>85763</v>
      </c>
      <c r="D10550" t="s">
        <v>3792</v>
      </c>
      <c r="E10550">
        <v>640</v>
      </c>
      <c r="F10550">
        <v>20140618</v>
      </c>
      <c r="G10550" t="s">
        <v>746</v>
      </c>
      <c r="H10550" t="s">
        <v>555</v>
      </c>
      <c r="I10550" t="s">
        <v>21</v>
      </c>
    </row>
    <row r="10551" spans="1:9" x14ac:dyDescent="0.25">
      <c r="A10551">
        <v>20140619</v>
      </c>
      <c r="B10551" t="str">
        <f>"116332"</f>
        <v>116332</v>
      </c>
      <c r="C10551" t="str">
        <f>"87616"</f>
        <v>87616</v>
      </c>
      <c r="D10551" t="s">
        <v>711</v>
      </c>
      <c r="E10551">
        <v>150</v>
      </c>
      <c r="F10551">
        <v>20140612</v>
      </c>
      <c r="G10551" t="s">
        <v>3214</v>
      </c>
      <c r="H10551" t="s">
        <v>713</v>
      </c>
      <c r="I10551" t="s">
        <v>61</v>
      </c>
    </row>
    <row r="10552" spans="1:9" x14ac:dyDescent="0.25">
      <c r="A10552">
        <v>20140619</v>
      </c>
      <c r="B10552" t="str">
        <f>"116332"</f>
        <v>116332</v>
      </c>
      <c r="C10552" t="str">
        <f>"87616"</f>
        <v>87616</v>
      </c>
      <c r="D10552" t="s">
        <v>711</v>
      </c>
      <c r="E10552">
        <v>75</v>
      </c>
      <c r="F10552">
        <v>20140612</v>
      </c>
      <c r="G10552" t="s">
        <v>3214</v>
      </c>
      <c r="H10552" t="s">
        <v>713</v>
      </c>
      <c r="I10552" t="s">
        <v>61</v>
      </c>
    </row>
    <row r="10553" spans="1:9" x14ac:dyDescent="0.25">
      <c r="A10553">
        <v>20140619</v>
      </c>
      <c r="B10553" t="str">
        <f>"116333"</f>
        <v>116333</v>
      </c>
      <c r="C10553" t="str">
        <f>"76301"</f>
        <v>76301</v>
      </c>
      <c r="D10553" t="s">
        <v>1319</v>
      </c>
      <c r="E10553">
        <v>49</v>
      </c>
      <c r="F10553">
        <v>20140618</v>
      </c>
      <c r="G10553" t="s">
        <v>2737</v>
      </c>
      <c r="H10553" t="s">
        <v>1320</v>
      </c>
      <c r="I10553" t="s">
        <v>21</v>
      </c>
    </row>
    <row r="10554" spans="1:9" x14ac:dyDescent="0.25">
      <c r="A10554">
        <v>20140619</v>
      </c>
      <c r="B10554" t="str">
        <f>"116334"</f>
        <v>116334</v>
      </c>
      <c r="C10554" t="str">
        <f>"81358"</f>
        <v>81358</v>
      </c>
      <c r="D10554" t="s">
        <v>736</v>
      </c>
      <c r="E10554" s="1">
        <v>2875.26</v>
      </c>
      <c r="F10554">
        <v>20140618</v>
      </c>
      <c r="G10554" t="s">
        <v>1543</v>
      </c>
      <c r="H10554" t="s">
        <v>738</v>
      </c>
      <c r="I10554" t="s">
        <v>21</v>
      </c>
    </row>
    <row r="10555" spans="1:9" x14ac:dyDescent="0.25">
      <c r="A10555">
        <v>20140619</v>
      </c>
      <c r="B10555" t="str">
        <f>"116334"</f>
        <v>116334</v>
      </c>
      <c r="C10555" t="str">
        <f>"81358"</f>
        <v>81358</v>
      </c>
      <c r="D10555" t="s">
        <v>736</v>
      </c>
      <c r="E10555" s="1">
        <v>6247</v>
      </c>
      <c r="F10555">
        <v>20140618</v>
      </c>
      <c r="G10555" t="s">
        <v>737</v>
      </c>
      <c r="H10555" t="s">
        <v>738</v>
      </c>
      <c r="I10555" t="s">
        <v>21</v>
      </c>
    </row>
    <row r="10556" spans="1:9" x14ac:dyDescent="0.25">
      <c r="A10556">
        <v>20140619</v>
      </c>
      <c r="B10556" t="str">
        <f>"116335"</f>
        <v>116335</v>
      </c>
      <c r="C10556" t="str">
        <f>"85605"</f>
        <v>85605</v>
      </c>
      <c r="D10556" t="s">
        <v>1949</v>
      </c>
      <c r="E10556">
        <v>68.8</v>
      </c>
      <c r="F10556">
        <v>20140618</v>
      </c>
      <c r="G10556" t="s">
        <v>214</v>
      </c>
      <c r="H10556" t="s">
        <v>414</v>
      </c>
      <c r="I10556" t="s">
        <v>38</v>
      </c>
    </row>
    <row r="10557" spans="1:9" x14ac:dyDescent="0.25">
      <c r="A10557">
        <v>20140619</v>
      </c>
      <c r="B10557" t="str">
        <f>"116335"</f>
        <v>116335</v>
      </c>
      <c r="C10557" t="str">
        <f>"85605"</f>
        <v>85605</v>
      </c>
      <c r="D10557" t="s">
        <v>1949</v>
      </c>
      <c r="E10557">
        <v>39.22</v>
      </c>
      <c r="F10557">
        <v>20140618</v>
      </c>
      <c r="G10557" t="s">
        <v>214</v>
      </c>
      <c r="H10557" t="s">
        <v>414</v>
      </c>
      <c r="I10557" t="s">
        <v>38</v>
      </c>
    </row>
    <row r="10558" spans="1:9" x14ac:dyDescent="0.25">
      <c r="A10558">
        <v>20140619</v>
      </c>
      <c r="B10558" t="str">
        <f>"116335"</f>
        <v>116335</v>
      </c>
      <c r="C10558" t="str">
        <f>"85605"</f>
        <v>85605</v>
      </c>
      <c r="D10558" t="s">
        <v>1949</v>
      </c>
      <c r="E10558">
        <v>91.88</v>
      </c>
      <c r="F10558">
        <v>20140618</v>
      </c>
      <c r="G10558" t="s">
        <v>214</v>
      </c>
      <c r="H10558" t="s">
        <v>414</v>
      </c>
      <c r="I10558" t="s">
        <v>38</v>
      </c>
    </row>
    <row r="10559" spans="1:9" x14ac:dyDescent="0.25">
      <c r="A10559">
        <v>20140619</v>
      </c>
      <c r="B10559" t="str">
        <f>"116336"</f>
        <v>116336</v>
      </c>
      <c r="C10559" t="str">
        <f>"77705"</f>
        <v>77705</v>
      </c>
      <c r="D10559" t="s">
        <v>2312</v>
      </c>
      <c r="E10559" s="1">
        <v>3448.5</v>
      </c>
      <c r="F10559">
        <v>20140618</v>
      </c>
      <c r="G10559" t="s">
        <v>3899</v>
      </c>
      <c r="H10559" t="s">
        <v>4690</v>
      </c>
      <c r="I10559" t="s">
        <v>21</v>
      </c>
    </row>
    <row r="10560" spans="1:9" x14ac:dyDescent="0.25">
      <c r="A10560">
        <v>20140619</v>
      </c>
      <c r="B10560" t="str">
        <f>"116337"</f>
        <v>116337</v>
      </c>
      <c r="C10560" t="str">
        <f>"87086"</f>
        <v>87086</v>
      </c>
      <c r="D10560" t="s">
        <v>4691</v>
      </c>
      <c r="E10560">
        <v>40.25</v>
      </c>
      <c r="F10560">
        <v>20140618</v>
      </c>
      <c r="G10560" t="s">
        <v>1197</v>
      </c>
      <c r="H10560" t="s">
        <v>365</v>
      </c>
      <c r="I10560" t="s">
        <v>21</v>
      </c>
    </row>
    <row r="10561" spans="1:9" x14ac:dyDescent="0.25">
      <c r="A10561">
        <v>20140619</v>
      </c>
      <c r="B10561" t="str">
        <f>"116338"</f>
        <v>116338</v>
      </c>
      <c r="C10561" t="str">
        <f>"85102"</f>
        <v>85102</v>
      </c>
      <c r="D10561" t="s">
        <v>4692</v>
      </c>
      <c r="E10561">
        <v>8.2200000000000006</v>
      </c>
      <c r="F10561">
        <v>20140618</v>
      </c>
      <c r="G10561" t="s">
        <v>214</v>
      </c>
      <c r="H10561" t="s">
        <v>354</v>
      </c>
      <c r="I10561" t="s">
        <v>38</v>
      </c>
    </row>
    <row r="10562" spans="1:9" x14ac:dyDescent="0.25">
      <c r="A10562">
        <v>20140619</v>
      </c>
      <c r="B10562" t="str">
        <f>"116339"</f>
        <v>116339</v>
      </c>
      <c r="C10562" t="str">
        <f>"79625"</f>
        <v>79625</v>
      </c>
      <c r="D10562" t="s">
        <v>1331</v>
      </c>
      <c r="E10562">
        <v>80.56</v>
      </c>
      <c r="F10562">
        <v>20140618</v>
      </c>
      <c r="G10562" t="s">
        <v>810</v>
      </c>
      <c r="H10562" t="s">
        <v>365</v>
      </c>
      <c r="I10562" t="s">
        <v>66</v>
      </c>
    </row>
    <row r="10563" spans="1:9" x14ac:dyDescent="0.25">
      <c r="A10563">
        <v>20140619</v>
      </c>
      <c r="B10563" t="str">
        <f>"116339"</f>
        <v>116339</v>
      </c>
      <c r="C10563" t="str">
        <f>"79625"</f>
        <v>79625</v>
      </c>
      <c r="D10563" t="s">
        <v>1331</v>
      </c>
      <c r="E10563">
        <v>181.21</v>
      </c>
      <c r="F10563">
        <v>20140618</v>
      </c>
      <c r="G10563" t="s">
        <v>2895</v>
      </c>
      <c r="H10563" t="s">
        <v>365</v>
      </c>
      <c r="I10563" t="s">
        <v>66</v>
      </c>
    </row>
    <row r="10564" spans="1:9" x14ac:dyDescent="0.25">
      <c r="A10564">
        <v>20140626</v>
      </c>
      <c r="B10564" t="str">
        <f>"116340"</f>
        <v>116340</v>
      </c>
      <c r="C10564" t="str">
        <f>"00954"</f>
        <v>00954</v>
      </c>
      <c r="D10564" t="s">
        <v>445</v>
      </c>
      <c r="E10564">
        <v>28.5</v>
      </c>
      <c r="F10564">
        <v>20140625</v>
      </c>
      <c r="G10564" t="s">
        <v>3820</v>
      </c>
      <c r="H10564" t="s">
        <v>4693</v>
      </c>
      <c r="I10564" t="s">
        <v>21</v>
      </c>
    </row>
    <row r="10565" spans="1:9" x14ac:dyDescent="0.25">
      <c r="A10565">
        <v>20140626</v>
      </c>
      <c r="B10565" t="str">
        <f>"116341"</f>
        <v>116341</v>
      </c>
      <c r="C10565" t="str">
        <f>"00120"</f>
        <v>00120</v>
      </c>
      <c r="D10565" t="s">
        <v>336</v>
      </c>
      <c r="E10565">
        <v>109.38</v>
      </c>
      <c r="F10565">
        <v>20140623</v>
      </c>
      <c r="G10565" t="s">
        <v>337</v>
      </c>
      <c r="H10565" t="s">
        <v>766</v>
      </c>
      <c r="I10565" t="s">
        <v>21</v>
      </c>
    </row>
    <row r="10566" spans="1:9" x14ac:dyDescent="0.25">
      <c r="A10566">
        <v>20140626</v>
      </c>
      <c r="B10566" t="str">
        <f>"116342"</f>
        <v>116342</v>
      </c>
      <c r="C10566" t="str">
        <f>"86684"</f>
        <v>86684</v>
      </c>
      <c r="D10566" t="s">
        <v>4694</v>
      </c>
      <c r="E10566">
        <v>93.74</v>
      </c>
      <c r="F10566">
        <v>20140623</v>
      </c>
      <c r="G10566" t="s">
        <v>2432</v>
      </c>
      <c r="H10566" t="s">
        <v>365</v>
      </c>
      <c r="I10566" t="s">
        <v>66</v>
      </c>
    </row>
    <row r="10567" spans="1:9" x14ac:dyDescent="0.25">
      <c r="A10567">
        <v>20140626</v>
      </c>
      <c r="B10567" t="str">
        <f>"116343"</f>
        <v>116343</v>
      </c>
      <c r="C10567" t="str">
        <f>"52460"</f>
        <v>52460</v>
      </c>
      <c r="D10567" t="s">
        <v>452</v>
      </c>
      <c r="E10567">
        <v>293.14999999999998</v>
      </c>
      <c r="F10567">
        <v>20140625</v>
      </c>
      <c r="G10567" t="s">
        <v>156</v>
      </c>
      <c r="H10567" t="s">
        <v>4695</v>
      </c>
      <c r="I10567" t="s">
        <v>25</v>
      </c>
    </row>
    <row r="10568" spans="1:9" x14ac:dyDescent="0.25">
      <c r="A10568">
        <v>20140626</v>
      </c>
      <c r="B10568" t="str">
        <f>"116344"</f>
        <v>116344</v>
      </c>
      <c r="C10568" t="str">
        <f>"00255"</f>
        <v>00255</v>
      </c>
      <c r="D10568" t="s">
        <v>489</v>
      </c>
      <c r="E10568">
        <v>216.9</v>
      </c>
      <c r="F10568">
        <v>20140623</v>
      </c>
      <c r="G10568" t="s">
        <v>1186</v>
      </c>
      <c r="H10568" t="s">
        <v>488</v>
      </c>
      <c r="I10568" t="s">
        <v>21</v>
      </c>
    </row>
    <row r="10569" spans="1:9" x14ac:dyDescent="0.25">
      <c r="A10569">
        <v>20140626</v>
      </c>
      <c r="B10569" t="str">
        <f>"116345"</f>
        <v>116345</v>
      </c>
      <c r="C10569" t="str">
        <f>"87900"</f>
        <v>87900</v>
      </c>
      <c r="D10569" t="s">
        <v>4696</v>
      </c>
      <c r="E10569">
        <v>255.88</v>
      </c>
      <c r="F10569">
        <v>20140625</v>
      </c>
      <c r="G10569" t="s">
        <v>1300</v>
      </c>
      <c r="H10569" t="s">
        <v>365</v>
      </c>
      <c r="I10569" t="s">
        <v>66</v>
      </c>
    </row>
    <row r="10570" spans="1:9" x14ac:dyDescent="0.25">
      <c r="A10570">
        <v>20140626</v>
      </c>
      <c r="B10570" t="str">
        <f>"116346"</f>
        <v>116346</v>
      </c>
      <c r="C10570" t="str">
        <f>"00213"</f>
        <v>00213</v>
      </c>
      <c r="D10570" t="s">
        <v>1006</v>
      </c>
      <c r="E10570">
        <v>677.9</v>
      </c>
      <c r="F10570">
        <v>20140623</v>
      </c>
      <c r="G10570" t="s">
        <v>506</v>
      </c>
      <c r="H10570" t="s">
        <v>414</v>
      </c>
      <c r="I10570" t="s">
        <v>21</v>
      </c>
    </row>
    <row r="10571" spans="1:9" x14ac:dyDescent="0.25">
      <c r="A10571">
        <v>20140626</v>
      </c>
      <c r="B10571" t="str">
        <f>"116347"</f>
        <v>116347</v>
      </c>
      <c r="C10571" t="str">
        <f>"84154"</f>
        <v>84154</v>
      </c>
      <c r="D10571" t="s">
        <v>3983</v>
      </c>
      <c r="E10571">
        <v>280.45999999999998</v>
      </c>
      <c r="F10571">
        <v>20140623</v>
      </c>
      <c r="G10571" t="s">
        <v>1522</v>
      </c>
      <c r="H10571" t="s">
        <v>365</v>
      </c>
      <c r="I10571" t="s">
        <v>21</v>
      </c>
    </row>
    <row r="10572" spans="1:9" x14ac:dyDescent="0.25">
      <c r="A10572">
        <v>20140626</v>
      </c>
      <c r="B10572" t="str">
        <f>"116348"</f>
        <v>116348</v>
      </c>
      <c r="C10572" t="str">
        <f>"12140"</f>
        <v>12140</v>
      </c>
      <c r="D10572" t="s">
        <v>406</v>
      </c>
      <c r="E10572" s="1">
        <v>50004.4</v>
      </c>
      <c r="F10572">
        <v>20140625</v>
      </c>
      <c r="G10572" t="s">
        <v>404</v>
      </c>
      <c r="H10572" t="s">
        <v>408</v>
      </c>
      <c r="I10572" t="s">
        <v>12</v>
      </c>
    </row>
    <row r="10573" spans="1:9" x14ac:dyDescent="0.25">
      <c r="A10573">
        <v>20140626</v>
      </c>
      <c r="B10573" t="str">
        <f>"116349"</f>
        <v>116349</v>
      </c>
      <c r="C10573" t="str">
        <f>"85012"</f>
        <v>85012</v>
      </c>
      <c r="D10573" t="s">
        <v>4697</v>
      </c>
      <c r="E10573">
        <v>37.299999999999997</v>
      </c>
      <c r="F10573">
        <v>20140625</v>
      </c>
      <c r="G10573" t="s">
        <v>4371</v>
      </c>
      <c r="H10573" t="s">
        <v>365</v>
      </c>
      <c r="I10573" t="s">
        <v>66</v>
      </c>
    </row>
    <row r="10574" spans="1:9" x14ac:dyDescent="0.25">
      <c r="A10574">
        <v>20140626</v>
      </c>
      <c r="B10574" t="str">
        <f>"116350"</f>
        <v>116350</v>
      </c>
      <c r="C10574" t="str">
        <f>"85759"</f>
        <v>85759</v>
      </c>
      <c r="D10574" t="s">
        <v>4409</v>
      </c>
      <c r="E10574" s="1">
        <v>8544</v>
      </c>
      <c r="F10574">
        <v>20140625</v>
      </c>
      <c r="G10574" t="s">
        <v>840</v>
      </c>
      <c r="H10574" t="s">
        <v>4698</v>
      </c>
      <c r="I10574" t="s">
        <v>21</v>
      </c>
    </row>
    <row r="10575" spans="1:9" x14ac:dyDescent="0.25">
      <c r="A10575">
        <v>20140626</v>
      </c>
      <c r="B10575" t="str">
        <f>"116351"</f>
        <v>116351</v>
      </c>
      <c r="C10575" t="str">
        <f>"19800"</f>
        <v>19800</v>
      </c>
      <c r="D10575" t="s">
        <v>1034</v>
      </c>
      <c r="E10575">
        <v>41.95</v>
      </c>
      <c r="F10575">
        <v>20140625</v>
      </c>
      <c r="G10575" t="s">
        <v>181</v>
      </c>
      <c r="H10575" t="s">
        <v>4699</v>
      </c>
      <c r="I10575" t="s">
        <v>38</v>
      </c>
    </row>
    <row r="10576" spans="1:9" x14ac:dyDescent="0.25">
      <c r="A10576">
        <v>20140626</v>
      </c>
      <c r="B10576" t="str">
        <f>"116351"</f>
        <v>116351</v>
      </c>
      <c r="C10576" t="str">
        <f>"19800"</f>
        <v>19800</v>
      </c>
      <c r="D10576" t="s">
        <v>1034</v>
      </c>
      <c r="E10576">
        <v>108</v>
      </c>
      <c r="F10576">
        <v>20140625</v>
      </c>
      <c r="G10576" t="s">
        <v>289</v>
      </c>
      <c r="H10576" t="s">
        <v>4699</v>
      </c>
      <c r="I10576" t="s">
        <v>38</v>
      </c>
    </row>
    <row r="10577" spans="1:9" x14ac:dyDescent="0.25">
      <c r="A10577">
        <v>20140626</v>
      </c>
      <c r="B10577" t="str">
        <f>"116351"</f>
        <v>116351</v>
      </c>
      <c r="C10577" t="str">
        <f>"19800"</f>
        <v>19800</v>
      </c>
      <c r="D10577" t="s">
        <v>1034</v>
      </c>
      <c r="E10577">
        <v>55.11</v>
      </c>
      <c r="F10577">
        <v>20140625</v>
      </c>
      <c r="G10577" t="s">
        <v>637</v>
      </c>
      <c r="H10577" t="s">
        <v>4699</v>
      </c>
      <c r="I10577" t="s">
        <v>38</v>
      </c>
    </row>
    <row r="10578" spans="1:9" x14ac:dyDescent="0.25">
      <c r="A10578">
        <v>20140626</v>
      </c>
      <c r="B10578" t="str">
        <f>"116351"</f>
        <v>116351</v>
      </c>
      <c r="C10578" t="str">
        <f>"19800"</f>
        <v>19800</v>
      </c>
      <c r="D10578" t="s">
        <v>1034</v>
      </c>
      <c r="E10578">
        <v>200.09</v>
      </c>
      <c r="F10578">
        <v>20140625</v>
      </c>
      <c r="G10578" t="s">
        <v>39</v>
      </c>
      <c r="H10578" t="s">
        <v>4699</v>
      </c>
      <c r="I10578" t="s">
        <v>38</v>
      </c>
    </row>
    <row r="10579" spans="1:9" x14ac:dyDescent="0.25">
      <c r="A10579">
        <v>20140626</v>
      </c>
      <c r="B10579" t="str">
        <f>"116352"</f>
        <v>116352</v>
      </c>
      <c r="C10579" t="str">
        <f>"81900"</f>
        <v>81900</v>
      </c>
      <c r="D10579" t="s">
        <v>4700</v>
      </c>
      <c r="E10579" s="1">
        <v>1473.68</v>
      </c>
      <c r="F10579">
        <v>20140625</v>
      </c>
      <c r="G10579" t="s">
        <v>926</v>
      </c>
      <c r="H10579" t="s">
        <v>4701</v>
      </c>
      <c r="I10579" t="s">
        <v>21</v>
      </c>
    </row>
    <row r="10580" spans="1:9" x14ac:dyDescent="0.25">
      <c r="A10580">
        <v>20140626</v>
      </c>
      <c r="B10580" t="str">
        <f>"116353"</f>
        <v>116353</v>
      </c>
      <c r="C10580" t="str">
        <f>"87732"</f>
        <v>87732</v>
      </c>
      <c r="D10580" t="s">
        <v>3284</v>
      </c>
      <c r="E10580">
        <v>17.86</v>
      </c>
      <c r="F10580">
        <v>20140623</v>
      </c>
      <c r="G10580" t="s">
        <v>810</v>
      </c>
      <c r="H10580" t="s">
        <v>365</v>
      </c>
      <c r="I10580" t="s">
        <v>66</v>
      </c>
    </row>
    <row r="10581" spans="1:9" x14ac:dyDescent="0.25">
      <c r="A10581">
        <v>20140626</v>
      </c>
      <c r="B10581" t="str">
        <f>"116354"</f>
        <v>116354</v>
      </c>
      <c r="C10581" t="str">
        <f>"81251"</f>
        <v>81251</v>
      </c>
      <c r="D10581" t="s">
        <v>1571</v>
      </c>
      <c r="E10581">
        <v>13.12</v>
      </c>
      <c r="F10581">
        <v>20140625</v>
      </c>
      <c r="G10581" t="s">
        <v>1404</v>
      </c>
      <c r="H10581" t="s">
        <v>4702</v>
      </c>
      <c r="I10581" t="s">
        <v>12</v>
      </c>
    </row>
    <row r="10582" spans="1:9" x14ac:dyDescent="0.25">
      <c r="A10582">
        <v>20140626</v>
      </c>
      <c r="B10582" t="str">
        <f>"116354"</f>
        <v>116354</v>
      </c>
      <c r="C10582" t="str">
        <f>"81251"</f>
        <v>81251</v>
      </c>
      <c r="D10582" t="s">
        <v>1571</v>
      </c>
      <c r="E10582">
        <v>26.95</v>
      </c>
      <c r="F10582">
        <v>20140625</v>
      </c>
      <c r="G10582" t="s">
        <v>331</v>
      </c>
      <c r="H10582" t="s">
        <v>4703</v>
      </c>
      <c r="I10582" t="s">
        <v>12</v>
      </c>
    </row>
    <row r="10583" spans="1:9" x14ac:dyDescent="0.25">
      <c r="A10583">
        <v>20140626</v>
      </c>
      <c r="B10583" t="str">
        <f>"116354"</f>
        <v>116354</v>
      </c>
      <c r="C10583" t="str">
        <f>"81251"</f>
        <v>81251</v>
      </c>
      <c r="D10583" t="s">
        <v>1571</v>
      </c>
      <c r="E10583">
        <v>40</v>
      </c>
      <c r="F10583">
        <v>20140625</v>
      </c>
      <c r="G10583" t="s">
        <v>202</v>
      </c>
      <c r="H10583" t="s">
        <v>3815</v>
      </c>
      <c r="I10583" t="s">
        <v>12</v>
      </c>
    </row>
    <row r="10584" spans="1:9" x14ac:dyDescent="0.25">
      <c r="A10584">
        <v>20140626</v>
      </c>
      <c r="B10584" t="str">
        <f>"116355"</f>
        <v>116355</v>
      </c>
      <c r="C10584" t="str">
        <f>"22200"</f>
        <v>22200</v>
      </c>
      <c r="D10584" t="s">
        <v>519</v>
      </c>
      <c r="E10584">
        <v>285.25</v>
      </c>
      <c r="F10584">
        <v>20140625</v>
      </c>
      <c r="G10584" t="s">
        <v>202</v>
      </c>
      <c r="H10584" t="s">
        <v>1394</v>
      </c>
      <c r="I10584" t="s">
        <v>12</v>
      </c>
    </row>
    <row r="10585" spans="1:9" x14ac:dyDescent="0.25">
      <c r="A10585">
        <v>20140626</v>
      </c>
      <c r="B10585" t="str">
        <f>"116356"</f>
        <v>116356</v>
      </c>
      <c r="C10585" t="str">
        <f>"22200"</f>
        <v>22200</v>
      </c>
      <c r="D10585" t="s">
        <v>519</v>
      </c>
      <c r="E10585">
        <v>51.43</v>
      </c>
      <c r="F10585">
        <v>20140623</v>
      </c>
      <c r="G10585" t="s">
        <v>496</v>
      </c>
      <c r="H10585" t="s">
        <v>3709</v>
      </c>
      <c r="I10585" t="s">
        <v>21</v>
      </c>
    </row>
    <row r="10586" spans="1:9" x14ac:dyDescent="0.25">
      <c r="A10586">
        <v>20140626</v>
      </c>
      <c r="B10586" t="str">
        <f>"116357"</f>
        <v>116357</v>
      </c>
      <c r="C10586" t="str">
        <f>"26180"</f>
        <v>26180</v>
      </c>
      <c r="D10586" t="s">
        <v>2933</v>
      </c>
      <c r="E10586" s="1">
        <v>2395</v>
      </c>
      <c r="F10586">
        <v>20140625</v>
      </c>
      <c r="G10586" t="s">
        <v>1271</v>
      </c>
      <c r="H10586" t="s">
        <v>4704</v>
      </c>
      <c r="I10586" t="s">
        <v>21</v>
      </c>
    </row>
    <row r="10587" spans="1:9" x14ac:dyDescent="0.25">
      <c r="A10587">
        <v>20140626</v>
      </c>
      <c r="B10587" t="str">
        <f>"116358"</f>
        <v>116358</v>
      </c>
      <c r="C10587" t="str">
        <f>"26990"</f>
        <v>26990</v>
      </c>
      <c r="D10587" t="s">
        <v>548</v>
      </c>
      <c r="E10587">
        <v>40</v>
      </c>
      <c r="F10587">
        <v>20140623</v>
      </c>
      <c r="G10587" t="s">
        <v>810</v>
      </c>
      <c r="H10587" t="s">
        <v>1410</v>
      </c>
      <c r="I10587" t="s">
        <v>66</v>
      </c>
    </row>
    <row r="10588" spans="1:9" x14ac:dyDescent="0.25">
      <c r="A10588">
        <v>20140626</v>
      </c>
      <c r="B10588" t="str">
        <f>"116359"</f>
        <v>116359</v>
      </c>
      <c r="C10588" t="str">
        <f>"87592"</f>
        <v>87592</v>
      </c>
      <c r="D10588" t="s">
        <v>1985</v>
      </c>
      <c r="E10588">
        <v>248.17</v>
      </c>
      <c r="F10588">
        <v>20140626</v>
      </c>
      <c r="G10588" t="s">
        <v>1227</v>
      </c>
      <c r="H10588" t="s">
        <v>365</v>
      </c>
      <c r="I10588" t="s">
        <v>21</v>
      </c>
    </row>
    <row r="10589" spans="1:9" x14ac:dyDescent="0.25">
      <c r="A10589">
        <v>20140626</v>
      </c>
      <c r="B10589" t="str">
        <f>"116360"</f>
        <v>116360</v>
      </c>
      <c r="C10589" t="str">
        <f>"86971"</f>
        <v>86971</v>
      </c>
      <c r="D10589" t="s">
        <v>586</v>
      </c>
      <c r="E10589">
        <v>211.26</v>
      </c>
      <c r="F10589">
        <v>20140625</v>
      </c>
      <c r="G10589" t="s">
        <v>922</v>
      </c>
      <c r="H10589" t="s">
        <v>365</v>
      </c>
      <c r="I10589" t="s">
        <v>66</v>
      </c>
    </row>
    <row r="10590" spans="1:9" x14ac:dyDescent="0.25">
      <c r="A10590">
        <v>20140626</v>
      </c>
      <c r="B10590" t="str">
        <f>"116360"</f>
        <v>116360</v>
      </c>
      <c r="C10590" t="str">
        <f>"86971"</f>
        <v>86971</v>
      </c>
      <c r="D10590" t="s">
        <v>586</v>
      </c>
      <c r="E10590">
        <v>135</v>
      </c>
      <c r="F10590">
        <v>20140625</v>
      </c>
      <c r="G10590" t="s">
        <v>214</v>
      </c>
      <c r="H10590" t="s">
        <v>799</v>
      </c>
      <c r="I10590" t="s">
        <v>38</v>
      </c>
    </row>
    <row r="10591" spans="1:9" x14ac:dyDescent="0.25">
      <c r="A10591">
        <v>20140626</v>
      </c>
      <c r="B10591" t="str">
        <f>"116361"</f>
        <v>116361</v>
      </c>
      <c r="C10591" t="str">
        <f>"85168"</f>
        <v>85168</v>
      </c>
      <c r="D10591" t="s">
        <v>1077</v>
      </c>
      <c r="E10591">
        <v>592.73</v>
      </c>
      <c r="F10591">
        <v>20140625</v>
      </c>
      <c r="G10591" t="s">
        <v>181</v>
      </c>
      <c r="H10591" t="s">
        <v>354</v>
      </c>
      <c r="I10591" t="s">
        <v>38</v>
      </c>
    </row>
    <row r="10592" spans="1:9" x14ac:dyDescent="0.25">
      <c r="A10592">
        <v>20140626</v>
      </c>
      <c r="B10592" t="str">
        <f>"116362"</f>
        <v>116362</v>
      </c>
      <c r="C10592" t="str">
        <f>"87456"</f>
        <v>87456</v>
      </c>
      <c r="D10592" t="s">
        <v>1434</v>
      </c>
      <c r="E10592" s="1">
        <v>42729</v>
      </c>
      <c r="F10592">
        <v>20140624</v>
      </c>
      <c r="G10592" t="s">
        <v>1281</v>
      </c>
      <c r="H10592" t="s">
        <v>4705</v>
      </c>
      <c r="I10592" t="s">
        <v>21</v>
      </c>
    </row>
    <row r="10593" spans="1:9" x14ac:dyDescent="0.25">
      <c r="A10593">
        <v>20140626</v>
      </c>
      <c r="B10593" t="str">
        <f>"116363"</f>
        <v>116363</v>
      </c>
      <c r="C10593" t="str">
        <f>"84980"</f>
        <v>84980</v>
      </c>
      <c r="D10593" t="s">
        <v>591</v>
      </c>
      <c r="E10593">
        <v>27.41</v>
      </c>
      <c r="F10593">
        <v>20140624</v>
      </c>
      <c r="G10593" t="s">
        <v>186</v>
      </c>
      <c r="H10593" t="s">
        <v>4706</v>
      </c>
      <c r="I10593" t="s">
        <v>61</v>
      </c>
    </row>
    <row r="10594" spans="1:9" x14ac:dyDescent="0.25">
      <c r="A10594">
        <v>20140626</v>
      </c>
      <c r="B10594" t="str">
        <f>"116364"</f>
        <v>116364</v>
      </c>
      <c r="C10594" t="str">
        <f>"87495"</f>
        <v>87495</v>
      </c>
      <c r="D10594" t="s">
        <v>859</v>
      </c>
      <c r="E10594" s="1">
        <v>1000</v>
      </c>
      <c r="F10594">
        <v>20140625</v>
      </c>
      <c r="G10594" t="s">
        <v>191</v>
      </c>
      <c r="H10594" t="s">
        <v>357</v>
      </c>
      <c r="I10594" t="s">
        <v>25</v>
      </c>
    </row>
    <row r="10595" spans="1:9" x14ac:dyDescent="0.25">
      <c r="A10595">
        <v>20140626</v>
      </c>
      <c r="B10595" t="str">
        <f>"116365"</f>
        <v>116365</v>
      </c>
      <c r="C10595" t="str">
        <f>"84827"</f>
        <v>84827</v>
      </c>
      <c r="D10595" t="s">
        <v>4707</v>
      </c>
      <c r="E10595">
        <v>163.19999999999999</v>
      </c>
      <c r="F10595">
        <v>20140625</v>
      </c>
      <c r="G10595" t="s">
        <v>1167</v>
      </c>
      <c r="H10595" t="s">
        <v>414</v>
      </c>
      <c r="I10595" t="s">
        <v>21</v>
      </c>
    </row>
    <row r="10596" spans="1:9" x14ac:dyDescent="0.25">
      <c r="A10596">
        <v>20140626</v>
      </c>
      <c r="B10596" t="str">
        <f>"116365"</f>
        <v>116365</v>
      </c>
      <c r="C10596" t="str">
        <f>"84827"</f>
        <v>84827</v>
      </c>
      <c r="D10596" t="s">
        <v>4707</v>
      </c>
      <c r="E10596">
        <v>177.76</v>
      </c>
      <c r="F10596">
        <v>20140625</v>
      </c>
      <c r="G10596" t="s">
        <v>1167</v>
      </c>
      <c r="H10596" t="s">
        <v>414</v>
      </c>
      <c r="I10596" t="s">
        <v>21</v>
      </c>
    </row>
    <row r="10597" spans="1:9" x14ac:dyDescent="0.25">
      <c r="A10597">
        <v>20140626</v>
      </c>
      <c r="B10597" t="str">
        <f>"116366"</f>
        <v>116366</v>
      </c>
      <c r="C10597" t="str">
        <f>"85776"</f>
        <v>85776</v>
      </c>
      <c r="D10597" t="s">
        <v>4708</v>
      </c>
      <c r="E10597">
        <v>800</v>
      </c>
      <c r="F10597">
        <v>20140623</v>
      </c>
      <c r="G10597" t="s">
        <v>48</v>
      </c>
      <c r="H10597" t="s">
        <v>4709</v>
      </c>
      <c r="I10597" t="s">
        <v>25</v>
      </c>
    </row>
    <row r="10598" spans="1:9" x14ac:dyDescent="0.25">
      <c r="A10598">
        <v>20140626</v>
      </c>
      <c r="B10598" t="str">
        <f>"116367"</f>
        <v>116367</v>
      </c>
      <c r="C10598" t="str">
        <f>"83880"</f>
        <v>83880</v>
      </c>
      <c r="D10598" t="s">
        <v>865</v>
      </c>
      <c r="E10598">
        <v>93.85</v>
      </c>
      <c r="F10598">
        <v>20140623</v>
      </c>
      <c r="G10598" t="s">
        <v>41</v>
      </c>
      <c r="H10598" t="s">
        <v>354</v>
      </c>
      <c r="I10598" t="s">
        <v>38</v>
      </c>
    </row>
    <row r="10599" spans="1:9" x14ac:dyDescent="0.25">
      <c r="A10599">
        <v>20140626</v>
      </c>
      <c r="B10599" t="str">
        <f>"116368"</f>
        <v>116368</v>
      </c>
      <c r="C10599" t="str">
        <f>"87902"</f>
        <v>87902</v>
      </c>
      <c r="D10599" t="s">
        <v>4710</v>
      </c>
      <c r="E10599">
        <v>195.93</v>
      </c>
      <c r="F10599">
        <v>20140625</v>
      </c>
      <c r="G10599" t="s">
        <v>1227</v>
      </c>
      <c r="H10599" t="s">
        <v>365</v>
      </c>
      <c r="I10599" t="s">
        <v>21</v>
      </c>
    </row>
    <row r="10600" spans="1:9" x14ac:dyDescent="0.25">
      <c r="A10600">
        <v>20140626</v>
      </c>
      <c r="B10600" t="str">
        <f>"116369"</f>
        <v>116369</v>
      </c>
      <c r="C10600" t="str">
        <f>"87363"</f>
        <v>87363</v>
      </c>
      <c r="D10600" t="s">
        <v>3355</v>
      </c>
      <c r="E10600">
        <v>40</v>
      </c>
      <c r="F10600">
        <v>20140623</v>
      </c>
      <c r="G10600" t="s">
        <v>189</v>
      </c>
      <c r="H10600" t="s">
        <v>354</v>
      </c>
      <c r="I10600" t="s">
        <v>25</v>
      </c>
    </row>
    <row r="10601" spans="1:9" x14ac:dyDescent="0.25">
      <c r="A10601">
        <v>20140626</v>
      </c>
      <c r="B10601" t="str">
        <f>"116369"</f>
        <v>116369</v>
      </c>
      <c r="C10601" t="str">
        <f>"87363"</f>
        <v>87363</v>
      </c>
      <c r="D10601" t="s">
        <v>3355</v>
      </c>
      <c r="E10601">
        <v>140.01</v>
      </c>
      <c r="F10601">
        <v>20140623</v>
      </c>
      <c r="G10601" t="s">
        <v>189</v>
      </c>
      <c r="H10601" t="s">
        <v>354</v>
      </c>
      <c r="I10601" t="s">
        <v>25</v>
      </c>
    </row>
    <row r="10602" spans="1:9" x14ac:dyDescent="0.25">
      <c r="A10602">
        <v>20140626</v>
      </c>
      <c r="B10602" t="str">
        <f>"116369"</f>
        <v>116369</v>
      </c>
      <c r="C10602" t="str">
        <f>"87363"</f>
        <v>87363</v>
      </c>
      <c r="D10602" t="s">
        <v>3355</v>
      </c>
      <c r="E10602">
        <v>68.03</v>
      </c>
      <c r="F10602">
        <v>20140625</v>
      </c>
      <c r="G10602" t="s">
        <v>189</v>
      </c>
      <c r="H10602" t="s">
        <v>354</v>
      </c>
      <c r="I10602" t="s">
        <v>25</v>
      </c>
    </row>
    <row r="10603" spans="1:9" x14ac:dyDescent="0.25">
      <c r="A10603">
        <v>20140626</v>
      </c>
      <c r="B10603" t="str">
        <f>"116370"</f>
        <v>116370</v>
      </c>
      <c r="C10603" t="str">
        <f>"39190"</f>
        <v>39190</v>
      </c>
      <c r="D10603" t="s">
        <v>1100</v>
      </c>
      <c r="E10603" s="1">
        <v>1913.47</v>
      </c>
      <c r="F10603">
        <v>20140623</v>
      </c>
      <c r="G10603" t="s">
        <v>742</v>
      </c>
      <c r="H10603" t="s">
        <v>743</v>
      </c>
      <c r="I10603" t="s">
        <v>21</v>
      </c>
    </row>
    <row r="10604" spans="1:9" x14ac:dyDescent="0.25">
      <c r="A10604">
        <v>20140626</v>
      </c>
      <c r="B10604" t="str">
        <f>"116371"</f>
        <v>116371</v>
      </c>
      <c r="C10604" t="str">
        <f>"87244"</f>
        <v>87244</v>
      </c>
      <c r="D10604" t="s">
        <v>3668</v>
      </c>
      <c r="E10604" s="1">
        <v>3098.63</v>
      </c>
      <c r="F10604">
        <v>20140625</v>
      </c>
      <c r="G10604" t="s">
        <v>181</v>
      </c>
      <c r="H10604" t="s">
        <v>3669</v>
      </c>
      <c r="I10604" t="s">
        <v>38</v>
      </c>
    </row>
    <row r="10605" spans="1:9" x14ac:dyDescent="0.25">
      <c r="A10605">
        <v>20140626</v>
      </c>
      <c r="B10605" t="str">
        <f>"116371"</f>
        <v>116371</v>
      </c>
      <c r="C10605" t="str">
        <f>"87244"</f>
        <v>87244</v>
      </c>
      <c r="D10605" t="s">
        <v>3668</v>
      </c>
      <c r="E10605">
        <v>-316.95</v>
      </c>
      <c r="F10605">
        <v>20140626</v>
      </c>
      <c r="G10605" t="s">
        <v>181</v>
      </c>
      <c r="H10605" t="s">
        <v>3669</v>
      </c>
      <c r="I10605" t="s">
        <v>38</v>
      </c>
    </row>
    <row r="10606" spans="1:9" x14ac:dyDescent="0.25">
      <c r="A10606">
        <v>20140626</v>
      </c>
      <c r="B10606" t="str">
        <f>"116372"</f>
        <v>116372</v>
      </c>
      <c r="C10606" t="str">
        <f>"40448"</f>
        <v>40448</v>
      </c>
      <c r="D10606" t="s">
        <v>613</v>
      </c>
      <c r="E10606">
        <v>364</v>
      </c>
      <c r="F10606">
        <v>20140623</v>
      </c>
      <c r="G10606" t="s">
        <v>340</v>
      </c>
      <c r="H10606" t="s">
        <v>4711</v>
      </c>
      <c r="I10606" t="s">
        <v>21</v>
      </c>
    </row>
    <row r="10607" spans="1:9" x14ac:dyDescent="0.25">
      <c r="A10607">
        <v>20140626</v>
      </c>
      <c r="B10607" t="str">
        <f>"116373"</f>
        <v>116373</v>
      </c>
      <c r="C10607" t="str">
        <f>"85122"</f>
        <v>85122</v>
      </c>
      <c r="D10607" t="s">
        <v>1103</v>
      </c>
      <c r="E10607">
        <v>15.1</v>
      </c>
      <c r="F10607">
        <v>20140623</v>
      </c>
      <c r="G10607" t="s">
        <v>364</v>
      </c>
      <c r="H10607" t="s">
        <v>365</v>
      </c>
      <c r="I10607" t="s">
        <v>21</v>
      </c>
    </row>
    <row r="10608" spans="1:9" x14ac:dyDescent="0.25">
      <c r="A10608">
        <v>20140626</v>
      </c>
      <c r="B10608" t="str">
        <f>"116374"</f>
        <v>116374</v>
      </c>
      <c r="C10608" t="str">
        <f>"84161"</f>
        <v>84161</v>
      </c>
      <c r="D10608" t="s">
        <v>1767</v>
      </c>
      <c r="E10608">
        <v>83.26</v>
      </c>
      <c r="F10608">
        <v>20140623</v>
      </c>
      <c r="G10608" t="s">
        <v>810</v>
      </c>
      <c r="H10608" t="s">
        <v>365</v>
      </c>
      <c r="I10608" t="s">
        <v>66</v>
      </c>
    </row>
    <row r="10609" spans="1:9" x14ac:dyDescent="0.25">
      <c r="A10609">
        <v>20140626</v>
      </c>
      <c r="B10609" t="str">
        <f>"116375"</f>
        <v>116375</v>
      </c>
      <c r="C10609" t="str">
        <f>"82061"</f>
        <v>82061</v>
      </c>
      <c r="D10609" t="s">
        <v>1998</v>
      </c>
      <c r="E10609">
        <v>350</v>
      </c>
      <c r="F10609">
        <v>20140625</v>
      </c>
      <c r="G10609" t="s">
        <v>340</v>
      </c>
      <c r="H10609" t="s">
        <v>3932</v>
      </c>
      <c r="I10609" t="s">
        <v>21</v>
      </c>
    </row>
    <row r="10610" spans="1:9" x14ac:dyDescent="0.25">
      <c r="A10610">
        <v>20140626</v>
      </c>
      <c r="B10610" t="str">
        <f>"116376"</f>
        <v>116376</v>
      </c>
      <c r="C10610" t="str">
        <f>"87567"</f>
        <v>87567</v>
      </c>
      <c r="D10610" t="s">
        <v>1768</v>
      </c>
      <c r="E10610">
        <v>280.72000000000003</v>
      </c>
      <c r="F10610">
        <v>20140625</v>
      </c>
      <c r="G10610" t="s">
        <v>498</v>
      </c>
      <c r="H10610" t="s">
        <v>499</v>
      </c>
      <c r="I10610" t="s">
        <v>21</v>
      </c>
    </row>
    <row r="10611" spans="1:9" x14ac:dyDescent="0.25">
      <c r="A10611">
        <v>20140626</v>
      </c>
      <c r="B10611" t="str">
        <f>"116377"</f>
        <v>116377</v>
      </c>
      <c r="C10611" t="str">
        <f>"87506"</f>
        <v>87506</v>
      </c>
      <c r="D10611" t="s">
        <v>897</v>
      </c>
      <c r="E10611">
        <v>32</v>
      </c>
      <c r="F10611">
        <v>20140623</v>
      </c>
      <c r="G10611" t="s">
        <v>189</v>
      </c>
      <c r="H10611" t="s">
        <v>354</v>
      </c>
      <c r="I10611" t="s">
        <v>25</v>
      </c>
    </row>
    <row r="10612" spans="1:9" x14ac:dyDescent="0.25">
      <c r="A10612">
        <v>20140626</v>
      </c>
      <c r="B10612" t="str">
        <f>"116377"</f>
        <v>116377</v>
      </c>
      <c r="C10612" t="str">
        <f>"87506"</f>
        <v>87506</v>
      </c>
      <c r="D10612" t="s">
        <v>897</v>
      </c>
      <c r="E10612">
        <v>180</v>
      </c>
      <c r="F10612">
        <v>20140625</v>
      </c>
      <c r="G10612" t="s">
        <v>189</v>
      </c>
      <c r="H10612" t="s">
        <v>354</v>
      </c>
      <c r="I10612" t="s">
        <v>25</v>
      </c>
    </row>
    <row r="10613" spans="1:9" x14ac:dyDescent="0.25">
      <c r="A10613">
        <v>20140626</v>
      </c>
      <c r="B10613" t="str">
        <f>"116378"</f>
        <v>116378</v>
      </c>
      <c r="C10613" t="str">
        <f>"49833"</f>
        <v>49833</v>
      </c>
      <c r="D10613" t="s">
        <v>2010</v>
      </c>
      <c r="E10613" s="1">
        <v>4138</v>
      </c>
      <c r="F10613">
        <v>20140623</v>
      </c>
      <c r="G10613" t="s">
        <v>1943</v>
      </c>
      <c r="H10613" t="s">
        <v>2412</v>
      </c>
      <c r="I10613" t="s">
        <v>21</v>
      </c>
    </row>
    <row r="10614" spans="1:9" x14ac:dyDescent="0.25">
      <c r="A10614">
        <v>20140626</v>
      </c>
      <c r="B10614" t="str">
        <f>"116379"</f>
        <v>116379</v>
      </c>
      <c r="C10614" t="str">
        <f>"85770"</f>
        <v>85770</v>
      </c>
      <c r="D10614" t="s">
        <v>363</v>
      </c>
      <c r="E10614">
        <v>554.99</v>
      </c>
      <c r="F10614">
        <v>20140623</v>
      </c>
      <c r="G10614" t="s">
        <v>364</v>
      </c>
      <c r="H10614" t="s">
        <v>365</v>
      </c>
      <c r="I10614" t="s">
        <v>21</v>
      </c>
    </row>
    <row r="10615" spans="1:9" x14ac:dyDescent="0.25">
      <c r="A10615">
        <v>20140626</v>
      </c>
      <c r="B10615" t="str">
        <f>"116380"</f>
        <v>116380</v>
      </c>
      <c r="C10615" t="str">
        <f>"55625"</f>
        <v>55625</v>
      </c>
      <c r="D10615" t="s">
        <v>1639</v>
      </c>
      <c r="E10615">
        <v>24.99</v>
      </c>
      <c r="F10615">
        <v>20140625</v>
      </c>
      <c r="G10615" t="s">
        <v>206</v>
      </c>
      <c r="H10615" t="s">
        <v>1788</v>
      </c>
      <c r="I10615" t="s">
        <v>25</v>
      </c>
    </row>
    <row r="10616" spans="1:9" x14ac:dyDescent="0.25">
      <c r="A10616">
        <v>20140626</v>
      </c>
      <c r="B10616" t="str">
        <f>"116381"</f>
        <v>116381</v>
      </c>
      <c r="C10616" t="str">
        <f>"55675"</f>
        <v>55675</v>
      </c>
      <c r="D10616" t="s">
        <v>1114</v>
      </c>
      <c r="E10616">
        <v>69.989999999999995</v>
      </c>
      <c r="F10616">
        <v>20140623</v>
      </c>
      <c r="G10616" t="s">
        <v>506</v>
      </c>
      <c r="H10616" t="s">
        <v>1090</v>
      </c>
      <c r="I10616" t="s">
        <v>21</v>
      </c>
    </row>
    <row r="10617" spans="1:9" x14ac:dyDescent="0.25">
      <c r="A10617">
        <v>20140626</v>
      </c>
      <c r="B10617" t="str">
        <f>"116381"</f>
        <v>116381</v>
      </c>
      <c r="C10617" t="str">
        <f>"55675"</f>
        <v>55675</v>
      </c>
      <c r="D10617" t="s">
        <v>1114</v>
      </c>
      <c r="E10617">
        <v>65.97</v>
      </c>
      <c r="F10617">
        <v>20140625</v>
      </c>
      <c r="G10617" t="s">
        <v>1910</v>
      </c>
      <c r="H10617" t="s">
        <v>414</v>
      </c>
      <c r="I10617" t="s">
        <v>21</v>
      </c>
    </row>
    <row r="10618" spans="1:9" x14ac:dyDescent="0.25">
      <c r="A10618">
        <v>20140626</v>
      </c>
      <c r="B10618" t="str">
        <f>"116381"</f>
        <v>116381</v>
      </c>
      <c r="C10618" t="str">
        <f>"55675"</f>
        <v>55675</v>
      </c>
      <c r="D10618" t="s">
        <v>1114</v>
      </c>
      <c r="E10618">
        <v>76.03</v>
      </c>
      <c r="F10618">
        <v>20140625</v>
      </c>
      <c r="G10618" t="s">
        <v>1910</v>
      </c>
      <c r="H10618" t="s">
        <v>414</v>
      </c>
      <c r="I10618" t="s">
        <v>21</v>
      </c>
    </row>
    <row r="10619" spans="1:9" x14ac:dyDescent="0.25">
      <c r="A10619">
        <v>20140626</v>
      </c>
      <c r="B10619" t="str">
        <f>"116381"</f>
        <v>116381</v>
      </c>
      <c r="C10619" t="str">
        <f>"55675"</f>
        <v>55675</v>
      </c>
      <c r="D10619" t="s">
        <v>1114</v>
      </c>
      <c r="E10619">
        <v>143.86000000000001</v>
      </c>
      <c r="F10619">
        <v>20140625</v>
      </c>
      <c r="G10619" t="s">
        <v>206</v>
      </c>
      <c r="H10619" t="s">
        <v>414</v>
      </c>
      <c r="I10619" t="s">
        <v>25</v>
      </c>
    </row>
    <row r="10620" spans="1:9" x14ac:dyDescent="0.25">
      <c r="A10620">
        <v>20140626</v>
      </c>
      <c r="B10620" t="str">
        <f>"116382"</f>
        <v>116382</v>
      </c>
      <c r="C10620" t="str">
        <f>"55795"</f>
        <v>55795</v>
      </c>
      <c r="D10620" t="s">
        <v>931</v>
      </c>
      <c r="E10620">
        <v>892.38</v>
      </c>
      <c r="F10620">
        <v>20140623</v>
      </c>
      <c r="G10620" t="s">
        <v>1254</v>
      </c>
      <c r="H10620" t="s">
        <v>4712</v>
      </c>
      <c r="I10620" t="s">
        <v>79</v>
      </c>
    </row>
    <row r="10621" spans="1:9" x14ac:dyDescent="0.25">
      <c r="A10621">
        <v>20140626</v>
      </c>
      <c r="B10621" t="str">
        <f>"116383"</f>
        <v>116383</v>
      </c>
      <c r="C10621" t="str">
        <f>"86970"</f>
        <v>86970</v>
      </c>
      <c r="D10621" t="s">
        <v>4713</v>
      </c>
      <c r="E10621">
        <v>256.32</v>
      </c>
      <c r="F10621">
        <v>20140625</v>
      </c>
      <c r="G10621" t="s">
        <v>4370</v>
      </c>
      <c r="H10621" t="s">
        <v>365</v>
      </c>
      <c r="I10621" t="s">
        <v>21</v>
      </c>
    </row>
    <row r="10622" spans="1:9" x14ac:dyDescent="0.25">
      <c r="A10622">
        <v>20140626</v>
      </c>
      <c r="B10622" t="str">
        <f>"116384"</f>
        <v>116384</v>
      </c>
      <c r="C10622" t="str">
        <f>"57039"</f>
        <v>57039</v>
      </c>
      <c r="D10622" t="s">
        <v>4714</v>
      </c>
      <c r="E10622" s="1">
        <v>4350</v>
      </c>
      <c r="F10622">
        <v>20140623</v>
      </c>
      <c r="G10622" t="s">
        <v>3820</v>
      </c>
      <c r="H10622" t="s">
        <v>4715</v>
      </c>
      <c r="I10622" t="s">
        <v>21</v>
      </c>
    </row>
    <row r="10623" spans="1:9" x14ac:dyDescent="0.25">
      <c r="A10623">
        <v>20140626</v>
      </c>
      <c r="B10623" t="str">
        <f>"116385"</f>
        <v>116385</v>
      </c>
      <c r="C10623" t="str">
        <f>"86932"</f>
        <v>86932</v>
      </c>
      <c r="D10623" t="s">
        <v>2253</v>
      </c>
      <c r="E10623">
        <v>209.89</v>
      </c>
      <c r="F10623">
        <v>20140625</v>
      </c>
      <c r="G10623" t="s">
        <v>2663</v>
      </c>
      <c r="H10623" t="s">
        <v>365</v>
      </c>
      <c r="I10623" t="s">
        <v>21</v>
      </c>
    </row>
    <row r="10624" spans="1:9" x14ac:dyDescent="0.25">
      <c r="A10624">
        <v>20140626</v>
      </c>
      <c r="B10624" t="str">
        <f>"116386"</f>
        <v>116386</v>
      </c>
      <c r="C10624" t="str">
        <f>"86964"</f>
        <v>86964</v>
      </c>
      <c r="D10624" t="s">
        <v>1280</v>
      </c>
      <c r="E10624">
        <v>483.33</v>
      </c>
      <c r="F10624">
        <v>20140624</v>
      </c>
      <c r="G10624" t="s">
        <v>840</v>
      </c>
      <c r="H10624" t="s">
        <v>414</v>
      </c>
      <c r="I10624" t="s">
        <v>21</v>
      </c>
    </row>
    <row r="10625" spans="1:9" x14ac:dyDescent="0.25">
      <c r="A10625">
        <v>20140626</v>
      </c>
      <c r="B10625" t="str">
        <f>"116387"</f>
        <v>116387</v>
      </c>
      <c r="C10625" t="str">
        <f>"87641"</f>
        <v>87641</v>
      </c>
      <c r="D10625" t="s">
        <v>2559</v>
      </c>
      <c r="E10625">
        <v>303</v>
      </c>
      <c r="F10625">
        <v>20140625</v>
      </c>
      <c r="G10625" t="s">
        <v>181</v>
      </c>
      <c r="H10625" t="s">
        <v>4575</v>
      </c>
      <c r="I10625" t="s">
        <v>38</v>
      </c>
    </row>
    <row r="10626" spans="1:9" x14ac:dyDescent="0.25">
      <c r="A10626">
        <v>20140626</v>
      </c>
      <c r="B10626" t="str">
        <f>"116388"</f>
        <v>116388</v>
      </c>
      <c r="C10626" t="str">
        <f>"87901"</f>
        <v>87901</v>
      </c>
      <c r="D10626" t="s">
        <v>4716</v>
      </c>
      <c r="E10626">
        <v>71.88</v>
      </c>
      <c r="F10626">
        <v>20140625</v>
      </c>
      <c r="G10626" t="s">
        <v>845</v>
      </c>
      <c r="H10626" t="s">
        <v>357</v>
      </c>
      <c r="I10626" t="s">
        <v>73</v>
      </c>
    </row>
    <row r="10627" spans="1:9" x14ac:dyDescent="0.25">
      <c r="A10627">
        <v>20140626</v>
      </c>
      <c r="B10627" t="str">
        <f>"116389"</f>
        <v>116389</v>
      </c>
      <c r="C10627" t="str">
        <f>"87772"</f>
        <v>87772</v>
      </c>
      <c r="D10627" t="s">
        <v>3883</v>
      </c>
      <c r="E10627" s="1">
        <v>1244.8</v>
      </c>
      <c r="F10627">
        <v>20140624</v>
      </c>
      <c r="G10627" t="s">
        <v>734</v>
      </c>
      <c r="H10627" t="s">
        <v>4717</v>
      </c>
      <c r="I10627" t="s">
        <v>21</v>
      </c>
    </row>
    <row r="10628" spans="1:9" x14ac:dyDescent="0.25">
      <c r="A10628">
        <v>20140626</v>
      </c>
      <c r="B10628" t="str">
        <f>"116390"</f>
        <v>116390</v>
      </c>
      <c r="C10628" t="str">
        <f>"87463"</f>
        <v>87463</v>
      </c>
      <c r="D10628" t="s">
        <v>3433</v>
      </c>
      <c r="E10628">
        <v>6</v>
      </c>
      <c r="F10628">
        <v>20140625</v>
      </c>
      <c r="G10628" t="s">
        <v>840</v>
      </c>
      <c r="H10628" t="s">
        <v>354</v>
      </c>
      <c r="I10628" t="s">
        <v>21</v>
      </c>
    </row>
    <row r="10629" spans="1:9" x14ac:dyDescent="0.25">
      <c r="A10629">
        <v>20140626</v>
      </c>
      <c r="B10629" t="str">
        <f>"116391"</f>
        <v>116391</v>
      </c>
      <c r="C10629" t="str">
        <f>"82243"</f>
        <v>82243</v>
      </c>
      <c r="D10629" t="s">
        <v>1517</v>
      </c>
      <c r="E10629">
        <v>282.62</v>
      </c>
      <c r="F10629">
        <v>20140625</v>
      </c>
      <c r="G10629" t="s">
        <v>392</v>
      </c>
      <c r="H10629" t="s">
        <v>414</v>
      </c>
      <c r="I10629" t="s">
        <v>21</v>
      </c>
    </row>
    <row r="10630" spans="1:9" x14ac:dyDescent="0.25">
      <c r="A10630">
        <v>20140626</v>
      </c>
      <c r="B10630" t="str">
        <f>"116392"</f>
        <v>116392</v>
      </c>
      <c r="C10630" t="str">
        <f>"00754"</f>
        <v>00754</v>
      </c>
      <c r="D10630" t="s">
        <v>1301</v>
      </c>
      <c r="E10630" s="1">
        <v>3868.57</v>
      </c>
      <c r="F10630">
        <v>20140625</v>
      </c>
      <c r="G10630" t="s">
        <v>154</v>
      </c>
      <c r="H10630" t="s">
        <v>1207</v>
      </c>
      <c r="I10630" t="s">
        <v>25</v>
      </c>
    </row>
    <row r="10631" spans="1:9" x14ac:dyDescent="0.25">
      <c r="A10631">
        <v>20140626</v>
      </c>
      <c r="B10631" t="str">
        <f>"116392"</f>
        <v>116392</v>
      </c>
      <c r="C10631" t="str">
        <f>"00754"</f>
        <v>00754</v>
      </c>
      <c r="D10631" t="s">
        <v>1301</v>
      </c>
      <c r="E10631" s="1">
        <v>2260</v>
      </c>
      <c r="F10631">
        <v>20140625</v>
      </c>
      <c r="G10631" t="s">
        <v>156</v>
      </c>
      <c r="H10631" t="s">
        <v>1207</v>
      </c>
      <c r="I10631" t="s">
        <v>25</v>
      </c>
    </row>
    <row r="10632" spans="1:9" x14ac:dyDescent="0.25">
      <c r="A10632">
        <v>20140626</v>
      </c>
      <c r="B10632" t="str">
        <f>"116393"</f>
        <v>116393</v>
      </c>
      <c r="C10632" t="str">
        <f>"86926"</f>
        <v>86926</v>
      </c>
      <c r="D10632" t="s">
        <v>4718</v>
      </c>
      <c r="E10632">
        <v>745.5</v>
      </c>
      <c r="F10632">
        <v>20140624</v>
      </c>
      <c r="G10632" t="s">
        <v>1030</v>
      </c>
      <c r="H10632" t="s">
        <v>4719</v>
      </c>
      <c r="I10632" t="s">
        <v>63</v>
      </c>
    </row>
    <row r="10633" spans="1:9" x14ac:dyDescent="0.25">
      <c r="A10633">
        <v>20140626</v>
      </c>
      <c r="B10633" t="str">
        <f>"116394"</f>
        <v>116394</v>
      </c>
      <c r="C10633" t="str">
        <f>"65506"</f>
        <v>65506</v>
      </c>
      <c r="D10633" t="s">
        <v>951</v>
      </c>
      <c r="E10633">
        <v>54.99</v>
      </c>
      <c r="F10633">
        <v>20140623</v>
      </c>
      <c r="G10633" t="s">
        <v>364</v>
      </c>
      <c r="H10633" t="s">
        <v>365</v>
      </c>
      <c r="I10633" t="s">
        <v>21</v>
      </c>
    </row>
    <row r="10634" spans="1:9" x14ac:dyDescent="0.25">
      <c r="A10634">
        <v>20140626</v>
      </c>
      <c r="B10634" t="str">
        <f>"116395"</f>
        <v>116395</v>
      </c>
      <c r="C10634" t="str">
        <f>"86741"</f>
        <v>86741</v>
      </c>
      <c r="D10634" t="s">
        <v>690</v>
      </c>
      <c r="E10634" s="1">
        <v>5000</v>
      </c>
      <c r="F10634">
        <v>20140625</v>
      </c>
      <c r="G10634" t="s">
        <v>584</v>
      </c>
      <c r="H10634" t="s">
        <v>4720</v>
      </c>
      <c r="I10634" t="s">
        <v>21</v>
      </c>
    </row>
    <row r="10635" spans="1:9" x14ac:dyDescent="0.25">
      <c r="A10635">
        <v>20140626</v>
      </c>
      <c r="B10635" t="str">
        <f>"116395"</f>
        <v>116395</v>
      </c>
      <c r="C10635" t="str">
        <f>"86741"</f>
        <v>86741</v>
      </c>
      <c r="D10635" t="s">
        <v>690</v>
      </c>
      <c r="E10635" s="1">
        <v>7480</v>
      </c>
      <c r="F10635">
        <v>20140625</v>
      </c>
      <c r="G10635" t="s">
        <v>2358</v>
      </c>
      <c r="H10635" t="s">
        <v>4720</v>
      </c>
      <c r="I10635" t="s">
        <v>21</v>
      </c>
    </row>
    <row r="10636" spans="1:9" x14ac:dyDescent="0.25">
      <c r="A10636">
        <v>20140626</v>
      </c>
      <c r="B10636" t="str">
        <f>"116396"</f>
        <v>116396</v>
      </c>
      <c r="C10636" t="str">
        <f>"70760"</f>
        <v>70760</v>
      </c>
      <c r="D10636" t="s">
        <v>963</v>
      </c>
      <c r="E10636">
        <v>367</v>
      </c>
      <c r="F10636">
        <v>20140624</v>
      </c>
      <c r="G10636" t="s">
        <v>1409</v>
      </c>
      <c r="H10636" t="s">
        <v>4721</v>
      </c>
      <c r="I10636" t="s">
        <v>21</v>
      </c>
    </row>
    <row r="10637" spans="1:9" x14ac:dyDescent="0.25">
      <c r="A10637">
        <v>20140626</v>
      </c>
      <c r="B10637" t="str">
        <f>"116396"</f>
        <v>116396</v>
      </c>
      <c r="C10637" t="str">
        <f>"70760"</f>
        <v>70760</v>
      </c>
      <c r="D10637" t="s">
        <v>963</v>
      </c>
      <c r="E10637">
        <v>369</v>
      </c>
      <c r="F10637">
        <v>20140623</v>
      </c>
      <c r="G10637" t="s">
        <v>1178</v>
      </c>
      <c r="H10637" t="s">
        <v>388</v>
      </c>
      <c r="I10637" t="s">
        <v>21</v>
      </c>
    </row>
    <row r="10638" spans="1:9" x14ac:dyDescent="0.25">
      <c r="A10638">
        <v>20140626</v>
      </c>
      <c r="B10638" t="str">
        <f>"116397"</f>
        <v>116397</v>
      </c>
      <c r="C10638" t="str">
        <f>"70660"</f>
        <v>70660</v>
      </c>
      <c r="D10638" t="s">
        <v>1670</v>
      </c>
      <c r="E10638">
        <v>303.83</v>
      </c>
      <c r="F10638">
        <v>20140618</v>
      </c>
      <c r="G10638" t="s">
        <v>2984</v>
      </c>
      <c r="H10638" t="s">
        <v>960</v>
      </c>
      <c r="I10638" t="s">
        <v>21</v>
      </c>
    </row>
    <row r="10639" spans="1:9" x14ac:dyDescent="0.25">
      <c r="A10639">
        <v>20140626</v>
      </c>
      <c r="B10639" t="str">
        <f>"116398"</f>
        <v>116398</v>
      </c>
      <c r="C10639" t="str">
        <f>"70776"</f>
        <v>70776</v>
      </c>
      <c r="D10639" t="s">
        <v>2413</v>
      </c>
      <c r="E10639" s="1">
        <v>1365</v>
      </c>
      <c r="F10639">
        <v>20140623</v>
      </c>
      <c r="G10639" t="s">
        <v>1153</v>
      </c>
      <c r="H10639" t="s">
        <v>1677</v>
      </c>
      <c r="I10639" t="s">
        <v>61</v>
      </c>
    </row>
    <row r="10640" spans="1:9" x14ac:dyDescent="0.25">
      <c r="A10640">
        <v>20140626</v>
      </c>
      <c r="B10640" t="str">
        <f>"116398"</f>
        <v>116398</v>
      </c>
      <c r="C10640" t="str">
        <f>"70776"</f>
        <v>70776</v>
      </c>
      <c r="D10640" t="s">
        <v>2413</v>
      </c>
      <c r="E10640">
        <v>105</v>
      </c>
      <c r="F10640">
        <v>20140625</v>
      </c>
      <c r="G10640" t="s">
        <v>1153</v>
      </c>
      <c r="H10640" t="s">
        <v>1677</v>
      </c>
      <c r="I10640" t="s">
        <v>61</v>
      </c>
    </row>
    <row r="10641" spans="1:9" x14ac:dyDescent="0.25">
      <c r="A10641">
        <v>20140626</v>
      </c>
      <c r="B10641" t="str">
        <f>"116399"</f>
        <v>116399</v>
      </c>
      <c r="C10641" t="str">
        <f>"86596"</f>
        <v>86596</v>
      </c>
      <c r="D10641" t="s">
        <v>1683</v>
      </c>
      <c r="E10641" s="1">
        <v>3331.83</v>
      </c>
      <c r="F10641">
        <v>20140623</v>
      </c>
      <c r="G10641" t="s">
        <v>1684</v>
      </c>
      <c r="H10641" t="s">
        <v>1685</v>
      </c>
      <c r="I10641" t="s">
        <v>21</v>
      </c>
    </row>
    <row r="10642" spans="1:9" x14ac:dyDescent="0.25">
      <c r="A10642">
        <v>20140626</v>
      </c>
      <c r="B10642" t="str">
        <f>"116400"</f>
        <v>116400</v>
      </c>
      <c r="C10642" t="str">
        <f>"83921"</f>
        <v>83921</v>
      </c>
      <c r="D10642" t="s">
        <v>967</v>
      </c>
      <c r="E10642">
        <v>18.940000000000001</v>
      </c>
      <c r="F10642">
        <v>20140623</v>
      </c>
      <c r="G10642" t="s">
        <v>426</v>
      </c>
      <c r="H10642" t="s">
        <v>968</v>
      </c>
      <c r="I10642" t="s">
        <v>21</v>
      </c>
    </row>
    <row r="10643" spans="1:9" x14ac:dyDescent="0.25">
      <c r="A10643">
        <v>20140626</v>
      </c>
      <c r="B10643" t="str">
        <f>"116401"</f>
        <v>116401</v>
      </c>
      <c r="C10643" t="str">
        <f>"87898"</f>
        <v>87898</v>
      </c>
      <c r="D10643" t="s">
        <v>4722</v>
      </c>
      <c r="E10643" s="1">
        <v>1260</v>
      </c>
      <c r="F10643">
        <v>20140625</v>
      </c>
      <c r="G10643" t="s">
        <v>2188</v>
      </c>
      <c r="H10643" t="s">
        <v>1054</v>
      </c>
      <c r="I10643" t="s">
        <v>21</v>
      </c>
    </row>
    <row r="10644" spans="1:9" x14ac:dyDescent="0.25">
      <c r="A10644">
        <v>20140626</v>
      </c>
      <c r="B10644" t="str">
        <f>"116402"</f>
        <v>116402</v>
      </c>
      <c r="C10644" t="str">
        <f>"87616"</f>
        <v>87616</v>
      </c>
      <c r="D10644" t="s">
        <v>711</v>
      </c>
      <c r="E10644" s="1">
        <v>2012</v>
      </c>
      <c r="F10644">
        <v>20140625</v>
      </c>
      <c r="G10644" t="s">
        <v>1635</v>
      </c>
      <c r="H10644" t="s">
        <v>3144</v>
      </c>
      <c r="I10644" t="s">
        <v>21</v>
      </c>
    </row>
    <row r="10645" spans="1:9" x14ac:dyDescent="0.25">
      <c r="A10645">
        <v>20140626</v>
      </c>
      <c r="B10645" t="str">
        <f>"116403"</f>
        <v>116403</v>
      </c>
      <c r="C10645" t="str">
        <f>"87616"</f>
        <v>87616</v>
      </c>
      <c r="D10645" t="s">
        <v>711</v>
      </c>
      <c r="E10645">
        <v>432</v>
      </c>
      <c r="F10645">
        <v>20140625</v>
      </c>
      <c r="G10645" t="s">
        <v>41</v>
      </c>
      <c r="H10645" t="s">
        <v>713</v>
      </c>
      <c r="I10645" t="s">
        <v>38</v>
      </c>
    </row>
    <row r="10646" spans="1:9" x14ac:dyDescent="0.25">
      <c r="A10646">
        <v>20140626</v>
      </c>
      <c r="B10646" t="str">
        <f>"116404"</f>
        <v>116404</v>
      </c>
      <c r="C10646" t="str">
        <f>"85627"</f>
        <v>85627</v>
      </c>
      <c r="D10646" t="s">
        <v>4652</v>
      </c>
      <c r="E10646" s="1">
        <v>8928.25</v>
      </c>
      <c r="F10646">
        <v>20140625</v>
      </c>
      <c r="G10646" t="s">
        <v>191</v>
      </c>
      <c r="H10646" t="s">
        <v>738</v>
      </c>
      <c r="I10646" t="s">
        <v>25</v>
      </c>
    </row>
    <row r="10647" spans="1:9" x14ac:dyDescent="0.25">
      <c r="A10647">
        <v>20140626</v>
      </c>
      <c r="B10647" t="str">
        <f>"116404"</f>
        <v>116404</v>
      </c>
      <c r="C10647" t="str">
        <f>"85627"</f>
        <v>85627</v>
      </c>
      <c r="D10647" t="s">
        <v>4652</v>
      </c>
      <c r="E10647" s="1">
        <v>5850.35</v>
      </c>
      <c r="F10647">
        <v>20140625</v>
      </c>
      <c r="G10647" t="s">
        <v>191</v>
      </c>
      <c r="H10647" t="s">
        <v>738</v>
      </c>
      <c r="I10647" t="s">
        <v>25</v>
      </c>
    </row>
    <row r="10648" spans="1:9" x14ac:dyDescent="0.25">
      <c r="A10648">
        <v>20140626</v>
      </c>
      <c r="B10648" t="str">
        <f>"116405"</f>
        <v>116405</v>
      </c>
      <c r="C10648" t="str">
        <f>"83814"</f>
        <v>83814</v>
      </c>
      <c r="D10648" t="s">
        <v>3457</v>
      </c>
      <c r="E10648" s="1">
        <v>2534.2199999999998</v>
      </c>
      <c r="F10648">
        <v>20140625</v>
      </c>
      <c r="G10648" t="s">
        <v>1900</v>
      </c>
      <c r="H10648" t="s">
        <v>4723</v>
      </c>
      <c r="I10648" t="s">
        <v>608</v>
      </c>
    </row>
    <row r="10649" spans="1:9" x14ac:dyDescent="0.25">
      <c r="A10649">
        <v>20140626</v>
      </c>
      <c r="B10649" t="str">
        <f>"116405"</f>
        <v>116405</v>
      </c>
      <c r="C10649" t="str">
        <f>"83814"</f>
        <v>83814</v>
      </c>
      <c r="D10649" t="s">
        <v>3457</v>
      </c>
      <c r="E10649" s="1">
        <v>2534.2199999999998</v>
      </c>
      <c r="F10649">
        <v>20140625</v>
      </c>
      <c r="G10649" t="s">
        <v>1900</v>
      </c>
      <c r="H10649" t="s">
        <v>4723</v>
      </c>
      <c r="I10649" t="s">
        <v>608</v>
      </c>
    </row>
    <row r="10650" spans="1:9" x14ac:dyDescent="0.25">
      <c r="A10650">
        <v>20140626</v>
      </c>
      <c r="B10650" t="str">
        <f>"116406"</f>
        <v>116406</v>
      </c>
      <c r="C10650" t="str">
        <f>"00067"</f>
        <v>00067</v>
      </c>
      <c r="D10650" t="s">
        <v>1327</v>
      </c>
      <c r="E10650">
        <v>213.34</v>
      </c>
      <c r="F10650">
        <v>20140625</v>
      </c>
      <c r="G10650" t="s">
        <v>189</v>
      </c>
      <c r="H10650" t="s">
        <v>357</v>
      </c>
      <c r="I10650" t="s">
        <v>25</v>
      </c>
    </row>
    <row r="10651" spans="1:9" x14ac:dyDescent="0.25">
      <c r="A10651">
        <v>20140626</v>
      </c>
      <c r="B10651" t="str">
        <f>"116407"</f>
        <v>116407</v>
      </c>
      <c r="C10651" t="str">
        <f>"79625"</f>
        <v>79625</v>
      </c>
      <c r="D10651" t="s">
        <v>1331</v>
      </c>
      <c r="E10651">
        <v>141.66</v>
      </c>
      <c r="F10651">
        <v>20140625</v>
      </c>
      <c r="G10651" t="s">
        <v>1145</v>
      </c>
      <c r="H10651" t="s">
        <v>365</v>
      </c>
      <c r="I10651" t="s">
        <v>73</v>
      </c>
    </row>
    <row r="10652" spans="1:9" x14ac:dyDescent="0.25">
      <c r="A10652">
        <v>20140626</v>
      </c>
      <c r="B10652" t="str">
        <f>"116408"</f>
        <v>116408</v>
      </c>
      <c r="C10652" t="str">
        <f>"87875"</f>
        <v>87875</v>
      </c>
      <c r="D10652" t="s">
        <v>4724</v>
      </c>
      <c r="E10652" s="1">
        <v>1454.45</v>
      </c>
      <c r="F10652">
        <v>20140624</v>
      </c>
      <c r="G10652" t="s">
        <v>1833</v>
      </c>
      <c r="H10652" t="s">
        <v>839</v>
      </c>
      <c r="I10652" t="s">
        <v>66</v>
      </c>
    </row>
    <row r="10653" spans="1:9" x14ac:dyDescent="0.25">
      <c r="A10653">
        <v>20140626</v>
      </c>
      <c r="B10653" t="str">
        <f t="shared" ref="B10653:B10666" si="609">"116409"</f>
        <v>116409</v>
      </c>
      <c r="C10653" t="str">
        <f t="shared" ref="C10653:C10666" si="610">"80825"</f>
        <v>80825</v>
      </c>
      <c r="D10653" t="s">
        <v>747</v>
      </c>
      <c r="E10653">
        <v>194.71</v>
      </c>
      <c r="F10653">
        <v>20140625</v>
      </c>
      <c r="G10653" t="s">
        <v>989</v>
      </c>
      <c r="H10653" t="s">
        <v>749</v>
      </c>
      <c r="I10653" t="s">
        <v>61</v>
      </c>
    </row>
    <row r="10654" spans="1:9" x14ac:dyDescent="0.25">
      <c r="A10654">
        <v>20140626</v>
      </c>
      <c r="B10654" t="str">
        <f t="shared" si="609"/>
        <v>116409</v>
      </c>
      <c r="C10654" t="str">
        <f t="shared" si="610"/>
        <v>80825</v>
      </c>
      <c r="D10654" t="s">
        <v>747</v>
      </c>
      <c r="E10654">
        <v>641.76</v>
      </c>
      <c r="F10654">
        <v>20140625</v>
      </c>
      <c r="G10654" t="s">
        <v>748</v>
      </c>
      <c r="H10654" t="s">
        <v>4725</v>
      </c>
      <c r="I10654" t="s">
        <v>21</v>
      </c>
    </row>
    <row r="10655" spans="1:9" x14ac:dyDescent="0.25">
      <c r="A10655">
        <v>20140626</v>
      </c>
      <c r="B10655" t="str">
        <f t="shared" si="609"/>
        <v>116409</v>
      </c>
      <c r="C10655" t="str">
        <f t="shared" si="610"/>
        <v>80825</v>
      </c>
      <c r="D10655" t="s">
        <v>747</v>
      </c>
      <c r="E10655">
        <v>320.88</v>
      </c>
      <c r="F10655">
        <v>20140625</v>
      </c>
      <c r="G10655" t="s">
        <v>750</v>
      </c>
      <c r="H10655" t="s">
        <v>4725</v>
      </c>
      <c r="I10655" t="s">
        <v>21</v>
      </c>
    </row>
    <row r="10656" spans="1:9" x14ac:dyDescent="0.25">
      <c r="A10656">
        <v>20140626</v>
      </c>
      <c r="B10656" t="str">
        <f t="shared" si="609"/>
        <v>116409</v>
      </c>
      <c r="C10656" t="str">
        <f t="shared" si="610"/>
        <v>80825</v>
      </c>
      <c r="D10656" t="s">
        <v>747</v>
      </c>
      <c r="E10656">
        <v>320.88</v>
      </c>
      <c r="F10656">
        <v>20140625</v>
      </c>
      <c r="G10656" t="s">
        <v>752</v>
      </c>
      <c r="H10656" t="s">
        <v>4725</v>
      </c>
      <c r="I10656" t="s">
        <v>21</v>
      </c>
    </row>
    <row r="10657" spans="1:9" x14ac:dyDescent="0.25">
      <c r="A10657">
        <v>20140626</v>
      </c>
      <c r="B10657" t="str">
        <f t="shared" si="609"/>
        <v>116409</v>
      </c>
      <c r="C10657" t="str">
        <f t="shared" si="610"/>
        <v>80825</v>
      </c>
      <c r="D10657" t="s">
        <v>747</v>
      </c>
      <c r="E10657">
        <v>320.88</v>
      </c>
      <c r="F10657">
        <v>20140625</v>
      </c>
      <c r="G10657" t="s">
        <v>753</v>
      </c>
      <c r="H10657" t="s">
        <v>4725</v>
      </c>
      <c r="I10657" t="s">
        <v>21</v>
      </c>
    </row>
    <row r="10658" spans="1:9" x14ac:dyDescent="0.25">
      <c r="A10658">
        <v>20140626</v>
      </c>
      <c r="B10658" t="str">
        <f t="shared" si="609"/>
        <v>116409</v>
      </c>
      <c r="C10658" t="str">
        <f t="shared" si="610"/>
        <v>80825</v>
      </c>
      <c r="D10658" t="s">
        <v>747</v>
      </c>
      <c r="E10658">
        <v>320.88</v>
      </c>
      <c r="F10658">
        <v>20140625</v>
      </c>
      <c r="G10658" t="s">
        <v>754</v>
      </c>
      <c r="H10658" t="s">
        <v>4725</v>
      </c>
      <c r="I10658" t="s">
        <v>21</v>
      </c>
    </row>
    <row r="10659" spans="1:9" x14ac:dyDescent="0.25">
      <c r="A10659">
        <v>20140626</v>
      </c>
      <c r="B10659" t="str">
        <f t="shared" si="609"/>
        <v>116409</v>
      </c>
      <c r="C10659" t="str">
        <f t="shared" si="610"/>
        <v>80825</v>
      </c>
      <c r="D10659" t="s">
        <v>747</v>
      </c>
      <c r="E10659">
        <v>320.88</v>
      </c>
      <c r="F10659">
        <v>20140625</v>
      </c>
      <c r="G10659" t="s">
        <v>990</v>
      </c>
      <c r="H10659" t="s">
        <v>4725</v>
      </c>
      <c r="I10659" t="s">
        <v>21</v>
      </c>
    </row>
    <row r="10660" spans="1:9" x14ac:dyDescent="0.25">
      <c r="A10660">
        <v>20140626</v>
      </c>
      <c r="B10660" t="str">
        <f t="shared" si="609"/>
        <v>116409</v>
      </c>
      <c r="C10660" t="str">
        <f t="shared" si="610"/>
        <v>80825</v>
      </c>
      <c r="D10660" t="s">
        <v>747</v>
      </c>
      <c r="E10660">
        <v>320.88</v>
      </c>
      <c r="F10660">
        <v>20140625</v>
      </c>
      <c r="G10660" t="s">
        <v>755</v>
      </c>
      <c r="H10660" t="s">
        <v>4725</v>
      </c>
      <c r="I10660" t="s">
        <v>21</v>
      </c>
    </row>
    <row r="10661" spans="1:9" x14ac:dyDescent="0.25">
      <c r="A10661">
        <v>20140626</v>
      </c>
      <c r="B10661" t="str">
        <f t="shared" si="609"/>
        <v>116409</v>
      </c>
      <c r="C10661" t="str">
        <f t="shared" si="610"/>
        <v>80825</v>
      </c>
      <c r="D10661" t="s">
        <v>747</v>
      </c>
      <c r="E10661">
        <v>320.88</v>
      </c>
      <c r="F10661">
        <v>20140625</v>
      </c>
      <c r="G10661" t="s">
        <v>756</v>
      </c>
      <c r="H10661" t="s">
        <v>4725</v>
      </c>
      <c r="I10661" t="s">
        <v>21</v>
      </c>
    </row>
    <row r="10662" spans="1:9" x14ac:dyDescent="0.25">
      <c r="A10662">
        <v>20140626</v>
      </c>
      <c r="B10662" t="str">
        <f t="shared" si="609"/>
        <v>116409</v>
      </c>
      <c r="C10662" t="str">
        <f t="shared" si="610"/>
        <v>80825</v>
      </c>
      <c r="D10662" t="s">
        <v>747</v>
      </c>
      <c r="E10662">
        <v>106.95</v>
      </c>
      <c r="F10662">
        <v>20140625</v>
      </c>
      <c r="G10662" t="s">
        <v>757</v>
      </c>
      <c r="H10662" t="s">
        <v>4725</v>
      </c>
      <c r="I10662" t="s">
        <v>21</v>
      </c>
    </row>
    <row r="10663" spans="1:9" x14ac:dyDescent="0.25">
      <c r="A10663">
        <v>20140626</v>
      </c>
      <c r="B10663" t="str">
        <f t="shared" si="609"/>
        <v>116409</v>
      </c>
      <c r="C10663" t="str">
        <f t="shared" si="610"/>
        <v>80825</v>
      </c>
      <c r="D10663" t="s">
        <v>747</v>
      </c>
      <c r="E10663">
        <v>424.58</v>
      </c>
      <c r="F10663">
        <v>20140625</v>
      </c>
      <c r="G10663" t="s">
        <v>1175</v>
      </c>
      <c r="H10663" t="s">
        <v>4725</v>
      </c>
      <c r="I10663" t="s">
        <v>21</v>
      </c>
    </row>
    <row r="10664" spans="1:9" x14ac:dyDescent="0.25">
      <c r="A10664">
        <v>20140626</v>
      </c>
      <c r="B10664" t="str">
        <f t="shared" si="609"/>
        <v>116409</v>
      </c>
      <c r="C10664" t="str">
        <f t="shared" si="610"/>
        <v>80825</v>
      </c>
      <c r="D10664" t="s">
        <v>747</v>
      </c>
      <c r="E10664">
        <v>106.95</v>
      </c>
      <c r="F10664">
        <v>20140625</v>
      </c>
      <c r="G10664" t="s">
        <v>544</v>
      </c>
      <c r="H10664" t="s">
        <v>4725</v>
      </c>
      <c r="I10664" t="s">
        <v>21</v>
      </c>
    </row>
    <row r="10665" spans="1:9" x14ac:dyDescent="0.25">
      <c r="A10665">
        <v>20140626</v>
      </c>
      <c r="B10665" t="str">
        <f t="shared" si="609"/>
        <v>116409</v>
      </c>
      <c r="C10665" t="str">
        <f t="shared" si="610"/>
        <v>80825</v>
      </c>
      <c r="D10665" t="s">
        <v>747</v>
      </c>
      <c r="E10665">
        <v>106.95</v>
      </c>
      <c r="F10665">
        <v>20140625</v>
      </c>
      <c r="G10665" t="s">
        <v>545</v>
      </c>
      <c r="H10665" t="s">
        <v>4725</v>
      </c>
      <c r="I10665" t="s">
        <v>21</v>
      </c>
    </row>
    <row r="10666" spans="1:9" x14ac:dyDescent="0.25">
      <c r="A10666">
        <v>20140626</v>
      </c>
      <c r="B10666" t="str">
        <f t="shared" si="609"/>
        <v>116409</v>
      </c>
      <c r="C10666" t="str">
        <f t="shared" si="610"/>
        <v>80825</v>
      </c>
      <c r="D10666" t="s">
        <v>747</v>
      </c>
      <c r="E10666">
        <v>345.9</v>
      </c>
      <c r="F10666">
        <v>20140625</v>
      </c>
      <c r="G10666" t="s">
        <v>1176</v>
      </c>
      <c r="H10666" t="s">
        <v>4725</v>
      </c>
      <c r="I10666" t="s">
        <v>21</v>
      </c>
    </row>
    <row r="10667" spans="1:9" x14ac:dyDescent="0.25">
      <c r="A10667">
        <v>20140626</v>
      </c>
      <c r="B10667" t="str">
        <f t="shared" ref="B10667:B10702" si="611">"116410"</f>
        <v>116410</v>
      </c>
      <c r="C10667" t="str">
        <f t="shared" ref="C10667:C10702" si="612">"83878"</f>
        <v>83878</v>
      </c>
      <c r="D10667" t="s">
        <v>1016</v>
      </c>
      <c r="E10667">
        <v>206.1</v>
      </c>
      <c r="F10667">
        <v>20140626</v>
      </c>
      <c r="G10667" t="s">
        <v>935</v>
      </c>
      <c r="H10667" t="s">
        <v>4726</v>
      </c>
      <c r="I10667" t="s">
        <v>21</v>
      </c>
    </row>
    <row r="10668" spans="1:9" x14ac:dyDescent="0.25">
      <c r="A10668">
        <v>20140626</v>
      </c>
      <c r="B10668" t="str">
        <f t="shared" si="611"/>
        <v>116410</v>
      </c>
      <c r="C10668" t="str">
        <f t="shared" si="612"/>
        <v>83878</v>
      </c>
      <c r="D10668" t="s">
        <v>1016</v>
      </c>
      <c r="E10668">
        <v>43.78</v>
      </c>
      <c r="F10668">
        <v>20140626</v>
      </c>
      <c r="G10668" t="s">
        <v>935</v>
      </c>
      <c r="H10668" t="s">
        <v>4726</v>
      </c>
      <c r="I10668" t="s">
        <v>21</v>
      </c>
    </row>
    <row r="10669" spans="1:9" x14ac:dyDescent="0.25">
      <c r="A10669">
        <v>20140626</v>
      </c>
      <c r="B10669" t="str">
        <f t="shared" si="611"/>
        <v>116410</v>
      </c>
      <c r="C10669" t="str">
        <f t="shared" si="612"/>
        <v>83878</v>
      </c>
      <c r="D10669" t="s">
        <v>1016</v>
      </c>
      <c r="E10669">
        <v>349.1</v>
      </c>
      <c r="F10669">
        <v>20140626</v>
      </c>
      <c r="G10669" t="s">
        <v>1020</v>
      </c>
      <c r="H10669" t="s">
        <v>4726</v>
      </c>
      <c r="I10669" t="s">
        <v>21</v>
      </c>
    </row>
    <row r="10670" spans="1:9" x14ac:dyDescent="0.25">
      <c r="A10670">
        <v>20140626</v>
      </c>
      <c r="B10670" t="str">
        <f t="shared" si="611"/>
        <v>116410</v>
      </c>
      <c r="C10670" t="str">
        <f t="shared" si="612"/>
        <v>83878</v>
      </c>
      <c r="D10670" t="s">
        <v>1016</v>
      </c>
      <c r="E10670">
        <v>573.9</v>
      </c>
      <c r="F10670">
        <v>20140626</v>
      </c>
      <c r="G10670" t="s">
        <v>1020</v>
      </c>
      <c r="H10670" t="s">
        <v>4726</v>
      </c>
      <c r="I10670" t="s">
        <v>21</v>
      </c>
    </row>
    <row r="10671" spans="1:9" x14ac:dyDescent="0.25">
      <c r="A10671">
        <v>20140626</v>
      </c>
      <c r="B10671" t="str">
        <f t="shared" si="611"/>
        <v>116410</v>
      </c>
      <c r="C10671" t="str">
        <f t="shared" si="612"/>
        <v>83878</v>
      </c>
      <c r="D10671" t="s">
        <v>1016</v>
      </c>
      <c r="E10671">
        <v>100.84</v>
      </c>
      <c r="F10671">
        <v>20140626</v>
      </c>
      <c r="G10671" t="s">
        <v>448</v>
      </c>
      <c r="H10671" t="s">
        <v>4726</v>
      </c>
      <c r="I10671" t="s">
        <v>21</v>
      </c>
    </row>
    <row r="10672" spans="1:9" x14ac:dyDescent="0.25">
      <c r="A10672">
        <v>20140626</v>
      </c>
      <c r="B10672" t="str">
        <f t="shared" si="611"/>
        <v>116410</v>
      </c>
      <c r="C10672" t="str">
        <f t="shared" si="612"/>
        <v>83878</v>
      </c>
      <c r="D10672" t="s">
        <v>1016</v>
      </c>
      <c r="E10672">
        <v>157</v>
      </c>
      <c r="F10672">
        <v>20140626</v>
      </c>
      <c r="G10672" t="s">
        <v>1943</v>
      </c>
      <c r="H10672" t="s">
        <v>4726</v>
      </c>
      <c r="I10672" t="s">
        <v>21</v>
      </c>
    </row>
    <row r="10673" spans="1:9" x14ac:dyDescent="0.25">
      <c r="A10673">
        <v>20140626</v>
      </c>
      <c r="B10673" t="str">
        <f t="shared" si="611"/>
        <v>116410</v>
      </c>
      <c r="C10673" t="str">
        <f t="shared" si="612"/>
        <v>83878</v>
      </c>
      <c r="D10673" t="s">
        <v>1016</v>
      </c>
      <c r="E10673">
        <v>363.94</v>
      </c>
      <c r="F10673">
        <v>20140626</v>
      </c>
      <c r="G10673" t="s">
        <v>128</v>
      </c>
      <c r="H10673" t="s">
        <v>4726</v>
      </c>
      <c r="I10673" t="s">
        <v>21</v>
      </c>
    </row>
    <row r="10674" spans="1:9" x14ac:dyDescent="0.25">
      <c r="A10674">
        <v>20140626</v>
      </c>
      <c r="B10674" t="str">
        <f t="shared" si="611"/>
        <v>116410</v>
      </c>
      <c r="C10674" t="str">
        <f t="shared" si="612"/>
        <v>83878</v>
      </c>
      <c r="D10674" t="s">
        <v>1016</v>
      </c>
      <c r="E10674" s="1">
        <v>1473.05</v>
      </c>
      <c r="F10674">
        <v>20140626</v>
      </c>
      <c r="G10674" t="s">
        <v>4727</v>
      </c>
      <c r="H10674" t="s">
        <v>4726</v>
      </c>
      <c r="I10674" t="s">
        <v>21</v>
      </c>
    </row>
    <row r="10675" spans="1:9" x14ac:dyDescent="0.25">
      <c r="A10675">
        <v>20140626</v>
      </c>
      <c r="B10675" t="str">
        <f t="shared" si="611"/>
        <v>116410</v>
      </c>
      <c r="C10675" t="str">
        <f t="shared" si="612"/>
        <v>83878</v>
      </c>
      <c r="D10675" t="s">
        <v>1016</v>
      </c>
      <c r="E10675">
        <v>225</v>
      </c>
      <c r="F10675">
        <v>20140626</v>
      </c>
      <c r="G10675" t="s">
        <v>584</v>
      </c>
      <c r="H10675" t="s">
        <v>4726</v>
      </c>
      <c r="I10675" t="s">
        <v>21</v>
      </c>
    </row>
    <row r="10676" spans="1:9" x14ac:dyDescent="0.25">
      <c r="A10676">
        <v>20140626</v>
      </c>
      <c r="B10676" t="str">
        <f t="shared" si="611"/>
        <v>116410</v>
      </c>
      <c r="C10676" t="str">
        <f t="shared" si="612"/>
        <v>83878</v>
      </c>
      <c r="D10676" t="s">
        <v>1016</v>
      </c>
      <c r="E10676">
        <v>182.85</v>
      </c>
      <c r="F10676">
        <v>20140626</v>
      </c>
      <c r="G10676" t="s">
        <v>1227</v>
      </c>
      <c r="H10676" t="s">
        <v>4726</v>
      </c>
      <c r="I10676" t="s">
        <v>21</v>
      </c>
    </row>
    <row r="10677" spans="1:9" x14ac:dyDescent="0.25">
      <c r="A10677">
        <v>20140626</v>
      </c>
      <c r="B10677" t="str">
        <f t="shared" si="611"/>
        <v>116410</v>
      </c>
      <c r="C10677" t="str">
        <f t="shared" si="612"/>
        <v>83878</v>
      </c>
      <c r="D10677" t="s">
        <v>1016</v>
      </c>
      <c r="E10677">
        <v>25</v>
      </c>
      <c r="F10677">
        <v>20140626</v>
      </c>
      <c r="G10677" t="s">
        <v>1227</v>
      </c>
      <c r="H10677" t="s">
        <v>4726</v>
      </c>
      <c r="I10677" t="s">
        <v>21</v>
      </c>
    </row>
    <row r="10678" spans="1:9" x14ac:dyDescent="0.25">
      <c r="A10678">
        <v>20140626</v>
      </c>
      <c r="B10678" t="str">
        <f t="shared" si="611"/>
        <v>116410</v>
      </c>
      <c r="C10678" t="str">
        <f t="shared" si="612"/>
        <v>83878</v>
      </c>
      <c r="D10678" t="s">
        <v>1016</v>
      </c>
      <c r="E10678">
        <v>149.6</v>
      </c>
      <c r="F10678">
        <v>20140626</v>
      </c>
      <c r="G10678" t="s">
        <v>758</v>
      </c>
      <c r="H10678" t="s">
        <v>4726</v>
      </c>
      <c r="I10678" t="s">
        <v>21</v>
      </c>
    </row>
    <row r="10679" spans="1:9" x14ac:dyDescent="0.25">
      <c r="A10679">
        <v>20140626</v>
      </c>
      <c r="B10679" t="str">
        <f t="shared" si="611"/>
        <v>116410</v>
      </c>
      <c r="C10679" t="str">
        <f t="shared" si="612"/>
        <v>83878</v>
      </c>
      <c r="D10679" t="s">
        <v>1016</v>
      </c>
      <c r="E10679">
        <v>367.45</v>
      </c>
      <c r="F10679">
        <v>20140626</v>
      </c>
      <c r="G10679" t="s">
        <v>1329</v>
      </c>
      <c r="H10679" t="s">
        <v>4726</v>
      </c>
      <c r="I10679" t="s">
        <v>21</v>
      </c>
    </row>
    <row r="10680" spans="1:9" x14ac:dyDescent="0.25">
      <c r="A10680">
        <v>20140626</v>
      </c>
      <c r="B10680" t="str">
        <f t="shared" si="611"/>
        <v>116410</v>
      </c>
      <c r="C10680" t="str">
        <f t="shared" si="612"/>
        <v>83878</v>
      </c>
      <c r="D10680" t="s">
        <v>1016</v>
      </c>
      <c r="E10680">
        <v>69.819999999999993</v>
      </c>
      <c r="F10680">
        <v>20140626</v>
      </c>
      <c r="G10680" t="s">
        <v>496</v>
      </c>
      <c r="H10680" t="s">
        <v>4726</v>
      </c>
      <c r="I10680" t="s">
        <v>21</v>
      </c>
    </row>
    <row r="10681" spans="1:9" x14ac:dyDescent="0.25">
      <c r="A10681">
        <v>20140626</v>
      </c>
      <c r="B10681" t="str">
        <f t="shared" si="611"/>
        <v>116410</v>
      </c>
      <c r="C10681" t="str">
        <f t="shared" si="612"/>
        <v>83878</v>
      </c>
      <c r="D10681" t="s">
        <v>1016</v>
      </c>
      <c r="E10681">
        <v>320.17</v>
      </c>
      <c r="F10681">
        <v>20140626</v>
      </c>
      <c r="G10681" t="s">
        <v>4406</v>
      </c>
      <c r="H10681" t="s">
        <v>4726</v>
      </c>
      <c r="I10681" t="s">
        <v>21</v>
      </c>
    </row>
    <row r="10682" spans="1:9" x14ac:dyDescent="0.25">
      <c r="A10682">
        <v>20140626</v>
      </c>
      <c r="B10682" t="str">
        <f t="shared" si="611"/>
        <v>116410</v>
      </c>
      <c r="C10682" t="str">
        <f t="shared" si="612"/>
        <v>83878</v>
      </c>
      <c r="D10682" t="s">
        <v>1016</v>
      </c>
      <c r="E10682">
        <v>174</v>
      </c>
      <c r="F10682">
        <v>20140626</v>
      </c>
      <c r="G10682" t="s">
        <v>585</v>
      </c>
      <c r="H10682" t="s">
        <v>4726</v>
      </c>
      <c r="I10682" t="s">
        <v>21</v>
      </c>
    </row>
    <row r="10683" spans="1:9" x14ac:dyDescent="0.25">
      <c r="A10683">
        <v>20140626</v>
      </c>
      <c r="B10683" t="str">
        <f t="shared" si="611"/>
        <v>116410</v>
      </c>
      <c r="C10683" t="str">
        <f t="shared" si="612"/>
        <v>83878</v>
      </c>
      <c r="D10683" t="s">
        <v>1016</v>
      </c>
      <c r="E10683">
        <v>24</v>
      </c>
      <c r="F10683">
        <v>20140626</v>
      </c>
      <c r="G10683" t="s">
        <v>585</v>
      </c>
      <c r="H10683" t="s">
        <v>4726</v>
      </c>
      <c r="I10683" t="s">
        <v>21</v>
      </c>
    </row>
    <row r="10684" spans="1:9" x14ac:dyDescent="0.25">
      <c r="A10684">
        <v>20140626</v>
      </c>
      <c r="B10684" t="str">
        <f t="shared" si="611"/>
        <v>116410</v>
      </c>
      <c r="C10684" t="str">
        <f t="shared" si="612"/>
        <v>83878</v>
      </c>
      <c r="D10684" t="s">
        <v>1016</v>
      </c>
      <c r="E10684">
        <v>290.95</v>
      </c>
      <c r="F10684">
        <v>20140626</v>
      </c>
      <c r="G10684" t="s">
        <v>837</v>
      </c>
      <c r="H10684" t="s">
        <v>4726</v>
      </c>
      <c r="I10684" t="s">
        <v>21</v>
      </c>
    </row>
    <row r="10685" spans="1:9" x14ac:dyDescent="0.25">
      <c r="A10685">
        <v>20140626</v>
      </c>
      <c r="B10685" t="str">
        <f t="shared" si="611"/>
        <v>116410</v>
      </c>
      <c r="C10685" t="str">
        <f t="shared" si="612"/>
        <v>83878</v>
      </c>
      <c r="D10685" t="s">
        <v>1016</v>
      </c>
      <c r="E10685">
        <v>15</v>
      </c>
      <c r="F10685">
        <v>20140626</v>
      </c>
      <c r="G10685" t="s">
        <v>1026</v>
      </c>
      <c r="H10685" t="s">
        <v>4726</v>
      </c>
      <c r="I10685" t="s">
        <v>21</v>
      </c>
    </row>
    <row r="10686" spans="1:9" x14ac:dyDescent="0.25">
      <c r="A10686">
        <v>20140626</v>
      </c>
      <c r="B10686" t="str">
        <f t="shared" si="611"/>
        <v>116410</v>
      </c>
      <c r="C10686" t="str">
        <f t="shared" si="612"/>
        <v>83878</v>
      </c>
      <c r="D10686" t="s">
        <v>1016</v>
      </c>
      <c r="E10686">
        <v>150</v>
      </c>
      <c r="F10686">
        <v>20140626</v>
      </c>
      <c r="G10686" t="s">
        <v>384</v>
      </c>
      <c r="H10686" t="s">
        <v>4726</v>
      </c>
      <c r="I10686" t="s">
        <v>21</v>
      </c>
    </row>
    <row r="10687" spans="1:9" x14ac:dyDescent="0.25">
      <c r="A10687">
        <v>20140626</v>
      </c>
      <c r="B10687" t="str">
        <f t="shared" si="611"/>
        <v>116410</v>
      </c>
      <c r="C10687" t="str">
        <f t="shared" si="612"/>
        <v>83878</v>
      </c>
      <c r="D10687" t="s">
        <v>1016</v>
      </c>
      <c r="E10687">
        <v>466.28</v>
      </c>
      <c r="F10687">
        <v>20140626</v>
      </c>
      <c r="G10687" t="s">
        <v>367</v>
      </c>
      <c r="H10687" t="s">
        <v>4726</v>
      </c>
      <c r="I10687" t="s">
        <v>21</v>
      </c>
    </row>
    <row r="10688" spans="1:9" x14ac:dyDescent="0.25">
      <c r="A10688">
        <v>20140626</v>
      </c>
      <c r="B10688" t="str">
        <f t="shared" si="611"/>
        <v>116410</v>
      </c>
      <c r="C10688" t="str">
        <f t="shared" si="612"/>
        <v>83878</v>
      </c>
      <c r="D10688" t="s">
        <v>1016</v>
      </c>
      <c r="E10688" s="1">
        <v>1591.21</v>
      </c>
      <c r="F10688">
        <v>20140626</v>
      </c>
      <c r="G10688" t="s">
        <v>99</v>
      </c>
      <c r="H10688" t="s">
        <v>4726</v>
      </c>
      <c r="I10688" t="s">
        <v>21</v>
      </c>
    </row>
    <row r="10689" spans="1:9" x14ac:dyDescent="0.25">
      <c r="A10689">
        <v>20140626</v>
      </c>
      <c r="B10689" t="str">
        <f t="shared" si="611"/>
        <v>116410</v>
      </c>
      <c r="C10689" t="str">
        <f t="shared" si="612"/>
        <v>83878</v>
      </c>
      <c r="D10689" t="s">
        <v>1016</v>
      </c>
      <c r="E10689">
        <v>106.59</v>
      </c>
      <c r="F10689">
        <v>20140626</v>
      </c>
      <c r="G10689" t="s">
        <v>1219</v>
      </c>
      <c r="H10689" t="s">
        <v>4726</v>
      </c>
      <c r="I10689" t="s">
        <v>21</v>
      </c>
    </row>
    <row r="10690" spans="1:9" x14ac:dyDescent="0.25">
      <c r="A10690">
        <v>20140626</v>
      </c>
      <c r="B10690" t="str">
        <f t="shared" si="611"/>
        <v>116410</v>
      </c>
      <c r="C10690" t="str">
        <f t="shared" si="612"/>
        <v>83878</v>
      </c>
      <c r="D10690" t="s">
        <v>1016</v>
      </c>
      <c r="E10690">
        <v>65.040000000000006</v>
      </c>
      <c r="F10690">
        <v>20140626</v>
      </c>
      <c r="G10690" t="s">
        <v>2802</v>
      </c>
      <c r="H10690" t="s">
        <v>4726</v>
      </c>
      <c r="I10690" t="s">
        <v>21</v>
      </c>
    </row>
    <row r="10691" spans="1:9" x14ac:dyDescent="0.25">
      <c r="A10691">
        <v>20140626</v>
      </c>
      <c r="B10691" t="str">
        <f t="shared" si="611"/>
        <v>116410</v>
      </c>
      <c r="C10691" t="str">
        <f t="shared" si="612"/>
        <v>83878</v>
      </c>
      <c r="D10691" t="s">
        <v>1016</v>
      </c>
      <c r="E10691">
        <v>20.149999999999999</v>
      </c>
      <c r="F10691">
        <v>20140626</v>
      </c>
      <c r="G10691" t="s">
        <v>840</v>
      </c>
      <c r="H10691" t="s">
        <v>4726</v>
      </c>
      <c r="I10691" t="s">
        <v>21</v>
      </c>
    </row>
    <row r="10692" spans="1:9" x14ac:dyDescent="0.25">
      <c r="A10692">
        <v>20140626</v>
      </c>
      <c r="B10692" t="str">
        <f t="shared" si="611"/>
        <v>116410</v>
      </c>
      <c r="C10692" t="str">
        <f t="shared" si="612"/>
        <v>83878</v>
      </c>
      <c r="D10692" t="s">
        <v>1016</v>
      </c>
      <c r="E10692">
        <v>109.47</v>
      </c>
      <c r="F10692">
        <v>20140626</v>
      </c>
      <c r="G10692" t="s">
        <v>1721</v>
      </c>
      <c r="H10692" t="s">
        <v>4726</v>
      </c>
      <c r="I10692" t="s">
        <v>21</v>
      </c>
    </row>
    <row r="10693" spans="1:9" x14ac:dyDescent="0.25">
      <c r="A10693">
        <v>20140626</v>
      </c>
      <c r="B10693" t="str">
        <f t="shared" si="611"/>
        <v>116410</v>
      </c>
      <c r="C10693" t="str">
        <f t="shared" si="612"/>
        <v>83878</v>
      </c>
      <c r="D10693" t="s">
        <v>1016</v>
      </c>
      <c r="E10693" s="1">
        <v>1962.09</v>
      </c>
      <c r="F10693">
        <v>20140626</v>
      </c>
      <c r="G10693" t="s">
        <v>3820</v>
      </c>
      <c r="H10693" t="s">
        <v>4726</v>
      </c>
      <c r="I10693" t="s">
        <v>21</v>
      </c>
    </row>
    <row r="10694" spans="1:9" x14ac:dyDescent="0.25">
      <c r="A10694">
        <v>20140626</v>
      </c>
      <c r="B10694" t="str">
        <f t="shared" si="611"/>
        <v>116410</v>
      </c>
      <c r="C10694" t="str">
        <f t="shared" si="612"/>
        <v>83878</v>
      </c>
      <c r="D10694" t="s">
        <v>1016</v>
      </c>
      <c r="E10694">
        <v>54.67</v>
      </c>
      <c r="F10694">
        <v>20140626</v>
      </c>
      <c r="G10694" t="s">
        <v>932</v>
      </c>
      <c r="H10694" t="s">
        <v>4726</v>
      </c>
      <c r="I10694" t="s">
        <v>77</v>
      </c>
    </row>
    <row r="10695" spans="1:9" x14ac:dyDescent="0.25">
      <c r="A10695">
        <v>20140626</v>
      </c>
      <c r="B10695" t="str">
        <f t="shared" si="611"/>
        <v>116410</v>
      </c>
      <c r="C10695" t="str">
        <f t="shared" si="612"/>
        <v>83878</v>
      </c>
      <c r="D10695" t="s">
        <v>1016</v>
      </c>
      <c r="E10695">
        <v>5</v>
      </c>
      <c r="F10695">
        <v>20140626</v>
      </c>
      <c r="G10695" t="s">
        <v>4407</v>
      </c>
      <c r="H10695" t="s">
        <v>4726</v>
      </c>
      <c r="I10695" t="s">
        <v>38</v>
      </c>
    </row>
    <row r="10696" spans="1:9" x14ac:dyDescent="0.25">
      <c r="A10696">
        <v>20140626</v>
      </c>
      <c r="B10696" t="str">
        <f t="shared" si="611"/>
        <v>116410</v>
      </c>
      <c r="C10696" t="str">
        <f t="shared" si="612"/>
        <v>83878</v>
      </c>
      <c r="D10696" t="s">
        <v>1016</v>
      </c>
      <c r="E10696">
        <v>21</v>
      </c>
      <c r="F10696">
        <v>20140626</v>
      </c>
      <c r="G10696" t="s">
        <v>145</v>
      </c>
      <c r="H10696" t="s">
        <v>4726</v>
      </c>
      <c r="I10696" t="s">
        <v>38</v>
      </c>
    </row>
    <row r="10697" spans="1:9" x14ac:dyDescent="0.25">
      <c r="A10697">
        <v>20140626</v>
      </c>
      <c r="B10697" t="str">
        <f t="shared" si="611"/>
        <v>116410</v>
      </c>
      <c r="C10697" t="str">
        <f t="shared" si="612"/>
        <v>83878</v>
      </c>
      <c r="D10697" t="s">
        <v>1016</v>
      </c>
      <c r="E10697">
        <v>162.41999999999999</v>
      </c>
      <c r="F10697">
        <v>20140626</v>
      </c>
      <c r="G10697" t="s">
        <v>181</v>
      </c>
      <c r="H10697" t="s">
        <v>4726</v>
      </c>
      <c r="I10697" t="s">
        <v>38</v>
      </c>
    </row>
    <row r="10698" spans="1:9" x14ac:dyDescent="0.25">
      <c r="A10698">
        <v>20140626</v>
      </c>
      <c r="B10698" t="str">
        <f t="shared" si="611"/>
        <v>116410</v>
      </c>
      <c r="C10698" t="str">
        <f t="shared" si="612"/>
        <v>83878</v>
      </c>
      <c r="D10698" t="s">
        <v>1016</v>
      </c>
      <c r="E10698">
        <v>340</v>
      </c>
      <c r="F10698">
        <v>20140626</v>
      </c>
      <c r="G10698" t="s">
        <v>289</v>
      </c>
      <c r="H10698" t="s">
        <v>4726</v>
      </c>
      <c r="I10698" t="s">
        <v>38</v>
      </c>
    </row>
    <row r="10699" spans="1:9" x14ac:dyDescent="0.25">
      <c r="A10699">
        <v>20140626</v>
      </c>
      <c r="B10699" t="str">
        <f t="shared" si="611"/>
        <v>116410</v>
      </c>
      <c r="C10699" t="str">
        <f t="shared" si="612"/>
        <v>83878</v>
      </c>
      <c r="D10699" t="s">
        <v>1016</v>
      </c>
      <c r="E10699">
        <v>507.39</v>
      </c>
      <c r="F10699">
        <v>20140626</v>
      </c>
      <c r="G10699" t="s">
        <v>289</v>
      </c>
      <c r="H10699" t="s">
        <v>4726</v>
      </c>
      <c r="I10699" t="s">
        <v>38</v>
      </c>
    </row>
    <row r="10700" spans="1:9" x14ac:dyDescent="0.25">
      <c r="A10700">
        <v>20140626</v>
      </c>
      <c r="B10700" t="str">
        <f t="shared" si="611"/>
        <v>116410</v>
      </c>
      <c r="C10700" t="str">
        <f t="shared" si="612"/>
        <v>83878</v>
      </c>
      <c r="D10700" t="s">
        <v>1016</v>
      </c>
      <c r="E10700">
        <v>119.96</v>
      </c>
      <c r="F10700">
        <v>20140626</v>
      </c>
      <c r="G10700" t="s">
        <v>119</v>
      </c>
      <c r="H10700" t="s">
        <v>4726</v>
      </c>
      <c r="I10700" t="s">
        <v>38</v>
      </c>
    </row>
    <row r="10701" spans="1:9" x14ac:dyDescent="0.25">
      <c r="A10701">
        <v>20140626</v>
      </c>
      <c r="B10701" t="str">
        <f t="shared" si="611"/>
        <v>116410</v>
      </c>
      <c r="C10701" t="str">
        <f t="shared" si="612"/>
        <v>83878</v>
      </c>
      <c r="D10701" t="s">
        <v>1016</v>
      </c>
      <c r="E10701" s="1">
        <v>1751.33</v>
      </c>
      <c r="F10701">
        <v>20140626</v>
      </c>
      <c r="G10701" t="s">
        <v>39</v>
      </c>
      <c r="H10701" t="s">
        <v>4726</v>
      </c>
      <c r="I10701" t="s">
        <v>38</v>
      </c>
    </row>
    <row r="10702" spans="1:9" x14ac:dyDescent="0.25">
      <c r="A10702">
        <v>20140626</v>
      </c>
      <c r="B10702" t="str">
        <f t="shared" si="611"/>
        <v>116410</v>
      </c>
      <c r="C10702" t="str">
        <f t="shared" si="612"/>
        <v>83878</v>
      </c>
      <c r="D10702" t="s">
        <v>1016</v>
      </c>
      <c r="E10702" s="1">
        <v>1314.24</v>
      </c>
      <c r="F10702">
        <v>20140626</v>
      </c>
      <c r="G10702" t="s">
        <v>209</v>
      </c>
      <c r="H10702" t="s">
        <v>4726</v>
      </c>
      <c r="I10702" t="s">
        <v>25</v>
      </c>
    </row>
    <row r="10703" spans="1:9" x14ac:dyDescent="0.25">
      <c r="A10703">
        <v>20140626</v>
      </c>
      <c r="B10703" t="str">
        <f>"116411"</f>
        <v>116411</v>
      </c>
      <c r="C10703" t="str">
        <f>"87827"</f>
        <v>87827</v>
      </c>
      <c r="D10703" t="s">
        <v>4728</v>
      </c>
      <c r="E10703" s="1">
        <v>2400</v>
      </c>
      <c r="F10703">
        <v>20140626</v>
      </c>
      <c r="G10703" t="s">
        <v>810</v>
      </c>
      <c r="H10703" t="s">
        <v>1228</v>
      </c>
      <c r="I10703" t="s">
        <v>66</v>
      </c>
    </row>
    <row r="10704" spans="1:9" x14ac:dyDescent="0.25">
      <c r="A10704">
        <v>20140710</v>
      </c>
      <c r="B10704" t="str">
        <f>"116412"</f>
        <v>116412</v>
      </c>
      <c r="C10704" t="str">
        <f>"87744"</f>
        <v>87744</v>
      </c>
      <c r="D10704" t="s">
        <v>3357</v>
      </c>
      <c r="E10704">
        <v>420</v>
      </c>
      <c r="F10704">
        <v>20140708</v>
      </c>
      <c r="G10704" t="s">
        <v>1027</v>
      </c>
      <c r="H10704" t="s">
        <v>4729</v>
      </c>
      <c r="I10704" t="s">
        <v>21</v>
      </c>
    </row>
    <row r="10705" spans="1:9" x14ac:dyDescent="0.25">
      <c r="A10705">
        <v>20140710</v>
      </c>
      <c r="B10705" t="str">
        <f>"116412"</f>
        <v>116412</v>
      </c>
      <c r="C10705" t="str">
        <f>"87744"</f>
        <v>87744</v>
      </c>
      <c r="D10705" t="s">
        <v>3357</v>
      </c>
      <c r="E10705">
        <v>447</v>
      </c>
      <c r="F10705">
        <v>20140708</v>
      </c>
      <c r="G10705" t="s">
        <v>1027</v>
      </c>
      <c r="H10705" t="s">
        <v>4730</v>
      </c>
      <c r="I10705" t="s">
        <v>21</v>
      </c>
    </row>
    <row r="10706" spans="1:9" x14ac:dyDescent="0.25">
      <c r="A10706">
        <v>20140710</v>
      </c>
      <c r="B10706" t="str">
        <f>"116413"</f>
        <v>116413</v>
      </c>
      <c r="C10706" t="str">
        <f>"87882"</f>
        <v>87882</v>
      </c>
      <c r="D10706" t="s">
        <v>4731</v>
      </c>
      <c r="E10706">
        <v>250</v>
      </c>
      <c r="F10706">
        <v>20140709</v>
      </c>
      <c r="G10706" t="s">
        <v>496</v>
      </c>
      <c r="H10706" t="s">
        <v>4732</v>
      </c>
      <c r="I10706" t="s">
        <v>21</v>
      </c>
    </row>
    <row r="10707" spans="1:9" x14ac:dyDescent="0.25">
      <c r="A10707">
        <v>20140710</v>
      </c>
      <c r="B10707" t="str">
        <f>"116414"</f>
        <v>116414</v>
      </c>
      <c r="C10707" t="str">
        <f>"00500"</f>
        <v>00500</v>
      </c>
      <c r="D10707" t="s">
        <v>486</v>
      </c>
      <c r="E10707" s="1">
        <v>4809.72</v>
      </c>
      <c r="F10707">
        <v>20140707</v>
      </c>
      <c r="G10707" t="s">
        <v>1705</v>
      </c>
      <c r="H10707" t="s">
        <v>488</v>
      </c>
      <c r="I10707" t="s">
        <v>21</v>
      </c>
    </row>
    <row r="10708" spans="1:9" x14ac:dyDescent="0.25">
      <c r="A10708">
        <v>20140710</v>
      </c>
      <c r="B10708" t="str">
        <f>"116415"</f>
        <v>116415</v>
      </c>
      <c r="C10708" t="str">
        <f>"00500"</f>
        <v>00500</v>
      </c>
      <c r="D10708" t="s">
        <v>486</v>
      </c>
      <c r="E10708">
        <v>125.85</v>
      </c>
      <c r="F10708">
        <v>20140707</v>
      </c>
      <c r="G10708" t="s">
        <v>1705</v>
      </c>
      <c r="H10708" t="s">
        <v>488</v>
      </c>
      <c r="I10708" t="s">
        <v>21</v>
      </c>
    </row>
    <row r="10709" spans="1:9" x14ac:dyDescent="0.25">
      <c r="A10709">
        <v>20140710</v>
      </c>
      <c r="B10709" t="str">
        <f t="shared" ref="B10709:B10723" si="613">"116416"</f>
        <v>116416</v>
      </c>
      <c r="C10709" t="str">
        <f t="shared" ref="C10709:C10723" si="614">"00255"</f>
        <v>00255</v>
      </c>
      <c r="D10709" t="s">
        <v>489</v>
      </c>
      <c r="E10709">
        <v>450.39</v>
      </c>
      <c r="F10709">
        <v>20140709</v>
      </c>
      <c r="G10709" t="s">
        <v>1350</v>
      </c>
      <c r="H10709" t="s">
        <v>488</v>
      </c>
      <c r="I10709" t="s">
        <v>21</v>
      </c>
    </row>
    <row r="10710" spans="1:9" x14ac:dyDescent="0.25">
      <c r="A10710">
        <v>20140710</v>
      </c>
      <c r="B10710" t="str">
        <f t="shared" si="613"/>
        <v>116416</v>
      </c>
      <c r="C10710" t="str">
        <f t="shared" si="614"/>
        <v>00255</v>
      </c>
      <c r="D10710" t="s">
        <v>489</v>
      </c>
      <c r="E10710">
        <v>845.98</v>
      </c>
      <c r="F10710">
        <v>20140709</v>
      </c>
      <c r="G10710" t="s">
        <v>1351</v>
      </c>
      <c r="H10710" t="s">
        <v>488</v>
      </c>
      <c r="I10710" t="s">
        <v>21</v>
      </c>
    </row>
    <row r="10711" spans="1:9" x14ac:dyDescent="0.25">
      <c r="A10711">
        <v>20140710</v>
      </c>
      <c r="B10711" t="str">
        <f t="shared" si="613"/>
        <v>116416</v>
      </c>
      <c r="C10711" t="str">
        <f t="shared" si="614"/>
        <v>00255</v>
      </c>
      <c r="D10711" t="s">
        <v>489</v>
      </c>
      <c r="E10711">
        <v>180.03</v>
      </c>
      <c r="F10711">
        <v>20140709</v>
      </c>
      <c r="G10711" t="s">
        <v>1183</v>
      </c>
      <c r="H10711" t="s">
        <v>488</v>
      </c>
      <c r="I10711" t="s">
        <v>21</v>
      </c>
    </row>
    <row r="10712" spans="1:9" x14ac:dyDescent="0.25">
      <c r="A10712">
        <v>20140710</v>
      </c>
      <c r="B10712" t="str">
        <f t="shared" si="613"/>
        <v>116416</v>
      </c>
      <c r="C10712" t="str">
        <f t="shared" si="614"/>
        <v>00255</v>
      </c>
      <c r="D10712" t="s">
        <v>489</v>
      </c>
      <c r="E10712">
        <v>51.76</v>
      </c>
      <c r="F10712">
        <v>20140709</v>
      </c>
      <c r="G10712" t="s">
        <v>1183</v>
      </c>
      <c r="H10712" t="s">
        <v>488</v>
      </c>
      <c r="I10712" t="s">
        <v>21</v>
      </c>
    </row>
    <row r="10713" spans="1:9" x14ac:dyDescent="0.25">
      <c r="A10713">
        <v>20140710</v>
      </c>
      <c r="B10713" t="str">
        <f t="shared" si="613"/>
        <v>116416</v>
      </c>
      <c r="C10713" t="str">
        <f t="shared" si="614"/>
        <v>00255</v>
      </c>
      <c r="D10713" t="s">
        <v>489</v>
      </c>
      <c r="E10713">
        <v>283.11</v>
      </c>
      <c r="F10713">
        <v>20140709</v>
      </c>
      <c r="G10713" t="s">
        <v>490</v>
      </c>
      <c r="H10713" t="s">
        <v>488</v>
      </c>
      <c r="I10713" t="s">
        <v>21</v>
      </c>
    </row>
    <row r="10714" spans="1:9" x14ac:dyDescent="0.25">
      <c r="A10714">
        <v>20140710</v>
      </c>
      <c r="B10714" t="str">
        <f t="shared" si="613"/>
        <v>116416</v>
      </c>
      <c r="C10714" t="str">
        <f t="shared" si="614"/>
        <v>00255</v>
      </c>
      <c r="D10714" t="s">
        <v>489</v>
      </c>
      <c r="E10714">
        <v>30.95</v>
      </c>
      <c r="F10714">
        <v>20140709</v>
      </c>
      <c r="G10714" t="s">
        <v>490</v>
      </c>
      <c r="H10714" t="s">
        <v>488</v>
      </c>
      <c r="I10714" t="s">
        <v>21</v>
      </c>
    </row>
    <row r="10715" spans="1:9" x14ac:dyDescent="0.25">
      <c r="A10715">
        <v>20140710</v>
      </c>
      <c r="B10715" t="str">
        <f t="shared" si="613"/>
        <v>116416</v>
      </c>
      <c r="C10715" t="str">
        <f t="shared" si="614"/>
        <v>00255</v>
      </c>
      <c r="D10715" t="s">
        <v>489</v>
      </c>
      <c r="E10715">
        <v>41.74</v>
      </c>
      <c r="F10715">
        <v>20140709</v>
      </c>
      <c r="G10715" t="s">
        <v>490</v>
      </c>
      <c r="H10715" t="s">
        <v>488</v>
      </c>
      <c r="I10715" t="s">
        <v>21</v>
      </c>
    </row>
    <row r="10716" spans="1:9" x14ac:dyDescent="0.25">
      <c r="A10716">
        <v>20140710</v>
      </c>
      <c r="B10716" t="str">
        <f t="shared" si="613"/>
        <v>116416</v>
      </c>
      <c r="C10716" t="str">
        <f t="shared" si="614"/>
        <v>00255</v>
      </c>
      <c r="D10716" t="s">
        <v>489</v>
      </c>
      <c r="E10716">
        <v>408.01</v>
      </c>
      <c r="F10716">
        <v>20140709</v>
      </c>
      <c r="G10716" t="s">
        <v>1184</v>
      </c>
      <c r="H10716" t="s">
        <v>488</v>
      </c>
      <c r="I10716" t="s">
        <v>21</v>
      </c>
    </row>
    <row r="10717" spans="1:9" x14ac:dyDescent="0.25">
      <c r="A10717">
        <v>20140710</v>
      </c>
      <c r="B10717" t="str">
        <f t="shared" si="613"/>
        <v>116416</v>
      </c>
      <c r="C10717" t="str">
        <f t="shared" si="614"/>
        <v>00255</v>
      </c>
      <c r="D10717" t="s">
        <v>489</v>
      </c>
      <c r="E10717">
        <v>250.66</v>
      </c>
      <c r="F10717">
        <v>20140709</v>
      </c>
      <c r="G10717" t="s">
        <v>491</v>
      </c>
      <c r="H10717" t="s">
        <v>488</v>
      </c>
      <c r="I10717" t="s">
        <v>21</v>
      </c>
    </row>
    <row r="10718" spans="1:9" x14ac:dyDescent="0.25">
      <c r="A10718">
        <v>20140710</v>
      </c>
      <c r="B10718" t="str">
        <f t="shared" si="613"/>
        <v>116416</v>
      </c>
      <c r="C10718" t="str">
        <f t="shared" si="614"/>
        <v>00255</v>
      </c>
      <c r="D10718" t="s">
        <v>489</v>
      </c>
      <c r="E10718" s="1">
        <v>1248.5999999999999</v>
      </c>
      <c r="F10718">
        <v>20140709</v>
      </c>
      <c r="G10718" t="s">
        <v>1185</v>
      </c>
      <c r="H10718" t="s">
        <v>488</v>
      </c>
      <c r="I10718" t="s">
        <v>21</v>
      </c>
    </row>
    <row r="10719" spans="1:9" x14ac:dyDescent="0.25">
      <c r="A10719">
        <v>20140710</v>
      </c>
      <c r="B10719" t="str">
        <f t="shared" si="613"/>
        <v>116416</v>
      </c>
      <c r="C10719" t="str">
        <f t="shared" si="614"/>
        <v>00255</v>
      </c>
      <c r="D10719" t="s">
        <v>489</v>
      </c>
      <c r="E10719">
        <v>24.39</v>
      </c>
      <c r="F10719">
        <v>20140709</v>
      </c>
      <c r="G10719" t="s">
        <v>492</v>
      </c>
      <c r="H10719" t="s">
        <v>488</v>
      </c>
      <c r="I10719" t="s">
        <v>21</v>
      </c>
    </row>
    <row r="10720" spans="1:9" x14ac:dyDescent="0.25">
      <c r="A10720">
        <v>20140710</v>
      </c>
      <c r="B10720" t="str">
        <f t="shared" si="613"/>
        <v>116416</v>
      </c>
      <c r="C10720" t="str">
        <f t="shared" si="614"/>
        <v>00255</v>
      </c>
      <c r="D10720" t="s">
        <v>489</v>
      </c>
      <c r="E10720">
        <v>232</v>
      </c>
      <c r="F10720">
        <v>20140709</v>
      </c>
      <c r="G10720" t="s">
        <v>492</v>
      </c>
      <c r="H10720" t="s">
        <v>488</v>
      </c>
      <c r="I10720" t="s">
        <v>21</v>
      </c>
    </row>
    <row r="10721" spans="1:9" x14ac:dyDescent="0.25">
      <c r="A10721">
        <v>20140710</v>
      </c>
      <c r="B10721" t="str">
        <f t="shared" si="613"/>
        <v>116416</v>
      </c>
      <c r="C10721" t="str">
        <f t="shared" si="614"/>
        <v>00255</v>
      </c>
      <c r="D10721" t="s">
        <v>489</v>
      </c>
      <c r="E10721">
        <v>160.96</v>
      </c>
      <c r="F10721">
        <v>20140709</v>
      </c>
      <c r="G10721" t="s">
        <v>493</v>
      </c>
      <c r="H10721" t="s">
        <v>488</v>
      </c>
      <c r="I10721" t="s">
        <v>21</v>
      </c>
    </row>
    <row r="10722" spans="1:9" x14ac:dyDescent="0.25">
      <c r="A10722">
        <v>20140710</v>
      </c>
      <c r="B10722" t="str">
        <f t="shared" si="613"/>
        <v>116416</v>
      </c>
      <c r="C10722" t="str">
        <f t="shared" si="614"/>
        <v>00255</v>
      </c>
      <c r="D10722" t="s">
        <v>489</v>
      </c>
      <c r="E10722">
        <v>79.47</v>
      </c>
      <c r="F10722">
        <v>20140709</v>
      </c>
      <c r="G10722" t="s">
        <v>1352</v>
      </c>
      <c r="H10722" t="s">
        <v>488</v>
      </c>
      <c r="I10722" t="s">
        <v>21</v>
      </c>
    </row>
    <row r="10723" spans="1:9" x14ac:dyDescent="0.25">
      <c r="A10723">
        <v>20140710</v>
      </c>
      <c r="B10723" t="str">
        <f t="shared" si="613"/>
        <v>116416</v>
      </c>
      <c r="C10723" t="str">
        <f t="shared" si="614"/>
        <v>00255</v>
      </c>
      <c r="D10723" t="s">
        <v>489</v>
      </c>
      <c r="E10723">
        <v>118.52</v>
      </c>
      <c r="F10723">
        <v>20140709</v>
      </c>
      <c r="G10723" t="s">
        <v>494</v>
      </c>
      <c r="H10723" t="s">
        <v>488</v>
      </c>
      <c r="I10723" t="s">
        <v>21</v>
      </c>
    </row>
    <row r="10724" spans="1:9" x14ac:dyDescent="0.25">
      <c r="A10724">
        <v>20140710</v>
      </c>
      <c r="B10724" t="str">
        <f>"116417"</f>
        <v>116417</v>
      </c>
      <c r="C10724" t="str">
        <f>"86456"</f>
        <v>86456</v>
      </c>
      <c r="D10724" t="s">
        <v>495</v>
      </c>
      <c r="E10724">
        <v>95.42</v>
      </c>
      <c r="F10724">
        <v>20140709</v>
      </c>
      <c r="G10724" t="s">
        <v>413</v>
      </c>
      <c r="H10724" t="s">
        <v>414</v>
      </c>
      <c r="I10724" t="s">
        <v>21</v>
      </c>
    </row>
    <row r="10725" spans="1:9" x14ac:dyDescent="0.25">
      <c r="A10725">
        <v>20140710</v>
      </c>
      <c r="B10725" t="str">
        <f>"116417"</f>
        <v>116417</v>
      </c>
      <c r="C10725" t="str">
        <f>"86456"</f>
        <v>86456</v>
      </c>
      <c r="D10725" t="s">
        <v>495</v>
      </c>
      <c r="E10725">
        <v>14.89</v>
      </c>
      <c r="F10725">
        <v>20140709</v>
      </c>
      <c r="G10725" t="s">
        <v>415</v>
      </c>
      <c r="H10725" t="s">
        <v>414</v>
      </c>
      <c r="I10725" t="s">
        <v>21</v>
      </c>
    </row>
    <row r="10726" spans="1:9" x14ac:dyDescent="0.25">
      <c r="A10726">
        <v>20140710</v>
      </c>
      <c r="B10726" t="str">
        <f>"116417"</f>
        <v>116417</v>
      </c>
      <c r="C10726" t="str">
        <f>"86456"</f>
        <v>86456</v>
      </c>
      <c r="D10726" t="s">
        <v>495</v>
      </c>
      <c r="E10726">
        <v>26.99</v>
      </c>
      <c r="F10726">
        <v>20140709</v>
      </c>
      <c r="G10726" t="s">
        <v>392</v>
      </c>
      <c r="H10726" t="s">
        <v>414</v>
      </c>
      <c r="I10726" t="s">
        <v>21</v>
      </c>
    </row>
    <row r="10727" spans="1:9" x14ac:dyDescent="0.25">
      <c r="A10727">
        <v>20140710</v>
      </c>
      <c r="B10727" t="str">
        <f>"116417"</f>
        <v>116417</v>
      </c>
      <c r="C10727" t="str">
        <f>"86456"</f>
        <v>86456</v>
      </c>
      <c r="D10727" t="s">
        <v>495</v>
      </c>
      <c r="E10727">
        <v>37.340000000000003</v>
      </c>
      <c r="F10727">
        <v>20140709</v>
      </c>
      <c r="G10727" t="s">
        <v>3820</v>
      </c>
      <c r="H10727" t="s">
        <v>414</v>
      </c>
      <c r="I10727" t="s">
        <v>21</v>
      </c>
    </row>
    <row r="10728" spans="1:9" x14ac:dyDescent="0.25">
      <c r="A10728">
        <v>20140710</v>
      </c>
      <c r="B10728" t="str">
        <f>"116418"</f>
        <v>116418</v>
      </c>
      <c r="C10728" t="str">
        <f>"09600"</f>
        <v>09600</v>
      </c>
      <c r="D10728" t="s">
        <v>497</v>
      </c>
      <c r="E10728" s="1">
        <v>1190.0999999999999</v>
      </c>
      <c r="F10728">
        <v>20140709</v>
      </c>
      <c r="G10728" t="s">
        <v>498</v>
      </c>
      <c r="H10728" t="s">
        <v>499</v>
      </c>
      <c r="I10728" t="s">
        <v>21</v>
      </c>
    </row>
    <row r="10729" spans="1:9" x14ac:dyDescent="0.25">
      <c r="A10729">
        <v>20140710</v>
      </c>
      <c r="B10729" t="str">
        <f>"116419"</f>
        <v>116419</v>
      </c>
      <c r="C10729" t="str">
        <f>"81431"</f>
        <v>81431</v>
      </c>
      <c r="D10729" t="s">
        <v>3465</v>
      </c>
      <c r="E10729">
        <v>134.82</v>
      </c>
      <c r="F10729">
        <v>20140708</v>
      </c>
      <c r="G10729" t="s">
        <v>789</v>
      </c>
      <c r="H10729" t="s">
        <v>365</v>
      </c>
      <c r="I10729" t="s">
        <v>61</v>
      </c>
    </row>
    <row r="10730" spans="1:9" x14ac:dyDescent="0.25">
      <c r="A10730">
        <v>20140710</v>
      </c>
      <c r="B10730" t="str">
        <f>"116419"</f>
        <v>116419</v>
      </c>
      <c r="C10730" t="str">
        <f>"81431"</f>
        <v>81431</v>
      </c>
      <c r="D10730" t="s">
        <v>3465</v>
      </c>
      <c r="E10730">
        <v>288.08</v>
      </c>
      <c r="F10730">
        <v>20140708</v>
      </c>
      <c r="G10730" t="s">
        <v>364</v>
      </c>
      <c r="H10730" t="s">
        <v>365</v>
      </c>
      <c r="I10730" t="s">
        <v>21</v>
      </c>
    </row>
    <row r="10731" spans="1:9" x14ac:dyDescent="0.25">
      <c r="A10731">
        <v>20140710</v>
      </c>
      <c r="B10731" t="str">
        <f>"116420"</f>
        <v>116420</v>
      </c>
      <c r="C10731" t="str">
        <f>"87465"</f>
        <v>87465</v>
      </c>
      <c r="D10731" t="s">
        <v>500</v>
      </c>
      <c r="E10731">
        <v>250</v>
      </c>
      <c r="F10731">
        <v>20140707</v>
      </c>
      <c r="G10731" t="s">
        <v>469</v>
      </c>
      <c r="H10731" t="s">
        <v>501</v>
      </c>
      <c r="I10731" t="s">
        <v>21</v>
      </c>
    </row>
    <row r="10732" spans="1:9" x14ac:dyDescent="0.25">
      <c r="A10732">
        <v>20140710</v>
      </c>
      <c r="B10732" t="str">
        <f>"116421"</f>
        <v>116421</v>
      </c>
      <c r="C10732" t="str">
        <f>"11329"</f>
        <v>11329</v>
      </c>
      <c r="D10732" t="s">
        <v>4733</v>
      </c>
      <c r="E10732">
        <v>85</v>
      </c>
      <c r="F10732">
        <v>20140709</v>
      </c>
      <c r="G10732" t="s">
        <v>340</v>
      </c>
      <c r="H10732" t="s">
        <v>4734</v>
      </c>
      <c r="I10732" t="s">
        <v>21</v>
      </c>
    </row>
    <row r="10733" spans="1:9" x14ac:dyDescent="0.25">
      <c r="A10733">
        <v>20140710</v>
      </c>
      <c r="B10733" t="str">
        <f>"116422"</f>
        <v>116422</v>
      </c>
      <c r="C10733" t="str">
        <f>"83193"</f>
        <v>83193</v>
      </c>
      <c r="D10733" t="s">
        <v>1008</v>
      </c>
      <c r="E10733">
        <v>240</v>
      </c>
      <c r="F10733">
        <v>20140710</v>
      </c>
      <c r="G10733" t="s">
        <v>3849</v>
      </c>
      <c r="H10733" t="s">
        <v>357</v>
      </c>
      <c r="I10733" t="s">
        <v>233</v>
      </c>
    </row>
    <row r="10734" spans="1:9" x14ac:dyDescent="0.25">
      <c r="A10734">
        <v>20140710</v>
      </c>
      <c r="B10734" t="str">
        <f>"116423"</f>
        <v>116423</v>
      </c>
      <c r="C10734" t="str">
        <f>"11851"</f>
        <v>11851</v>
      </c>
      <c r="D10734" t="s">
        <v>342</v>
      </c>
      <c r="E10734">
        <v>346</v>
      </c>
      <c r="F10734">
        <v>20140708</v>
      </c>
      <c r="G10734" t="s">
        <v>289</v>
      </c>
      <c r="H10734" t="s">
        <v>4735</v>
      </c>
      <c r="I10734" t="s">
        <v>38</v>
      </c>
    </row>
    <row r="10735" spans="1:9" x14ac:dyDescent="0.25">
      <c r="A10735">
        <v>20140710</v>
      </c>
      <c r="B10735" t="str">
        <f>"116424"</f>
        <v>116424</v>
      </c>
      <c r="C10735" t="str">
        <f>"87535"</f>
        <v>87535</v>
      </c>
      <c r="D10735" t="s">
        <v>1194</v>
      </c>
      <c r="E10735" s="1">
        <v>1839</v>
      </c>
      <c r="F10735">
        <v>20140709</v>
      </c>
      <c r="G10735" t="s">
        <v>3730</v>
      </c>
      <c r="H10735" t="s">
        <v>4736</v>
      </c>
      <c r="I10735" t="s">
        <v>38</v>
      </c>
    </row>
    <row r="10736" spans="1:9" x14ac:dyDescent="0.25">
      <c r="A10736">
        <v>20140710</v>
      </c>
      <c r="B10736" t="str">
        <f>"116425"</f>
        <v>116425</v>
      </c>
      <c r="C10736" t="str">
        <f>"10075"</f>
        <v>10075</v>
      </c>
      <c r="D10736" t="s">
        <v>1199</v>
      </c>
      <c r="E10736" s="1">
        <v>5900</v>
      </c>
      <c r="F10736">
        <v>20140707</v>
      </c>
      <c r="G10736" t="s">
        <v>1017</v>
      </c>
      <c r="H10736" t="s">
        <v>839</v>
      </c>
      <c r="I10736" t="s">
        <v>63</v>
      </c>
    </row>
    <row r="10737" spans="1:9" x14ac:dyDescent="0.25">
      <c r="A10737">
        <v>20140710</v>
      </c>
      <c r="B10737" t="str">
        <f>"116426"</f>
        <v>116426</v>
      </c>
      <c r="C10737" t="str">
        <f>"86472"</f>
        <v>86472</v>
      </c>
      <c r="D10737" t="s">
        <v>3904</v>
      </c>
      <c r="E10737">
        <v>52.1</v>
      </c>
      <c r="F10737">
        <v>20140709</v>
      </c>
      <c r="G10737" t="s">
        <v>498</v>
      </c>
      <c r="H10737" t="s">
        <v>499</v>
      </c>
      <c r="I10737" t="s">
        <v>21</v>
      </c>
    </row>
    <row r="10738" spans="1:9" x14ac:dyDescent="0.25">
      <c r="A10738">
        <v>20140710</v>
      </c>
      <c r="B10738" t="str">
        <f>"116427"</f>
        <v>116427</v>
      </c>
      <c r="C10738" t="str">
        <f>"15897"</f>
        <v>15897</v>
      </c>
      <c r="D10738" t="s">
        <v>1012</v>
      </c>
      <c r="E10738">
        <v>90</v>
      </c>
      <c r="F10738">
        <v>20140708</v>
      </c>
      <c r="G10738" t="s">
        <v>1153</v>
      </c>
      <c r="H10738" t="s">
        <v>354</v>
      </c>
      <c r="I10738" t="s">
        <v>61</v>
      </c>
    </row>
    <row r="10739" spans="1:9" x14ac:dyDescent="0.25">
      <c r="A10739">
        <v>20140710</v>
      </c>
      <c r="B10739" t="str">
        <f>"116428"</f>
        <v>116428</v>
      </c>
      <c r="C10739" t="str">
        <f>"85759"</f>
        <v>85759</v>
      </c>
      <c r="D10739" t="s">
        <v>4409</v>
      </c>
      <c r="E10739" s="1">
        <v>19740</v>
      </c>
      <c r="F10739">
        <v>20140707</v>
      </c>
      <c r="G10739" t="s">
        <v>1281</v>
      </c>
      <c r="H10739" t="s">
        <v>4737</v>
      </c>
      <c r="I10739" t="s">
        <v>21</v>
      </c>
    </row>
    <row r="10740" spans="1:9" x14ac:dyDescent="0.25">
      <c r="A10740">
        <v>20140710</v>
      </c>
      <c r="B10740" t="str">
        <f>"116428"</f>
        <v>116428</v>
      </c>
      <c r="C10740" t="str">
        <f>"85759"</f>
        <v>85759</v>
      </c>
      <c r="D10740" t="s">
        <v>4409</v>
      </c>
      <c r="E10740" s="1">
        <v>2454</v>
      </c>
      <c r="F10740">
        <v>20140709</v>
      </c>
      <c r="G10740" t="s">
        <v>1281</v>
      </c>
      <c r="H10740" t="s">
        <v>4738</v>
      </c>
      <c r="I10740" t="s">
        <v>21</v>
      </c>
    </row>
    <row r="10741" spans="1:9" x14ac:dyDescent="0.25">
      <c r="A10741">
        <v>20140710</v>
      </c>
      <c r="B10741" t="str">
        <f>"116429"</f>
        <v>116429</v>
      </c>
      <c r="C10741" t="str">
        <f>"15676"</f>
        <v>15676</v>
      </c>
      <c r="D10741" t="s">
        <v>3126</v>
      </c>
      <c r="E10741">
        <v>648.26</v>
      </c>
      <c r="F10741">
        <v>20140707</v>
      </c>
      <c r="G10741" t="s">
        <v>1067</v>
      </c>
      <c r="H10741" t="s">
        <v>4739</v>
      </c>
      <c r="I10741" t="s">
        <v>21</v>
      </c>
    </row>
    <row r="10742" spans="1:9" x14ac:dyDescent="0.25">
      <c r="A10742">
        <v>20140710</v>
      </c>
      <c r="B10742" t="str">
        <f>"116430"</f>
        <v>116430</v>
      </c>
      <c r="C10742" t="str">
        <f>"87694"</f>
        <v>87694</v>
      </c>
      <c r="D10742" t="s">
        <v>2905</v>
      </c>
      <c r="E10742" s="1">
        <v>3121</v>
      </c>
      <c r="F10742">
        <v>20140709</v>
      </c>
      <c r="G10742" t="s">
        <v>340</v>
      </c>
      <c r="H10742" t="s">
        <v>525</v>
      </c>
      <c r="I10742" t="s">
        <v>21</v>
      </c>
    </row>
    <row r="10743" spans="1:9" x14ac:dyDescent="0.25">
      <c r="A10743">
        <v>20140710</v>
      </c>
      <c r="B10743" t="str">
        <f>"116431"</f>
        <v>116431</v>
      </c>
      <c r="C10743" t="str">
        <f>"87839"</f>
        <v>87839</v>
      </c>
      <c r="D10743" t="s">
        <v>4199</v>
      </c>
      <c r="E10743">
        <v>750</v>
      </c>
      <c r="F10743">
        <v>20140709</v>
      </c>
      <c r="G10743" t="s">
        <v>746</v>
      </c>
      <c r="H10743" t="s">
        <v>555</v>
      </c>
      <c r="I10743" t="s">
        <v>21</v>
      </c>
    </row>
    <row r="10744" spans="1:9" x14ac:dyDescent="0.25">
      <c r="A10744">
        <v>20140710</v>
      </c>
      <c r="B10744" t="str">
        <f>"116431"</f>
        <v>116431</v>
      </c>
      <c r="C10744" t="str">
        <f>"87839"</f>
        <v>87839</v>
      </c>
      <c r="D10744" t="s">
        <v>4199</v>
      </c>
      <c r="E10744">
        <v>500</v>
      </c>
      <c r="F10744">
        <v>20140709</v>
      </c>
      <c r="G10744" t="s">
        <v>746</v>
      </c>
      <c r="H10744" t="s">
        <v>555</v>
      </c>
      <c r="I10744" t="s">
        <v>21</v>
      </c>
    </row>
    <row r="10745" spans="1:9" x14ac:dyDescent="0.25">
      <c r="A10745">
        <v>20140710</v>
      </c>
      <c r="B10745" t="str">
        <f t="shared" ref="B10745:B10750" si="615">"116432"</f>
        <v>116432</v>
      </c>
      <c r="C10745" t="str">
        <f t="shared" ref="C10745:C10750" si="616">"18025"</f>
        <v>18025</v>
      </c>
      <c r="D10745" t="s">
        <v>514</v>
      </c>
      <c r="E10745">
        <v>61.88</v>
      </c>
      <c r="F10745">
        <v>20140707</v>
      </c>
      <c r="G10745" t="s">
        <v>124</v>
      </c>
      <c r="H10745" t="s">
        <v>1031</v>
      </c>
      <c r="I10745" t="s">
        <v>38</v>
      </c>
    </row>
    <row r="10746" spans="1:9" x14ac:dyDescent="0.25">
      <c r="A10746">
        <v>20140710</v>
      </c>
      <c r="B10746" t="str">
        <f t="shared" si="615"/>
        <v>116432</v>
      </c>
      <c r="C10746" t="str">
        <f t="shared" si="616"/>
        <v>18025</v>
      </c>
      <c r="D10746" t="s">
        <v>514</v>
      </c>
      <c r="E10746">
        <v>61.88</v>
      </c>
      <c r="F10746">
        <v>20140707</v>
      </c>
      <c r="G10746" t="s">
        <v>124</v>
      </c>
      <c r="H10746" t="s">
        <v>1031</v>
      </c>
      <c r="I10746" t="s">
        <v>38</v>
      </c>
    </row>
    <row r="10747" spans="1:9" x14ac:dyDescent="0.25">
      <c r="A10747">
        <v>20140710</v>
      </c>
      <c r="B10747" t="str">
        <f t="shared" si="615"/>
        <v>116432</v>
      </c>
      <c r="C10747" t="str">
        <f t="shared" si="616"/>
        <v>18025</v>
      </c>
      <c r="D10747" t="s">
        <v>514</v>
      </c>
      <c r="E10747">
        <v>39.92</v>
      </c>
      <c r="F10747">
        <v>20140707</v>
      </c>
      <c r="G10747" t="s">
        <v>124</v>
      </c>
      <c r="H10747" t="s">
        <v>1031</v>
      </c>
      <c r="I10747" t="s">
        <v>38</v>
      </c>
    </row>
    <row r="10748" spans="1:9" x14ac:dyDescent="0.25">
      <c r="A10748">
        <v>20140710</v>
      </c>
      <c r="B10748" t="str">
        <f t="shared" si="615"/>
        <v>116432</v>
      </c>
      <c r="C10748" t="str">
        <f t="shared" si="616"/>
        <v>18025</v>
      </c>
      <c r="D10748" t="s">
        <v>514</v>
      </c>
      <c r="E10748">
        <v>93.86</v>
      </c>
      <c r="F10748">
        <v>20140707</v>
      </c>
      <c r="G10748" t="s">
        <v>145</v>
      </c>
      <c r="H10748" t="s">
        <v>1031</v>
      </c>
      <c r="I10748" t="s">
        <v>38</v>
      </c>
    </row>
    <row r="10749" spans="1:9" x14ac:dyDescent="0.25">
      <c r="A10749">
        <v>20140710</v>
      </c>
      <c r="B10749" t="str">
        <f t="shared" si="615"/>
        <v>116432</v>
      </c>
      <c r="C10749" t="str">
        <f t="shared" si="616"/>
        <v>18025</v>
      </c>
      <c r="D10749" t="s">
        <v>514</v>
      </c>
      <c r="E10749">
        <v>54.89</v>
      </c>
      <c r="F10749">
        <v>20140708</v>
      </c>
      <c r="G10749" t="s">
        <v>637</v>
      </c>
      <c r="H10749" t="s">
        <v>1031</v>
      </c>
      <c r="I10749" t="s">
        <v>38</v>
      </c>
    </row>
    <row r="10750" spans="1:9" x14ac:dyDescent="0.25">
      <c r="A10750">
        <v>20140710</v>
      </c>
      <c r="B10750" t="str">
        <f t="shared" si="615"/>
        <v>116432</v>
      </c>
      <c r="C10750" t="str">
        <f t="shared" si="616"/>
        <v>18025</v>
      </c>
      <c r="D10750" t="s">
        <v>514</v>
      </c>
      <c r="E10750">
        <v>49.9</v>
      </c>
      <c r="F10750">
        <v>20140707</v>
      </c>
      <c r="G10750" t="s">
        <v>189</v>
      </c>
      <c r="H10750" t="s">
        <v>1031</v>
      </c>
      <c r="I10750" t="s">
        <v>25</v>
      </c>
    </row>
    <row r="10751" spans="1:9" x14ac:dyDescent="0.25">
      <c r="A10751">
        <v>20140710</v>
      </c>
      <c r="B10751" t="str">
        <f>"116433"</f>
        <v>116433</v>
      </c>
      <c r="C10751" t="str">
        <f>"83648"</f>
        <v>83648</v>
      </c>
      <c r="D10751" t="s">
        <v>2807</v>
      </c>
      <c r="E10751">
        <v>75.83</v>
      </c>
      <c r="F10751">
        <v>20140707</v>
      </c>
      <c r="G10751" t="s">
        <v>145</v>
      </c>
      <c r="H10751" t="s">
        <v>1031</v>
      </c>
      <c r="I10751" t="s">
        <v>38</v>
      </c>
    </row>
    <row r="10752" spans="1:9" x14ac:dyDescent="0.25">
      <c r="A10752">
        <v>20140710</v>
      </c>
      <c r="B10752" t="str">
        <f t="shared" ref="B10752:B10779" si="617">"116434"</f>
        <v>116434</v>
      </c>
      <c r="C10752" t="str">
        <f t="shared" ref="C10752:C10779" si="618">"18200"</f>
        <v>18200</v>
      </c>
      <c r="D10752" t="s">
        <v>516</v>
      </c>
      <c r="E10752">
        <v>95.52</v>
      </c>
      <c r="F10752">
        <v>20140709</v>
      </c>
      <c r="G10752" t="s">
        <v>453</v>
      </c>
      <c r="H10752" t="s">
        <v>488</v>
      </c>
      <c r="I10752" t="s">
        <v>21</v>
      </c>
    </row>
    <row r="10753" spans="1:9" x14ac:dyDescent="0.25">
      <c r="A10753">
        <v>20140710</v>
      </c>
      <c r="B10753" t="str">
        <f t="shared" si="617"/>
        <v>116434</v>
      </c>
      <c r="C10753" t="str">
        <f t="shared" si="618"/>
        <v>18200</v>
      </c>
      <c r="D10753" t="s">
        <v>516</v>
      </c>
      <c r="E10753">
        <v>252.37</v>
      </c>
      <c r="F10753">
        <v>20140709</v>
      </c>
      <c r="G10753" t="s">
        <v>455</v>
      </c>
      <c r="H10753" t="s">
        <v>488</v>
      </c>
      <c r="I10753" t="s">
        <v>21</v>
      </c>
    </row>
    <row r="10754" spans="1:9" x14ac:dyDescent="0.25">
      <c r="A10754">
        <v>20140710</v>
      </c>
      <c r="B10754" t="str">
        <f t="shared" si="617"/>
        <v>116434</v>
      </c>
      <c r="C10754" t="str">
        <f t="shared" si="618"/>
        <v>18200</v>
      </c>
      <c r="D10754" t="s">
        <v>516</v>
      </c>
      <c r="E10754" s="1">
        <v>1035.69</v>
      </c>
      <c r="F10754">
        <v>20140709</v>
      </c>
      <c r="G10754" t="s">
        <v>455</v>
      </c>
      <c r="H10754" t="s">
        <v>488</v>
      </c>
      <c r="I10754" t="s">
        <v>21</v>
      </c>
    </row>
    <row r="10755" spans="1:9" x14ac:dyDescent="0.25">
      <c r="A10755">
        <v>20140710</v>
      </c>
      <c r="B10755" t="str">
        <f t="shared" si="617"/>
        <v>116434</v>
      </c>
      <c r="C10755" t="str">
        <f t="shared" si="618"/>
        <v>18200</v>
      </c>
      <c r="D10755" t="s">
        <v>516</v>
      </c>
      <c r="E10755">
        <v>381.99</v>
      </c>
      <c r="F10755">
        <v>20140709</v>
      </c>
      <c r="G10755" t="s">
        <v>455</v>
      </c>
      <c r="H10755" t="s">
        <v>488</v>
      </c>
      <c r="I10755" t="s">
        <v>21</v>
      </c>
    </row>
    <row r="10756" spans="1:9" x14ac:dyDescent="0.25">
      <c r="A10756">
        <v>20140710</v>
      </c>
      <c r="B10756" t="str">
        <f t="shared" si="617"/>
        <v>116434</v>
      </c>
      <c r="C10756" t="str">
        <f t="shared" si="618"/>
        <v>18200</v>
      </c>
      <c r="D10756" t="s">
        <v>516</v>
      </c>
      <c r="E10756">
        <v>111.12</v>
      </c>
      <c r="F10756">
        <v>20140709</v>
      </c>
      <c r="G10756" t="s">
        <v>456</v>
      </c>
      <c r="H10756" t="s">
        <v>488</v>
      </c>
      <c r="I10756" t="s">
        <v>21</v>
      </c>
    </row>
    <row r="10757" spans="1:9" x14ac:dyDescent="0.25">
      <c r="A10757">
        <v>20140710</v>
      </c>
      <c r="B10757" t="str">
        <f t="shared" si="617"/>
        <v>116434</v>
      </c>
      <c r="C10757" t="str">
        <f t="shared" si="618"/>
        <v>18200</v>
      </c>
      <c r="D10757" t="s">
        <v>516</v>
      </c>
      <c r="E10757" s="1">
        <v>1088.6199999999999</v>
      </c>
      <c r="F10757">
        <v>20140709</v>
      </c>
      <c r="G10757" t="s">
        <v>456</v>
      </c>
      <c r="H10757" t="s">
        <v>488</v>
      </c>
      <c r="I10757" t="s">
        <v>21</v>
      </c>
    </row>
    <row r="10758" spans="1:9" x14ac:dyDescent="0.25">
      <c r="A10758">
        <v>20140710</v>
      </c>
      <c r="B10758" t="str">
        <f t="shared" si="617"/>
        <v>116434</v>
      </c>
      <c r="C10758" t="str">
        <f t="shared" si="618"/>
        <v>18200</v>
      </c>
      <c r="D10758" t="s">
        <v>516</v>
      </c>
      <c r="E10758">
        <v>521.85</v>
      </c>
      <c r="F10758">
        <v>20140709</v>
      </c>
      <c r="G10758" t="s">
        <v>456</v>
      </c>
      <c r="H10758" t="s">
        <v>488</v>
      </c>
      <c r="I10758" t="s">
        <v>21</v>
      </c>
    </row>
    <row r="10759" spans="1:9" x14ac:dyDescent="0.25">
      <c r="A10759">
        <v>20140710</v>
      </c>
      <c r="B10759" t="str">
        <f t="shared" si="617"/>
        <v>116434</v>
      </c>
      <c r="C10759" t="str">
        <f t="shared" si="618"/>
        <v>18200</v>
      </c>
      <c r="D10759" t="s">
        <v>516</v>
      </c>
      <c r="E10759">
        <v>792.4</v>
      </c>
      <c r="F10759">
        <v>20140709</v>
      </c>
      <c r="G10759" t="s">
        <v>457</v>
      </c>
      <c r="H10759" t="s">
        <v>488</v>
      </c>
      <c r="I10759" t="s">
        <v>21</v>
      </c>
    </row>
    <row r="10760" spans="1:9" x14ac:dyDescent="0.25">
      <c r="A10760">
        <v>20140710</v>
      </c>
      <c r="B10760" t="str">
        <f t="shared" si="617"/>
        <v>116434</v>
      </c>
      <c r="C10760" t="str">
        <f t="shared" si="618"/>
        <v>18200</v>
      </c>
      <c r="D10760" t="s">
        <v>516</v>
      </c>
      <c r="E10760">
        <v>539.87</v>
      </c>
      <c r="F10760">
        <v>20140709</v>
      </c>
      <c r="G10760" t="s">
        <v>458</v>
      </c>
      <c r="H10760" t="s">
        <v>488</v>
      </c>
      <c r="I10760" t="s">
        <v>21</v>
      </c>
    </row>
    <row r="10761" spans="1:9" x14ac:dyDescent="0.25">
      <c r="A10761">
        <v>20140710</v>
      </c>
      <c r="B10761" t="str">
        <f t="shared" si="617"/>
        <v>116434</v>
      </c>
      <c r="C10761" t="str">
        <f t="shared" si="618"/>
        <v>18200</v>
      </c>
      <c r="D10761" t="s">
        <v>516</v>
      </c>
      <c r="E10761">
        <v>534.35</v>
      </c>
      <c r="F10761">
        <v>20140709</v>
      </c>
      <c r="G10761" t="s">
        <v>458</v>
      </c>
      <c r="H10761" t="s">
        <v>488</v>
      </c>
      <c r="I10761" t="s">
        <v>21</v>
      </c>
    </row>
    <row r="10762" spans="1:9" x14ac:dyDescent="0.25">
      <c r="A10762">
        <v>20140710</v>
      </c>
      <c r="B10762" t="str">
        <f t="shared" si="617"/>
        <v>116434</v>
      </c>
      <c r="C10762" t="str">
        <f t="shared" si="618"/>
        <v>18200</v>
      </c>
      <c r="D10762" t="s">
        <v>516</v>
      </c>
      <c r="E10762" s="1">
        <v>1014.8</v>
      </c>
      <c r="F10762">
        <v>20140709</v>
      </c>
      <c r="G10762" t="s">
        <v>459</v>
      </c>
      <c r="H10762" t="s">
        <v>488</v>
      </c>
      <c r="I10762" t="s">
        <v>21</v>
      </c>
    </row>
    <row r="10763" spans="1:9" x14ac:dyDescent="0.25">
      <c r="A10763">
        <v>20140710</v>
      </c>
      <c r="B10763" t="str">
        <f t="shared" si="617"/>
        <v>116434</v>
      </c>
      <c r="C10763" t="str">
        <f t="shared" si="618"/>
        <v>18200</v>
      </c>
      <c r="D10763" t="s">
        <v>516</v>
      </c>
      <c r="E10763">
        <v>28.49</v>
      </c>
      <c r="F10763">
        <v>20140709</v>
      </c>
      <c r="G10763" t="s">
        <v>460</v>
      </c>
      <c r="H10763" t="s">
        <v>488</v>
      </c>
      <c r="I10763" t="s">
        <v>21</v>
      </c>
    </row>
    <row r="10764" spans="1:9" x14ac:dyDescent="0.25">
      <c r="A10764">
        <v>20140710</v>
      </c>
      <c r="B10764" t="str">
        <f t="shared" si="617"/>
        <v>116434</v>
      </c>
      <c r="C10764" t="str">
        <f t="shared" si="618"/>
        <v>18200</v>
      </c>
      <c r="D10764" t="s">
        <v>516</v>
      </c>
      <c r="E10764">
        <v>341.87</v>
      </c>
      <c r="F10764">
        <v>20140709</v>
      </c>
      <c r="G10764" t="s">
        <v>460</v>
      </c>
      <c r="H10764" t="s">
        <v>488</v>
      </c>
      <c r="I10764" t="s">
        <v>21</v>
      </c>
    </row>
    <row r="10765" spans="1:9" x14ac:dyDescent="0.25">
      <c r="A10765">
        <v>20140710</v>
      </c>
      <c r="B10765" t="str">
        <f t="shared" si="617"/>
        <v>116434</v>
      </c>
      <c r="C10765" t="str">
        <f t="shared" si="618"/>
        <v>18200</v>
      </c>
      <c r="D10765" t="s">
        <v>516</v>
      </c>
      <c r="E10765">
        <v>131.72999999999999</v>
      </c>
      <c r="F10765">
        <v>20140709</v>
      </c>
      <c r="G10765" t="s">
        <v>461</v>
      </c>
      <c r="H10765" t="s">
        <v>488</v>
      </c>
      <c r="I10765" t="s">
        <v>21</v>
      </c>
    </row>
    <row r="10766" spans="1:9" x14ac:dyDescent="0.25">
      <c r="A10766">
        <v>20140710</v>
      </c>
      <c r="B10766" t="str">
        <f t="shared" si="617"/>
        <v>116434</v>
      </c>
      <c r="C10766" t="str">
        <f t="shared" si="618"/>
        <v>18200</v>
      </c>
      <c r="D10766" t="s">
        <v>516</v>
      </c>
      <c r="E10766">
        <v>122.49</v>
      </c>
      <c r="F10766">
        <v>20140709</v>
      </c>
      <c r="G10766" t="s">
        <v>461</v>
      </c>
      <c r="H10766" t="s">
        <v>488</v>
      </c>
      <c r="I10766" t="s">
        <v>21</v>
      </c>
    </row>
    <row r="10767" spans="1:9" x14ac:dyDescent="0.25">
      <c r="A10767">
        <v>20140710</v>
      </c>
      <c r="B10767" t="str">
        <f t="shared" si="617"/>
        <v>116434</v>
      </c>
      <c r="C10767" t="str">
        <f t="shared" si="618"/>
        <v>18200</v>
      </c>
      <c r="D10767" t="s">
        <v>516</v>
      </c>
      <c r="E10767">
        <v>388.62</v>
      </c>
      <c r="F10767">
        <v>20140709</v>
      </c>
      <c r="G10767" t="s">
        <v>461</v>
      </c>
      <c r="H10767" t="s">
        <v>488</v>
      </c>
      <c r="I10767" t="s">
        <v>21</v>
      </c>
    </row>
    <row r="10768" spans="1:9" x14ac:dyDescent="0.25">
      <c r="A10768">
        <v>20140710</v>
      </c>
      <c r="B10768" t="str">
        <f t="shared" si="617"/>
        <v>116434</v>
      </c>
      <c r="C10768" t="str">
        <f t="shared" si="618"/>
        <v>18200</v>
      </c>
      <c r="D10768" t="s">
        <v>516</v>
      </c>
      <c r="E10768">
        <v>363.62</v>
      </c>
      <c r="F10768">
        <v>20140709</v>
      </c>
      <c r="G10768" t="s">
        <v>462</v>
      </c>
      <c r="H10768" t="s">
        <v>488</v>
      </c>
      <c r="I10768" t="s">
        <v>21</v>
      </c>
    </row>
    <row r="10769" spans="1:9" x14ac:dyDescent="0.25">
      <c r="A10769">
        <v>20140710</v>
      </c>
      <c r="B10769" t="str">
        <f t="shared" si="617"/>
        <v>116434</v>
      </c>
      <c r="C10769" t="str">
        <f t="shared" si="618"/>
        <v>18200</v>
      </c>
      <c r="D10769" t="s">
        <v>516</v>
      </c>
      <c r="E10769">
        <v>233.17</v>
      </c>
      <c r="F10769">
        <v>20140709</v>
      </c>
      <c r="G10769" t="s">
        <v>463</v>
      </c>
      <c r="H10769" t="s">
        <v>488</v>
      </c>
      <c r="I10769" t="s">
        <v>21</v>
      </c>
    </row>
    <row r="10770" spans="1:9" x14ac:dyDescent="0.25">
      <c r="A10770">
        <v>20140710</v>
      </c>
      <c r="B10770" t="str">
        <f t="shared" si="617"/>
        <v>116434</v>
      </c>
      <c r="C10770" t="str">
        <f t="shared" si="618"/>
        <v>18200</v>
      </c>
      <c r="D10770" t="s">
        <v>516</v>
      </c>
      <c r="E10770">
        <v>28.49</v>
      </c>
      <c r="F10770">
        <v>20140709</v>
      </c>
      <c r="G10770" t="s">
        <v>463</v>
      </c>
      <c r="H10770" t="s">
        <v>488</v>
      </c>
      <c r="I10770" t="s">
        <v>21</v>
      </c>
    </row>
    <row r="10771" spans="1:9" x14ac:dyDescent="0.25">
      <c r="A10771">
        <v>20140710</v>
      </c>
      <c r="B10771" t="str">
        <f t="shared" si="617"/>
        <v>116434</v>
      </c>
      <c r="C10771" t="str">
        <f t="shared" si="618"/>
        <v>18200</v>
      </c>
      <c r="D10771" t="s">
        <v>516</v>
      </c>
      <c r="E10771">
        <v>71.489999999999995</v>
      </c>
      <c r="F10771">
        <v>20140709</v>
      </c>
      <c r="G10771" t="s">
        <v>463</v>
      </c>
      <c r="H10771" t="s">
        <v>488</v>
      </c>
      <c r="I10771" t="s">
        <v>21</v>
      </c>
    </row>
    <row r="10772" spans="1:9" x14ac:dyDescent="0.25">
      <c r="A10772">
        <v>20140710</v>
      </c>
      <c r="B10772" t="str">
        <f t="shared" si="617"/>
        <v>116434</v>
      </c>
      <c r="C10772" t="str">
        <f t="shared" si="618"/>
        <v>18200</v>
      </c>
      <c r="D10772" t="s">
        <v>516</v>
      </c>
      <c r="E10772">
        <v>38</v>
      </c>
      <c r="F10772">
        <v>20140709</v>
      </c>
      <c r="G10772" t="s">
        <v>464</v>
      </c>
      <c r="H10772" t="s">
        <v>488</v>
      </c>
      <c r="I10772" t="s">
        <v>21</v>
      </c>
    </row>
    <row r="10773" spans="1:9" x14ac:dyDescent="0.25">
      <c r="A10773">
        <v>20140710</v>
      </c>
      <c r="B10773" t="str">
        <f t="shared" si="617"/>
        <v>116434</v>
      </c>
      <c r="C10773" t="str">
        <f t="shared" si="618"/>
        <v>18200</v>
      </c>
      <c r="D10773" t="s">
        <v>516</v>
      </c>
      <c r="E10773">
        <v>178.12</v>
      </c>
      <c r="F10773">
        <v>20140709</v>
      </c>
      <c r="G10773" t="s">
        <v>464</v>
      </c>
      <c r="H10773" t="s">
        <v>488</v>
      </c>
      <c r="I10773" t="s">
        <v>21</v>
      </c>
    </row>
    <row r="10774" spans="1:9" x14ac:dyDescent="0.25">
      <c r="A10774">
        <v>20140710</v>
      </c>
      <c r="B10774" t="str">
        <f t="shared" si="617"/>
        <v>116434</v>
      </c>
      <c r="C10774" t="str">
        <f t="shared" si="618"/>
        <v>18200</v>
      </c>
      <c r="D10774" t="s">
        <v>516</v>
      </c>
      <c r="E10774">
        <v>613.62</v>
      </c>
      <c r="F10774">
        <v>20140709</v>
      </c>
      <c r="G10774" t="s">
        <v>465</v>
      </c>
      <c r="H10774" t="s">
        <v>488</v>
      </c>
      <c r="I10774" t="s">
        <v>21</v>
      </c>
    </row>
    <row r="10775" spans="1:9" x14ac:dyDescent="0.25">
      <c r="A10775">
        <v>20140710</v>
      </c>
      <c r="B10775" t="str">
        <f t="shared" si="617"/>
        <v>116434</v>
      </c>
      <c r="C10775" t="str">
        <f t="shared" si="618"/>
        <v>18200</v>
      </c>
      <c r="D10775" t="s">
        <v>516</v>
      </c>
      <c r="E10775">
        <v>47</v>
      </c>
      <c r="F10775">
        <v>20140709</v>
      </c>
      <c r="G10775" t="s">
        <v>1212</v>
      </c>
      <c r="H10775" t="s">
        <v>488</v>
      </c>
      <c r="I10775" t="s">
        <v>21</v>
      </c>
    </row>
    <row r="10776" spans="1:9" x14ac:dyDescent="0.25">
      <c r="A10776">
        <v>20140710</v>
      </c>
      <c r="B10776" t="str">
        <f t="shared" si="617"/>
        <v>116434</v>
      </c>
      <c r="C10776" t="str">
        <f t="shared" si="618"/>
        <v>18200</v>
      </c>
      <c r="D10776" t="s">
        <v>516</v>
      </c>
      <c r="E10776">
        <v>84.12</v>
      </c>
      <c r="F10776">
        <v>20140709</v>
      </c>
      <c r="G10776" t="s">
        <v>466</v>
      </c>
      <c r="H10776" t="s">
        <v>488</v>
      </c>
      <c r="I10776" t="s">
        <v>21</v>
      </c>
    </row>
    <row r="10777" spans="1:9" x14ac:dyDescent="0.25">
      <c r="A10777">
        <v>20140710</v>
      </c>
      <c r="B10777" t="str">
        <f t="shared" si="617"/>
        <v>116434</v>
      </c>
      <c r="C10777" t="str">
        <f t="shared" si="618"/>
        <v>18200</v>
      </c>
      <c r="D10777" t="s">
        <v>516</v>
      </c>
      <c r="E10777" s="1">
        <v>5119.25</v>
      </c>
      <c r="F10777">
        <v>20140709</v>
      </c>
      <c r="G10777" t="s">
        <v>466</v>
      </c>
      <c r="H10777" t="s">
        <v>488</v>
      </c>
      <c r="I10777" t="s">
        <v>21</v>
      </c>
    </row>
    <row r="10778" spans="1:9" x14ac:dyDescent="0.25">
      <c r="A10778">
        <v>20140710</v>
      </c>
      <c r="B10778" t="str">
        <f t="shared" si="617"/>
        <v>116434</v>
      </c>
      <c r="C10778" t="str">
        <f t="shared" si="618"/>
        <v>18200</v>
      </c>
      <c r="D10778" t="s">
        <v>516</v>
      </c>
      <c r="E10778">
        <v>543.85</v>
      </c>
      <c r="F10778">
        <v>20140709</v>
      </c>
      <c r="G10778" t="s">
        <v>466</v>
      </c>
      <c r="H10778" t="s">
        <v>488</v>
      </c>
      <c r="I10778" t="s">
        <v>21</v>
      </c>
    </row>
    <row r="10779" spans="1:9" x14ac:dyDescent="0.25">
      <c r="A10779">
        <v>20140710</v>
      </c>
      <c r="B10779" t="str">
        <f t="shared" si="617"/>
        <v>116434</v>
      </c>
      <c r="C10779" t="str">
        <f t="shared" si="618"/>
        <v>18200</v>
      </c>
      <c r="D10779" t="s">
        <v>516</v>
      </c>
      <c r="E10779">
        <v>47</v>
      </c>
      <c r="F10779">
        <v>20140709</v>
      </c>
      <c r="G10779" t="s">
        <v>467</v>
      </c>
      <c r="H10779" t="s">
        <v>488</v>
      </c>
      <c r="I10779" t="s">
        <v>21</v>
      </c>
    </row>
    <row r="10780" spans="1:9" x14ac:dyDescent="0.25">
      <c r="A10780">
        <v>20140710</v>
      </c>
      <c r="B10780" t="str">
        <f>"116435"</f>
        <v>116435</v>
      </c>
      <c r="C10780" t="str">
        <f>"85644"</f>
        <v>85644</v>
      </c>
      <c r="D10780" t="s">
        <v>3474</v>
      </c>
      <c r="E10780" s="1">
        <v>1162.5</v>
      </c>
      <c r="F10780">
        <v>20140709</v>
      </c>
      <c r="G10780" t="s">
        <v>746</v>
      </c>
      <c r="H10780" t="s">
        <v>4740</v>
      </c>
      <c r="I10780" t="s">
        <v>21</v>
      </c>
    </row>
    <row r="10781" spans="1:9" x14ac:dyDescent="0.25">
      <c r="A10781">
        <v>20140710</v>
      </c>
      <c r="B10781" t="str">
        <f>"116436"</f>
        <v>116436</v>
      </c>
      <c r="C10781" t="str">
        <f>"86827"</f>
        <v>86827</v>
      </c>
      <c r="D10781" t="s">
        <v>3228</v>
      </c>
      <c r="E10781">
        <v>184.13</v>
      </c>
      <c r="F10781">
        <v>20140707</v>
      </c>
      <c r="G10781" t="s">
        <v>438</v>
      </c>
      <c r="H10781" t="s">
        <v>365</v>
      </c>
      <c r="I10781" t="s">
        <v>66</v>
      </c>
    </row>
    <row r="10782" spans="1:9" x14ac:dyDescent="0.25">
      <c r="A10782">
        <v>20140710</v>
      </c>
      <c r="B10782" t="str">
        <f>"116437"</f>
        <v>116437</v>
      </c>
      <c r="C10782" t="str">
        <f>"22200"</f>
        <v>22200</v>
      </c>
      <c r="D10782" t="s">
        <v>519</v>
      </c>
      <c r="E10782">
        <v>39.15</v>
      </c>
      <c r="F10782">
        <v>20140709</v>
      </c>
      <c r="G10782" t="s">
        <v>737</v>
      </c>
      <c r="H10782" t="s">
        <v>2640</v>
      </c>
      <c r="I10782" t="s">
        <v>21</v>
      </c>
    </row>
    <row r="10783" spans="1:9" x14ac:dyDescent="0.25">
      <c r="A10783">
        <v>20140710</v>
      </c>
      <c r="B10783" t="str">
        <f>"116438"</f>
        <v>116438</v>
      </c>
      <c r="C10783" t="str">
        <f>"22500"</f>
        <v>22500</v>
      </c>
      <c r="D10783" t="s">
        <v>523</v>
      </c>
      <c r="E10783">
        <v>176.05</v>
      </c>
      <c r="F10783">
        <v>20140709</v>
      </c>
      <c r="G10783" t="s">
        <v>1270</v>
      </c>
      <c r="H10783" t="s">
        <v>525</v>
      </c>
      <c r="I10783" t="s">
        <v>21</v>
      </c>
    </row>
    <row r="10784" spans="1:9" x14ac:dyDescent="0.25">
      <c r="A10784">
        <v>20140710</v>
      </c>
      <c r="B10784" t="str">
        <f>"116438"</f>
        <v>116438</v>
      </c>
      <c r="C10784" t="str">
        <f>"22500"</f>
        <v>22500</v>
      </c>
      <c r="D10784" t="s">
        <v>523</v>
      </c>
      <c r="E10784">
        <v>58.78</v>
      </c>
      <c r="F10784">
        <v>20140709</v>
      </c>
      <c r="G10784" t="s">
        <v>530</v>
      </c>
      <c r="H10784" t="s">
        <v>414</v>
      </c>
      <c r="I10784" t="s">
        <v>21</v>
      </c>
    </row>
    <row r="10785" spans="1:9" x14ac:dyDescent="0.25">
      <c r="A10785">
        <v>20140710</v>
      </c>
      <c r="B10785" t="str">
        <f>"116438"</f>
        <v>116438</v>
      </c>
      <c r="C10785" t="str">
        <f>"22500"</f>
        <v>22500</v>
      </c>
      <c r="D10785" t="s">
        <v>523</v>
      </c>
      <c r="E10785">
        <v>936.51</v>
      </c>
      <c r="F10785">
        <v>20140709</v>
      </c>
      <c r="G10785" t="s">
        <v>3820</v>
      </c>
      <c r="H10785" t="s">
        <v>525</v>
      </c>
      <c r="I10785" t="s">
        <v>21</v>
      </c>
    </row>
    <row r="10786" spans="1:9" x14ac:dyDescent="0.25">
      <c r="A10786">
        <v>20140710</v>
      </c>
      <c r="B10786" t="str">
        <f>"116439"</f>
        <v>116439</v>
      </c>
      <c r="C10786" t="str">
        <f>"86392"</f>
        <v>86392</v>
      </c>
      <c r="D10786" t="s">
        <v>3479</v>
      </c>
      <c r="E10786">
        <v>56.33</v>
      </c>
      <c r="F10786">
        <v>20140710</v>
      </c>
      <c r="G10786" t="s">
        <v>986</v>
      </c>
      <c r="H10786" t="s">
        <v>1677</v>
      </c>
      <c r="I10786" t="s">
        <v>21</v>
      </c>
    </row>
    <row r="10787" spans="1:9" x14ac:dyDescent="0.25">
      <c r="A10787">
        <v>20140710</v>
      </c>
      <c r="B10787" t="str">
        <f>"116440"</f>
        <v>116440</v>
      </c>
      <c r="C10787" t="str">
        <f>"81026"</f>
        <v>81026</v>
      </c>
      <c r="D10787" t="s">
        <v>2923</v>
      </c>
      <c r="E10787">
        <v>261.60000000000002</v>
      </c>
      <c r="F10787">
        <v>20140708</v>
      </c>
      <c r="G10787" t="s">
        <v>810</v>
      </c>
      <c r="H10787" t="s">
        <v>921</v>
      </c>
      <c r="I10787" t="s">
        <v>66</v>
      </c>
    </row>
    <row r="10788" spans="1:9" x14ac:dyDescent="0.25">
      <c r="A10788">
        <v>20140710</v>
      </c>
      <c r="B10788" t="str">
        <f>"116441"</f>
        <v>116441</v>
      </c>
      <c r="C10788" t="str">
        <f>"81026"</f>
        <v>81026</v>
      </c>
      <c r="D10788" t="s">
        <v>2923</v>
      </c>
      <c r="E10788">
        <v>261.60000000000002</v>
      </c>
      <c r="F10788">
        <v>20140708</v>
      </c>
      <c r="G10788" t="s">
        <v>810</v>
      </c>
      <c r="H10788" t="s">
        <v>921</v>
      </c>
      <c r="I10788" t="s">
        <v>66</v>
      </c>
    </row>
    <row r="10789" spans="1:9" x14ac:dyDescent="0.25">
      <c r="A10789">
        <v>20140710</v>
      </c>
      <c r="B10789" t="str">
        <f>"116442"</f>
        <v>116442</v>
      </c>
      <c r="C10789" t="str">
        <f>"23827"</f>
        <v>23827</v>
      </c>
      <c r="D10789" t="s">
        <v>528</v>
      </c>
      <c r="E10789">
        <v>281.60000000000002</v>
      </c>
      <c r="F10789">
        <v>20140708</v>
      </c>
      <c r="G10789" t="s">
        <v>1193</v>
      </c>
      <c r="H10789" t="s">
        <v>513</v>
      </c>
      <c r="I10789" t="s">
        <v>25</v>
      </c>
    </row>
    <row r="10790" spans="1:9" x14ac:dyDescent="0.25">
      <c r="A10790">
        <v>20140710</v>
      </c>
      <c r="B10790" t="str">
        <f t="shared" ref="B10790:B10798" si="619">"116443"</f>
        <v>116443</v>
      </c>
      <c r="C10790" t="str">
        <f t="shared" ref="C10790:C10798" si="620">"24530"</f>
        <v>24530</v>
      </c>
      <c r="D10790" t="s">
        <v>412</v>
      </c>
      <c r="E10790" s="1">
        <v>2424.09</v>
      </c>
      <c r="F10790">
        <v>20140709</v>
      </c>
      <c r="G10790" t="s">
        <v>415</v>
      </c>
      <c r="H10790" t="s">
        <v>414</v>
      </c>
      <c r="I10790" t="s">
        <v>21</v>
      </c>
    </row>
    <row r="10791" spans="1:9" x14ac:dyDescent="0.25">
      <c r="A10791">
        <v>20140710</v>
      </c>
      <c r="B10791" t="str">
        <f t="shared" si="619"/>
        <v>116443</v>
      </c>
      <c r="C10791" t="str">
        <f t="shared" si="620"/>
        <v>24530</v>
      </c>
      <c r="D10791" t="s">
        <v>412</v>
      </c>
      <c r="E10791">
        <v>468.36</v>
      </c>
      <c r="F10791">
        <v>20140709</v>
      </c>
      <c r="G10791" t="s">
        <v>628</v>
      </c>
      <c r="H10791" t="s">
        <v>414</v>
      </c>
      <c r="I10791" t="s">
        <v>21</v>
      </c>
    </row>
    <row r="10792" spans="1:9" x14ac:dyDescent="0.25">
      <c r="A10792">
        <v>20140710</v>
      </c>
      <c r="B10792" t="str">
        <f t="shared" si="619"/>
        <v>116443</v>
      </c>
      <c r="C10792" t="str">
        <f t="shared" si="620"/>
        <v>24530</v>
      </c>
      <c r="D10792" t="s">
        <v>412</v>
      </c>
      <c r="E10792">
        <v>693.2</v>
      </c>
      <c r="F10792">
        <v>20140709</v>
      </c>
      <c r="G10792" t="s">
        <v>629</v>
      </c>
      <c r="H10792" t="s">
        <v>414</v>
      </c>
      <c r="I10792" t="s">
        <v>21</v>
      </c>
    </row>
    <row r="10793" spans="1:9" x14ac:dyDescent="0.25">
      <c r="A10793">
        <v>20140710</v>
      </c>
      <c r="B10793" t="str">
        <f t="shared" si="619"/>
        <v>116443</v>
      </c>
      <c r="C10793" t="str">
        <f t="shared" si="620"/>
        <v>24530</v>
      </c>
      <c r="D10793" t="s">
        <v>412</v>
      </c>
      <c r="E10793">
        <v>140.4</v>
      </c>
      <c r="F10793">
        <v>20140709</v>
      </c>
      <c r="G10793" t="s">
        <v>630</v>
      </c>
      <c r="H10793" t="s">
        <v>414</v>
      </c>
      <c r="I10793" t="s">
        <v>21</v>
      </c>
    </row>
    <row r="10794" spans="1:9" x14ac:dyDescent="0.25">
      <c r="A10794">
        <v>20140710</v>
      </c>
      <c r="B10794" t="str">
        <f t="shared" si="619"/>
        <v>116443</v>
      </c>
      <c r="C10794" t="str">
        <f t="shared" si="620"/>
        <v>24530</v>
      </c>
      <c r="D10794" t="s">
        <v>412</v>
      </c>
      <c r="E10794">
        <v>546.6</v>
      </c>
      <c r="F10794">
        <v>20140709</v>
      </c>
      <c r="G10794" t="s">
        <v>530</v>
      </c>
      <c r="H10794" t="s">
        <v>414</v>
      </c>
      <c r="I10794" t="s">
        <v>21</v>
      </c>
    </row>
    <row r="10795" spans="1:9" x14ac:dyDescent="0.25">
      <c r="A10795">
        <v>20140710</v>
      </c>
      <c r="B10795" t="str">
        <f t="shared" si="619"/>
        <v>116443</v>
      </c>
      <c r="C10795" t="str">
        <f t="shared" si="620"/>
        <v>24530</v>
      </c>
      <c r="D10795" t="s">
        <v>412</v>
      </c>
      <c r="E10795">
        <v>476.4</v>
      </c>
      <c r="F10795">
        <v>20140709</v>
      </c>
      <c r="G10795" t="s">
        <v>631</v>
      </c>
      <c r="H10795" t="s">
        <v>414</v>
      </c>
      <c r="I10795" t="s">
        <v>21</v>
      </c>
    </row>
    <row r="10796" spans="1:9" x14ac:dyDescent="0.25">
      <c r="A10796">
        <v>20140710</v>
      </c>
      <c r="B10796" t="str">
        <f t="shared" si="619"/>
        <v>116443</v>
      </c>
      <c r="C10796" t="str">
        <f t="shared" si="620"/>
        <v>24530</v>
      </c>
      <c r="D10796" t="s">
        <v>412</v>
      </c>
      <c r="E10796">
        <v>23.2</v>
      </c>
      <c r="F10796">
        <v>20140709</v>
      </c>
      <c r="G10796" t="s">
        <v>392</v>
      </c>
      <c r="H10796" t="s">
        <v>414</v>
      </c>
      <c r="I10796" t="s">
        <v>21</v>
      </c>
    </row>
    <row r="10797" spans="1:9" x14ac:dyDescent="0.25">
      <c r="A10797">
        <v>20140710</v>
      </c>
      <c r="B10797" t="str">
        <f t="shared" si="619"/>
        <v>116443</v>
      </c>
      <c r="C10797" t="str">
        <f t="shared" si="620"/>
        <v>24530</v>
      </c>
      <c r="D10797" t="s">
        <v>412</v>
      </c>
      <c r="E10797">
        <v>-143.53</v>
      </c>
      <c r="F10797">
        <v>20140710</v>
      </c>
      <c r="G10797" t="s">
        <v>392</v>
      </c>
      <c r="H10797" t="s">
        <v>416</v>
      </c>
      <c r="I10797" t="s">
        <v>21</v>
      </c>
    </row>
    <row r="10798" spans="1:9" x14ac:dyDescent="0.25">
      <c r="A10798">
        <v>20140710</v>
      </c>
      <c r="B10798" t="str">
        <f t="shared" si="619"/>
        <v>116443</v>
      </c>
      <c r="C10798" t="str">
        <f t="shared" si="620"/>
        <v>24530</v>
      </c>
      <c r="D10798" t="s">
        <v>412</v>
      </c>
      <c r="E10798" s="1">
        <v>5299.34</v>
      </c>
      <c r="F10798">
        <v>20140709</v>
      </c>
      <c r="G10798" t="s">
        <v>3820</v>
      </c>
      <c r="H10798" t="s">
        <v>414</v>
      </c>
      <c r="I10798" t="s">
        <v>21</v>
      </c>
    </row>
    <row r="10799" spans="1:9" x14ac:dyDescent="0.25">
      <c r="A10799">
        <v>20140710</v>
      </c>
      <c r="B10799" t="str">
        <f t="shared" ref="B10799:B10813" si="621">"116444"</f>
        <v>116444</v>
      </c>
      <c r="C10799" t="str">
        <f t="shared" ref="C10799:C10813" si="622">"87714"</f>
        <v>87714</v>
      </c>
      <c r="D10799" t="s">
        <v>3141</v>
      </c>
      <c r="E10799" s="1">
        <v>4131.51</v>
      </c>
      <c r="F10799">
        <v>20140709</v>
      </c>
      <c r="G10799" t="s">
        <v>717</v>
      </c>
      <c r="H10799" t="s">
        <v>488</v>
      </c>
      <c r="I10799" t="s">
        <v>21</v>
      </c>
    </row>
    <row r="10800" spans="1:9" x14ac:dyDescent="0.25">
      <c r="A10800">
        <v>20140710</v>
      </c>
      <c r="B10800" t="str">
        <f t="shared" si="621"/>
        <v>116444</v>
      </c>
      <c r="C10800" t="str">
        <f t="shared" si="622"/>
        <v>87714</v>
      </c>
      <c r="D10800" t="s">
        <v>3141</v>
      </c>
      <c r="E10800" s="1">
        <v>41774.230000000003</v>
      </c>
      <c r="F10800">
        <v>20140709</v>
      </c>
      <c r="G10800" t="s">
        <v>718</v>
      </c>
      <c r="H10800" t="s">
        <v>488</v>
      </c>
      <c r="I10800" t="s">
        <v>21</v>
      </c>
    </row>
    <row r="10801" spans="1:9" x14ac:dyDescent="0.25">
      <c r="A10801">
        <v>20140710</v>
      </c>
      <c r="B10801" t="str">
        <f t="shared" si="621"/>
        <v>116444</v>
      </c>
      <c r="C10801" t="str">
        <f t="shared" si="622"/>
        <v>87714</v>
      </c>
      <c r="D10801" t="s">
        <v>3141</v>
      </c>
      <c r="E10801" s="1">
        <v>14500.39</v>
      </c>
      <c r="F10801">
        <v>20140709</v>
      </c>
      <c r="G10801" t="s">
        <v>719</v>
      </c>
      <c r="H10801" t="s">
        <v>488</v>
      </c>
      <c r="I10801" t="s">
        <v>21</v>
      </c>
    </row>
    <row r="10802" spans="1:9" x14ac:dyDescent="0.25">
      <c r="A10802">
        <v>20140710</v>
      </c>
      <c r="B10802" t="str">
        <f t="shared" si="621"/>
        <v>116444</v>
      </c>
      <c r="C10802" t="str">
        <f t="shared" si="622"/>
        <v>87714</v>
      </c>
      <c r="D10802" t="s">
        <v>3141</v>
      </c>
      <c r="E10802" s="1">
        <v>13360.41</v>
      </c>
      <c r="F10802">
        <v>20140709</v>
      </c>
      <c r="G10802" t="s">
        <v>720</v>
      </c>
      <c r="H10802" t="s">
        <v>488</v>
      </c>
      <c r="I10802" t="s">
        <v>21</v>
      </c>
    </row>
    <row r="10803" spans="1:9" x14ac:dyDescent="0.25">
      <c r="A10803">
        <v>20140710</v>
      </c>
      <c r="B10803" t="str">
        <f t="shared" si="621"/>
        <v>116444</v>
      </c>
      <c r="C10803" t="str">
        <f t="shared" si="622"/>
        <v>87714</v>
      </c>
      <c r="D10803" t="s">
        <v>3141</v>
      </c>
      <c r="E10803" s="1">
        <v>10296.33</v>
      </c>
      <c r="F10803">
        <v>20140709</v>
      </c>
      <c r="G10803" t="s">
        <v>721</v>
      </c>
      <c r="H10803" t="s">
        <v>488</v>
      </c>
      <c r="I10803" t="s">
        <v>21</v>
      </c>
    </row>
    <row r="10804" spans="1:9" x14ac:dyDescent="0.25">
      <c r="A10804">
        <v>20140710</v>
      </c>
      <c r="B10804" t="str">
        <f t="shared" si="621"/>
        <v>116444</v>
      </c>
      <c r="C10804" t="str">
        <f t="shared" si="622"/>
        <v>87714</v>
      </c>
      <c r="D10804" t="s">
        <v>3141</v>
      </c>
      <c r="E10804" s="1">
        <v>17813.34</v>
      </c>
      <c r="F10804">
        <v>20140709</v>
      </c>
      <c r="G10804" t="s">
        <v>722</v>
      </c>
      <c r="H10804" t="s">
        <v>488</v>
      </c>
      <c r="I10804" t="s">
        <v>21</v>
      </c>
    </row>
    <row r="10805" spans="1:9" x14ac:dyDescent="0.25">
      <c r="A10805">
        <v>20140710</v>
      </c>
      <c r="B10805" t="str">
        <f t="shared" si="621"/>
        <v>116444</v>
      </c>
      <c r="C10805" t="str">
        <f t="shared" si="622"/>
        <v>87714</v>
      </c>
      <c r="D10805" t="s">
        <v>3141</v>
      </c>
      <c r="E10805" s="1">
        <v>8063.09</v>
      </c>
      <c r="F10805">
        <v>20140709</v>
      </c>
      <c r="G10805" t="s">
        <v>723</v>
      </c>
      <c r="H10805" t="s">
        <v>488</v>
      </c>
      <c r="I10805" t="s">
        <v>21</v>
      </c>
    </row>
    <row r="10806" spans="1:9" x14ac:dyDescent="0.25">
      <c r="A10806">
        <v>20140710</v>
      </c>
      <c r="B10806" t="str">
        <f t="shared" si="621"/>
        <v>116444</v>
      </c>
      <c r="C10806" t="str">
        <f t="shared" si="622"/>
        <v>87714</v>
      </c>
      <c r="D10806" t="s">
        <v>3141</v>
      </c>
      <c r="E10806" s="1">
        <v>1417.89</v>
      </c>
      <c r="F10806">
        <v>20140709</v>
      </c>
      <c r="G10806" t="s">
        <v>724</v>
      </c>
      <c r="H10806" t="s">
        <v>488</v>
      </c>
      <c r="I10806" t="s">
        <v>21</v>
      </c>
    </row>
    <row r="10807" spans="1:9" x14ac:dyDescent="0.25">
      <c r="A10807">
        <v>20140710</v>
      </c>
      <c r="B10807" t="str">
        <f t="shared" si="621"/>
        <v>116444</v>
      </c>
      <c r="C10807" t="str">
        <f t="shared" si="622"/>
        <v>87714</v>
      </c>
      <c r="D10807" t="s">
        <v>3141</v>
      </c>
      <c r="E10807" s="1">
        <v>15635.51</v>
      </c>
      <c r="F10807">
        <v>20140709</v>
      </c>
      <c r="G10807" t="s">
        <v>725</v>
      </c>
      <c r="H10807" t="s">
        <v>488</v>
      </c>
      <c r="I10807" t="s">
        <v>21</v>
      </c>
    </row>
    <row r="10808" spans="1:9" x14ac:dyDescent="0.25">
      <c r="A10808">
        <v>20140710</v>
      </c>
      <c r="B10808" t="str">
        <f t="shared" si="621"/>
        <v>116444</v>
      </c>
      <c r="C10808" t="str">
        <f t="shared" si="622"/>
        <v>87714</v>
      </c>
      <c r="D10808" t="s">
        <v>3141</v>
      </c>
      <c r="E10808" s="1">
        <v>1659.09</v>
      </c>
      <c r="F10808">
        <v>20140709</v>
      </c>
      <c r="G10808" t="s">
        <v>726</v>
      </c>
      <c r="H10808" t="s">
        <v>488</v>
      </c>
      <c r="I10808" t="s">
        <v>21</v>
      </c>
    </row>
    <row r="10809" spans="1:9" x14ac:dyDescent="0.25">
      <c r="A10809">
        <v>20140710</v>
      </c>
      <c r="B10809" t="str">
        <f t="shared" si="621"/>
        <v>116444</v>
      </c>
      <c r="C10809" t="str">
        <f t="shared" si="622"/>
        <v>87714</v>
      </c>
      <c r="D10809" t="s">
        <v>3141</v>
      </c>
      <c r="E10809" s="1">
        <v>6517.16</v>
      </c>
      <c r="F10809">
        <v>20140709</v>
      </c>
      <c r="G10809" t="s">
        <v>727</v>
      </c>
      <c r="H10809" t="s">
        <v>488</v>
      </c>
      <c r="I10809" t="s">
        <v>21</v>
      </c>
    </row>
    <row r="10810" spans="1:9" x14ac:dyDescent="0.25">
      <c r="A10810">
        <v>20140710</v>
      </c>
      <c r="B10810" t="str">
        <f t="shared" si="621"/>
        <v>116444</v>
      </c>
      <c r="C10810" t="str">
        <f t="shared" si="622"/>
        <v>87714</v>
      </c>
      <c r="D10810" t="s">
        <v>3141</v>
      </c>
      <c r="E10810" s="1">
        <v>4308.49</v>
      </c>
      <c r="F10810">
        <v>20140709</v>
      </c>
      <c r="G10810" t="s">
        <v>728</v>
      </c>
      <c r="H10810" t="s">
        <v>488</v>
      </c>
      <c r="I10810" t="s">
        <v>21</v>
      </c>
    </row>
    <row r="10811" spans="1:9" x14ac:dyDescent="0.25">
      <c r="A10811">
        <v>20140710</v>
      </c>
      <c r="B10811" t="str">
        <f t="shared" si="621"/>
        <v>116444</v>
      </c>
      <c r="C10811" t="str">
        <f t="shared" si="622"/>
        <v>87714</v>
      </c>
      <c r="D10811" t="s">
        <v>3141</v>
      </c>
      <c r="E10811" s="1">
        <v>9535.41</v>
      </c>
      <c r="F10811">
        <v>20140709</v>
      </c>
      <c r="G10811" t="s">
        <v>729</v>
      </c>
      <c r="H10811" t="s">
        <v>488</v>
      </c>
      <c r="I10811" t="s">
        <v>21</v>
      </c>
    </row>
    <row r="10812" spans="1:9" x14ac:dyDescent="0.25">
      <c r="A10812">
        <v>20140710</v>
      </c>
      <c r="B10812" t="str">
        <f t="shared" si="621"/>
        <v>116444</v>
      </c>
      <c r="C10812" t="str">
        <f t="shared" si="622"/>
        <v>87714</v>
      </c>
      <c r="D10812" t="s">
        <v>3141</v>
      </c>
      <c r="E10812">
        <v>94.03</v>
      </c>
      <c r="F10812">
        <v>20140709</v>
      </c>
      <c r="G10812" t="s">
        <v>643</v>
      </c>
      <c r="H10812" t="s">
        <v>488</v>
      </c>
      <c r="I10812" t="s">
        <v>21</v>
      </c>
    </row>
    <row r="10813" spans="1:9" x14ac:dyDescent="0.25">
      <c r="A10813">
        <v>20140710</v>
      </c>
      <c r="B10813" t="str">
        <f t="shared" si="621"/>
        <v>116444</v>
      </c>
      <c r="C10813" t="str">
        <f t="shared" si="622"/>
        <v>87714</v>
      </c>
      <c r="D10813" t="s">
        <v>3141</v>
      </c>
      <c r="E10813">
        <v>11.41</v>
      </c>
      <c r="F10813">
        <v>20140709</v>
      </c>
      <c r="G10813" t="s">
        <v>467</v>
      </c>
      <c r="H10813" t="s">
        <v>488</v>
      </c>
      <c r="I10813" t="s">
        <v>21</v>
      </c>
    </row>
    <row r="10814" spans="1:9" x14ac:dyDescent="0.25">
      <c r="A10814">
        <v>20140710</v>
      </c>
      <c r="B10814" t="str">
        <f>"116445"</f>
        <v>116445</v>
      </c>
      <c r="C10814" t="str">
        <f>"82613"</f>
        <v>82613</v>
      </c>
      <c r="D10814" t="s">
        <v>546</v>
      </c>
      <c r="E10814">
        <v>198</v>
      </c>
      <c r="F10814">
        <v>20140709</v>
      </c>
      <c r="G10814" t="s">
        <v>337</v>
      </c>
      <c r="H10814" t="s">
        <v>1407</v>
      </c>
      <c r="I10814" t="s">
        <v>21</v>
      </c>
    </row>
    <row r="10815" spans="1:9" x14ac:dyDescent="0.25">
      <c r="A10815">
        <v>20140710</v>
      </c>
      <c r="B10815" t="str">
        <f>"116446"</f>
        <v>116446</v>
      </c>
      <c r="C10815" t="str">
        <f>"26180"</f>
        <v>26180</v>
      </c>
      <c r="D10815" t="s">
        <v>2933</v>
      </c>
      <c r="E10815" s="1">
        <v>5450.5</v>
      </c>
      <c r="F10815">
        <v>20140707</v>
      </c>
      <c r="G10815" t="s">
        <v>1271</v>
      </c>
      <c r="H10815" t="s">
        <v>4741</v>
      </c>
      <c r="I10815" t="s">
        <v>21</v>
      </c>
    </row>
    <row r="10816" spans="1:9" x14ac:dyDescent="0.25">
      <c r="A10816">
        <v>20140710</v>
      </c>
      <c r="B10816" t="str">
        <f>"116447"</f>
        <v>116447</v>
      </c>
      <c r="C10816" t="str">
        <f>"29227"</f>
        <v>29227</v>
      </c>
      <c r="D10816" t="s">
        <v>1236</v>
      </c>
      <c r="E10816">
        <v>32.630000000000003</v>
      </c>
      <c r="F10816">
        <v>20140707</v>
      </c>
      <c r="G10816" t="s">
        <v>367</v>
      </c>
      <c r="H10816" t="s">
        <v>4742</v>
      </c>
      <c r="I10816" t="s">
        <v>21</v>
      </c>
    </row>
    <row r="10817" spans="1:9" x14ac:dyDescent="0.25">
      <c r="A10817">
        <v>20140710</v>
      </c>
      <c r="B10817" t="str">
        <f>"116447"</f>
        <v>116447</v>
      </c>
      <c r="C10817" t="str">
        <f>"29227"</f>
        <v>29227</v>
      </c>
      <c r="D10817" t="s">
        <v>1236</v>
      </c>
      <c r="E10817">
        <v>30.35</v>
      </c>
      <c r="F10817">
        <v>20140707</v>
      </c>
      <c r="G10817" t="s">
        <v>99</v>
      </c>
      <c r="H10817" t="s">
        <v>4742</v>
      </c>
      <c r="I10817" t="s">
        <v>21</v>
      </c>
    </row>
    <row r="10818" spans="1:9" x14ac:dyDescent="0.25">
      <c r="A10818">
        <v>20140710</v>
      </c>
      <c r="B10818" t="str">
        <f>"116447"</f>
        <v>116447</v>
      </c>
      <c r="C10818" t="str">
        <f>"29227"</f>
        <v>29227</v>
      </c>
      <c r="D10818" t="s">
        <v>1236</v>
      </c>
      <c r="E10818">
        <v>0.2</v>
      </c>
      <c r="F10818">
        <v>20140707</v>
      </c>
      <c r="G10818" t="s">
        <v>99</v>
      </c>
      <c r="H10818" t="s">
        <v>4742</v>
      </c>
      <c r="I10818" t="s">
        <v>21</v>
      </c>
    </row>
    <row r="10819" spans="1:9" x14ac:dyDescent="0.25">
      <c r="A10819">
        <v>20140710</v>
      </c>
      <c r="B10819" t="str">
        <f>"116448"</f>
        <v>116448</v>
      </c>
      <c r="C10819" t="str">
        <f>"30000"</f>
        <v>30000</v>
      </c>
      <c r="D10819" t="s">
        <v>556</v>
      </c>
      <c r="E10819">
        <v>77.739999999999995</v>
      </c>
      <c r="F10819">
        <v>20140707</v>
      </c>
      <c r="G10819" t="s">
        <v>840</v>
      </c>
      <c r="H10819" t="s">
        <v>839</v>
      </c>
      <c r="I10819" t="s">
        <v>21</v>
      </c>
    </row>
    <row r="10820" spans="1:9" x14ac:dyDescent="0.25">
      <c r="A10820">
        <v>20140710</v>
      </c>
      <c r="B10820" t="str">
        <f>"116448"</f>
        <v>116448</v>
      </c>
      <c r="C10820" t="str">
        <f>"30000"</f>
        <v>30000</v>
      </c>
      <c r="D10820" t="s">
        <v>556</v>
      </c>
      <c r="E10820">
        <v>421.07</v>
      </c>
      <c r="F10820">
        <v>20140707</v>
      </c>
      <c r="G10820" t="s">
        <v>840</v>
      </c>
      <c r="H10820" t="s">
        <v>839</v>
      </c>
      <c r="I10820" t="s">
        <v>21</v>
      </c>
    </row>
    <row r="10821" spans="1:9" x14ac:dyDescent="0.25">
      <c r="A10821">
        <v>20140710</v>
      </c>
      <c r="B10821" t="str">
        <f>"116449"</f>
        <v>116449</v>
      </c>
      <c r="C10821" t="str">
        <f>"84251"</f>
        <v>84251</v>
      </c>
      <c r="D10821" t="s">
        <v>2945</v>
      </c>
      <c r="E10821">
        <v>601.28</v>
      </c>
      <c r="F10821">
        <v>20140708</v>
      </c>
      <c r="G10821" t="s">
        <v>3250</v>
      </c>
      <c r="H10821" t="s">
        <v>365</v>
      </c>
      <c r="I10821" t="s">
        <v>21</v>
      </c>
    </row>
    <row r="10822" spans="1:9" x14ac:dyDescent="0.25">
      <c r="A10822">
        <v>20140710</v>
      </c>
      <c r="B10822" t="str">
        <f>"116450"</f>
        <v>116450</v>
      </c>
      <c r="C10822" t="str">
        <f t="shared" ref="C10822:C10829" si="623">"87380"</f>
        <v>87380</v>
      </c>
      <c r="D10822" t="s">
        <v>355</v>
      </c>
      <c r="E10822">
        <v>300</v>
      </c>
      <c r="F10822">
        <v>20140708</v>
      </c>
      <c r="G10822" t="s">
        <v>356</v>
      </c>
      <c r="H10822" t="s">
        <v>357</v>
      </c>
      <c r="I10822" t="s">
        <v>61</v>
      </c>
    </row>
    <row r="10823" spans="1:9" x14ac:dyDescent="0.25">
      <c r="A10823">
        <v>20140710</v>
      </c>
      <c r="B10823" t="str">
        <f>"116451"</f>
        <v>116451</v>
      </c>
      <c r="C10823" t="str">
        <f t="shared" si="623"/>
        <v>87380</v>
      </c>
      <c r="D10823" t="s">
        <v>355</v>
      </c>
      <c r="E10823">
        <v>300</v>
      </c>
      <c r="F10823">
        <v>20140708</v>
      </c>
      <c r="G10823" t="s">
        <v>356</v>
      </c>
      <c r="H10823" t="s">
        <v>357</v>
      </c>
      <c r="I10823" t="s">
        <v>61</v>
      </c>
    </row>
    <row r="10824" spans="1:9" x14ac:dyDescent="0.25">
      <c r="A10824">
        <v>20140710</v>
      </c>
      <c r="B10824" t="str">
        <f>"116452"</f>
        <v>116452</v>
      </c>
      <c r="C10824" t="str">
        <f t="shared" si="623"/>
        <v>87380</v>
      </c>
      <c r="D10824" t="s">
        <v>355</v>
      </c>
      <c r="E10824">
        <v>300</v>
      </c>
      <c r="F10824">
        <v>20140708</v>
      </c>
      <c r="G10824" t="s">
        <v>356</v>
      </c>
      <c r="H10824" t="s">
        <v>357</v>
      </c>
      <c r="I10824" t="s">
        <v>61</v>
      </c>
    </row>
    <row r="10825" spans="1:9" x14ac:dyDescent="0.25">
      <c r="A10825">
        <v>20140710</v>
      </c>
      <c r="B10825" t="str">
        <f>"116453"</f>
        <v>116453</v>
      </c>
      <c r="C10825" t="str">
        <f t="shared" si="623"/>
        <v>87380</v>
      </c>
      <c r="D10825" t="s">
        <v>355</v>
      </c>
      <c r="E10825">
        <v>300</v>
      </c>
      <c r="F10825">
        <v>20140708</v>
      </c>
      <c r="G10825" t="s">
        <v>356</v>
      </c>
      <c r="H10825" t="s">
        <v>357</v>
      </c>
      <c r="I10825" t="s">
        <v>61</v>
      </c>
    </row>
    <row r="10826" spans="1:9" x14ac:dyDescent="0.25">
      <c r="A10826">
        <v>20140710</v>
      </c>
      <c r="B10826" t="str">
        <f>"116454"</f>
        <v>116454</v>
      </c>
      <c r="C10826" t="str">
        <f t="shared" si="623"/>
        <v>87380</v>
      </c>
      <c r="D10826" t="s">
        <v>355</v>
      </c>
      <c r="E10826">
        <v>225</v>
      </c>
      <c r="F10826">
        <v>20140708</v>
      </c>
      <c r="G10826" t="s">
        <v>356</v>
      </c>
      <c r="H10826" t="s">
        <v>357</v>
      </c>
      <c r="I10826" t="s">
        <v>61</v>
      </c>
    </row>
    <row r="10827" spans="1:9" x14ac:dyDescent="0.25">
      <c r="A10827">
        <v>20140710</v>
      </c>
      <c r="B10827" t="str">
        <f>"116455"</f>
        <v>116455</v>
      </c>
      <c r="C10827" t="str">
        <f t="shared" si="623"/>
        <v>87380</v>
      </c>
      <c r="D10827" t="s">
        <v>355</v>
      </c>
      <c r="E10827">
        <v>225</v>
      </c>
      <c r="F10827">
        <v>20140708</v>
      </c>
      <c r="G10827" t="s">
        <v>356</v>
      </c>
      <c r="H10827" t="s">
        <v>357</v>
      </c>
      <c r="I10827" t="s">
        <v>61</v>
      </c>
    </row>
    <row r="10828" spans="1:9" x14ac:dyDescent="0.25">
      <c r="A10828">
        <v>20140710</v>
      </c>
      <c r="B10828" t="str">
        <f>"116456"</f>
        <v>116456</v>
      </c>
      <c r="C10828" t="str">
        <f t="shared" si="623"/>
        <v>87380</v>
      </c>
      <c r="D10828" t="s">
        <v>355</v>
      </c>
      <c r="E10828">
        <v>225</v>
      </c>
      <c r="F10828">
        <v>20140708</v>
      </c>
      <c r="G10828" t="s">
        <v>356</v>
      </c>
      <c r="H10828" t="s">
        <v>357</v>
      </c>
      <c r="I10828" t="s">
        <v>61</v>
      </c>
    </row>
    <row r="10829" spans="1:9" x14ac:dyDescent="0.25">
      <c r="A10829">
        <v>20140710</v>
      </c>
      <c r="B10829" t="str">
        <f>"116457"</f>
        <v>116457</v>
      </c>
      <c r="C10829" t="str">
        <f t="shared" si="623"/>
        <v>87380</v>
      </c>
      <c r="D10829" t="s">
        <v>355</v>
      </c>
      <c r="E10829">
        <v>100</v>
      </c>
      <c r="F10829">
        <v>20140708</v>
      </c>
      <c r="G10829" t="s">
        <v>356</v>
      </c>
      <c r="H10829" t="s">
        <v>357</v>
      </c>
      <c r="I10829" t="s">
        <v>61</v>
      </c>
    </row>
    <row r="10830" spans="1:9" x14ac:dyDescent="0.25">
      <c r="A10830">
        <v>20140710</v>
      </c>
      <c r="B10830" t="str">
        <f>"116458"</f>
        <v>116458</v>
      </c>
      <c r="C10830" t="str">
        <f>"84980"</f>
        <v>84980</v>
      </c>
      <c r="D10830" t="s">
        <v>591</v>
      </c>
      <c r="E10830">
        <v>90.91</v>
      </c>
      <c r="F10830">
        <v>20140708</v>
      </c>
      <c r="G10830" t="s">
        <v>837</v>
      </c>
      <c r="H10830" t="s">
        <v>414</v>
      </c>
      <c r="I10830" t="s">
        <v>21</v>
      </c>
    </row>
    <row r="10831" spans="1:9" x14ac:dyDescent="0.25">
      <c r="A10831">
        <v>20140710</v>
      </c>
      <c r="B10831" t="str">
        <f>"116459"</f>
        <v>116459</v>
      </c>
      <c r="C10831" t="str">
        <f>"32794"</f>
        <v>32794</v>
      </c>
      <c r="D10831" t="s">
        <v>4743</v>
      </c>
      <c r="E10831">
        <v>82.17</v>
      </c>
      <c r="F10831">
        <v>20140707</v>
      </c>
      <c r="G10831" t="s">
        <v>442</v>
      </c>
      <c r="H10831" t="s">
        <v>365</v>
      </c>
      <c r="I10831" t="s">
        <v>66</v>
      </c>
    </row>
    <row r="10832" spans="1:9" x14ac:dyDescent="0.25">
      <c r="A10832">
        <v>20140710</v>
      </c>
      <c r="B10832" t="str">
        <f>"116460"</f>
        <v>116460</v>
      </c>
      <c r="C10832" t="str">
        <f>"81072"</f>
        <v>81072</v>
      </c>
      <c r="D10832" t="s">
        <v>598</v>
      </c>
      <c r="E10832" s="1">
        <v>1900</v>
      </c>
      <c r="F10832">
        <v>20140709</v>
      </c>
      <c r="G10832" t="s">
        <v>746</v>
      </c>
      <c r="H10832" t="s">
        <v>555</v>
      </c>
      <c r="I10832" t="s">
        <v>21</v>
      </c>
    </row>
    <row r="10833" spans="1:9" x14ac:dyDescent="0.25">
      <c r="A10833">
        <v>20140710</v>
      </c>
      <c r="B10833" t="str">
        <f>"116461"</f>
        <v>116461</v>
      </c>
      <c r="C10833" t="str">
        <f>"83880"</f>
        <v>83880</v>
      </c>
      <c r="D10833" t="s">
        <v>865</v>
      </c>
      <c r="E10833">
        <v>171.72</v>
      </c>
      <c r="F10833">
        <v>20140708</v>
      </c>
      <c r="G10833" t="s">
        <v>41</v>
      </c>
      <c r="H10833" t="s">
        <v>354</v>
      </c>
      <c r="I10833" t="s">
        <v>38</v>
      </c>
    </row>
    <row r="10834" spans="1:9" x14ac:dyDescent="0.25">
      <c r="A10834">
        <v>20140710</v>
      </c>
      <c r="B10834" t="str">
        <f>"116462"</f>
        <v>116462</v>
      </c>
      <c r="C10834" t="str">
        <f>"87088"</f>
        <v>87088</v>
      </c>
      <c r="D10834" t="s">
        <v>1097</v>
      </c>
      <c r="E10834" s="1">
        <v>5170.96</v>
      </c>
      <c r="F10834">
        <v>20140709</v>
      </c>
      <c r="G10834" t="s">
        <v>1271</v>
      </c>
      <c r="H10834" t="s">
        <v>1098</v>
      </c>
      <c r="I10834" t="s">
        <v>21</v>
      </c>
    </row>
    <row r="10835" spans="1:9" x14ac:dyDescent="0.25">
      <c r="A10835">
        <v>20140710</v>
      </c>
      <c r="B10835" t="str">
        <f>"116463"</f>
        <v>116463</v>
      </c>
      <c r="C10835" t="str">
        <f>"37740"</f>
        <v>37740</v>
      </c>
      <c r="D10835" t="s">
        <v>1442</v>
      </c>
      <c r="E10835" s="1">
        <v>1569.39</v>
      </c>
      <c r="F10835">
        <v>20140709</v>
      </c>
      <c r="G10835" t="s">
        <v>1329</v>
      </c>
      <c r="H10835" t="s">
        <v>4744</v>
      </c>
      <c r="I10835" t="s">
        <v>21</v>
      </c>
    </row>
    <row r="10836" spans="1:9" x14ac:dyDescent="0.25">
      <c r="A10836">
        <v>20140710</v>
      </c>
      <c r="B10836" t="str">
        <f>"116464"</f>
        <v>116464</v>
      </c>
      <c r="C10836" t="str">
        <f>"38425"</f>
        <v>38425</v>
      </c>
      <c r="D10836" t="s">
        <v>4248</v>
      </c>
      <c r="E10836" s="1">
        <v>1450</v>
      </c>
      <c r="F10836">
        <v>20140709</v>
      </c>
      <c r="G10836" t="s">
        <v>340</v>
      </c>
      <c r="H10836" t="s">
        <v>4249</v>
      </c>
      <c r="I10836" t="s">
        <v>21</v>
      </c>
    </row>
    <row r="10837" spans="1:9" x14ac:dyDescent="0.25">
      <c r="A10837">
        <v>20140710</v>
      </c>
      <c r="B10837" t="str">
        <f>"116465"</f>
        <v>116465</v>
      </c>
      <c r="C10837" t="str">
        <f>"39315"</f>
        <v>39315</v>
      </c>
      <c r="D10837" t="s">
        <v>420</v>
      </c>
      <c r="E10837">
        <v>56.72</v>
      </c>
      <c r="F10837">
        <v>20140707</v>
      </c>
      <c r="G10837" t="s">
        <v>202</v>
      </c>
      <c r="H10837" t="s">
        <v>365</v>
      </c>
      <c r="I10837" t="s">
        <v>12</v>
      </c>
    </row>
    <row r="10838" spans="1:9" x14ac:dyDescent="0.25">
      <c r="A10838">
        <v>20140710</v>
      </c>
      <c r="B10838" t="str">
        <f>"116466"</f>
        <v>116466</v>
      </c>
      <c r="C10838" t="str">
        <f>"85862"</f>
        <v>85862</v>
      </c>
      <c r="D10838" t="s">
        <v>1993</v>
      </c>
      <c r="E10838">
        <v>85.55</v>
      </c>
      <c r="F10838">
        <v>20140707</v>
      </c>
      <c r="G10838" t="s">
        <v>797</v>
      </c>
      <c r="H10838" t="s">
        <v>365</v>
      </c>
      <c r="I10838" t="s">
        <v>66</v>
      </c>
    </row>
    <row r="10839" spans="1:9" x14ac:dyDescent="0.25">
      <c r="A10839">
        <v>20140710</v>
      </c>
      <c r="B10839" t="str">
        <f>"116466"</f>
        <v>116466</v>
      </c>
      <c r="C10839" t="str">
        <f>"85862"</f>
        <v>85862</v>
      </c>
      <c r="D10839" t="s">
        <v>1993</v>
      </c>
      <c r="E10839">
        <v>-85.55</v>
      </c>
      <c r="F10839">
        <v>20140807</v>
      </c>
      <c r="G10839" t="s">
        <v>797</v>
      </c>
      <c r="H10839" t="s">
        <v>4128</v>
      </c>
      <c r="I10839" t="s">
        <v>66</v>
      </c>
    </row>
    <row r="10840" spans="1:9" x14ac:dyDescent="0.25">
      <c r="A10840">
        <v>20140710</v>
      </c>
      <c r="B10840" t="str">
        <f>"116467"</f>
        <v>116467</v>
      </c>
      <c r="C10840" t="str">
        <f>"40448"</f>
        <v>40448</v>
      </c>
      <c r="D10840" t="s">
        <v>613</v>
      </c>
      <c r="E10840">
        <v>100</v>
      </c>
      <c r="F10840">
        <v>20140709</v>
      </c>
      <c r="G10840" t="s">
        <v>340</v>
      </c>
      <c r="H10840" t="s">
        <v>1452</v>
      </c>
      <c r="I10840" t="s">
        <v>21</v>
      </c>
    </row>
    <row r="10841" spans="1:9" x14ac:dyDescent="0.25">
      <c r="A10841">
        <v>20140710</v>
      </c>
      <c r="B10841" t="str">
        <f>"116468"</f>
        <v>116468</v>
      </c>
      <c r="C10841" t="str">
        <f>"40500"</f>
        <v>40500</v>
      </c>
      <c r="D10841" t="s">
        <v>4745</v>
      </c>
      <c r="E10841">
        <v>69</v>
      </c>
      <c r="F10841">
        <v>20140709</v>
      </c>
      <c r="G10841" t="s">
        <v>426</v>
      </c>
      <c r="H10841" t="s">
        <v>427</v>
      </c>
      <c r="I10841" t="s">
        <v>21</v>
      </c>
    </row>
    <row r="10842" spans="1:9" x14ac:dyDescent="0.25">
      <c r="A10842">
        <v>20140710</v>
      </c>
      <c r="B10842" t="str">
        <f>"116469"</f>
        <v>116469</v>
      </c>
      <c r="C10842" t="str">
        <f>"87905"</f>
        <v>87905</v>
      </c>
      <c r="D10842" t="s">
        <v>4746</v>
      </c>
      <c r="E10842">
        <v>466.42</v>
      </c>
      <c r="F10842">
        <v>20140707</v>
      </c>
      <c r="G10842" t="s">
        <v>426</v>
      </c>
      <c r="H10842" t="s">
        <v>365</v>
      </c>
      <c r="I10842" t="s">
        <v>21</v>
      </c>
    </row>
    <row r="10843" spans="1:9" x14ac:dyDescent="0.25">
      <c r="A10843">
        <v>20140710</v>
      </c>
      <c r="B10843" t="str">
        <f>"116470"</f>
        <v>116470</v>
      </c>
      <c r="C10843" t="str">
        <f>"40910"</f>
        <v>40910</v>
      </c>
      <c r="D10843" t="s">
        <v>1886</v>
      </c>
      <c r="E10843" s="1">
        <v>3477.79</v>
      </c>
      <c r="F10843">
        <v>20140708</v>
      </c>
      <c r="G10843" t="s">
        <v>3555</v>
      </c>
      <c r="H10843" t="s">
        <v>839</v>
      </c>
      <c r="I10843" t="s">
        <v>12</v>
      </c>
    </row>
    <row r="10844" spans="1:9" x14ac:dyDescent="0.25">
      <c r="A10844">
        <v>20140710</v>
      </c>
      <c r="B10844" t="str">
        <f>"116471"</f>
        <v>116471</v>
      </c>
      <c r="C10844" t="str">
        <f>"85363"</f>
        <v>85363</v>
      </c>
      <c r="D10844" t="s">
        <v>1996</v>
      </c>
      <c r="E10844" s="1">
        <v>1046.07</v>
      </c>
      <c r="F10844">
        <v>20140707</v>
      </c>
      <c r="G10844" t="s">
        <v>526</v>
      </c>
      <c r="H10844" t="s">
        <v>4747</v>
      </c>
      <c r="I10844" t="s">
        <v>21</v>
      </c>
    </row>
    <row r="10845" spans="1:9" x14ac:dyDescent="0.25">
      <c r="A10845">
        <v>20140710</v>
      </c>
      <c r="B10845" t="str">
        <f>"116472"</f>
        <v>116472</v>
      </c>
      <c r="C10845" t="str">
        <f>"43798"</f>
        <v>43798</v>
      </c>
      <c r="D10845" t="s">
        <v>620</v>
      </c>
      <c r="E10845" s="1">
        <v>1056</v>
      </c>
      <c r="F10845">
        <v>20140709</v>
      </c>
      <c r="G10845" t="s">
        <v>337</v>
      </c>
      <c r="H10845" t="s">
        <v>547</v>
      </c>
      <c r="I10845" t="s">
        <v>21</v>
      </c>
    </row>
    <row r="10846" spans="1:9" x14ac:dyDescent="0.25">
      <c r="A10846">
        <v>20140710</v>
      </c>
      <c r="B10846" t="str">
        <f>"116473"</f>
        <v>116473</v>
      </c>
      <c r="C10846" t="str">
        <f>"82621"</f>
        <v>82621</v>
      </c>
      <c r="D10846" t="s">
        <v>4748</v>
      </c>
      <c r="E10846">
        <v>669.78</v>
      </c>
      <c r="F10846">
        <v>20140707</v>
      </c>
      <c r="G10846" t="s">
        <v>48</v>
      </c>
      <c r="H10846" t="s">
        <v>4749</v>
      </c>
      <c r="I10846" t="s">
        <v>25</v>
      </c>
    </row>
    <row r="10847" spans="1:9" x14ac:dyDescent="0.25">
      <c r="A10847">
        <v>20140710</v>
      </c>
      <c r="B10847" t="str">
        <f>"116474"</f>
        <v>116474</v>
      </c>
      <c r="C10847" t="str">
        <f>"43815"</f>
        <v>43815</v>
      </c>
      <c r="D10847" t="s">
        <v>4618</v>
      </c>
      <c r="E10847" s="1">
        <v>1000</v>
      </c>
      <c r="F10847">
        <v>20140709</v>
      </c>
      <c r="G10847" t="s">
        <v>1140</v>
      </c>
      <c r="H10847" t="s">
        <v>3298</v>
      </c>
      <c r="I10847" t="s">
        <v>12</v>
      </c>
    </row>
    <row r="10848" spans="1:9" x14ac:dyDescent="0.25">
      <c r="A10848">
        <v>20140710</v>
      </c>
      <c r="B10848" t="str">
        <f>"116475"</f>
        <v>116475</v>
      </c>
      <c r="C10848" t="str">
        <f>"86100"</f>
        <v>86100</v>
      </c>
      <c r="D10848" t="s">
        <v>3415</v>
      </c>
      <c r="E10848">
        <v>54</v>
      </c>
      <c r="F10848">
        <v>20140707</v>
      </c>
      <c r="G10848" t="s">
        <v>4416</v>
      </c>
      <c r="H10848" t="s">
        <v>365</v>
      </c>
      <c r="I10848" t="s">
        <v>131</v>
      </c>
    </row>
    <row r="10849" spans="1:9" x14ac:dyDescent="0.25">
      <c r="A10849">
        <v>20140710</v>
      </c>
      <c r="B10849" t="str">
        <f>"116475"</f>
        <v>116475</v>
      </c>
      <c r="C10849" t="str">
        <f>"86100"</f>
        <v>86100</v>
      </c>
      <c r="D10849" t="s">
        <v>3415</v>
      </c>
      <c r="E10849">
        <v>92.78</v>
      </c>
      <c r="F10849">
        <v>20140707</v>
      </c>
      <c r="G10849" t="s">
        <v>3250</v>
      </c>
      <c r="H10849" t="s">
        <v>365</v>
      </c>
      <c r="I10849" t="s">
        <v>21</v>
      </c>
    </row>
    <row r="10850" spans="1:9" x14ac:dyDescent="0.25">
      <c r="A10850">
        <v>20140710</v>
      </c>
      <c r="B10850" t="str">
        <f>"116476"</f>
        <v>116476</v>
      </c>
      <c r="C10850" t="str">
        <f>"45465"</f>
        <v>45465</v>
      </c>
      <c r="D10850" t="s">
        <v>1473</v>
      </c>
      <c r="E10850">
        <v>258.88</v>
      </c>
      <c r="F10850">
        <v>20140709</v>
      </c>
      <c r="G10850" t="s">
        <v>392</v>
      </c>
      <c r="H10850" t="s">
        <v>414</v>
      </c>
      <c r="I10850" t="s">
        <v>21</v>
      </c>
    </row>
    <row r="10851" spans="1:9" x14ac:dyDescent="0.25">
      <c r="A10851">
        <v>20140710</v>
      </c>
      <c r="B10851" t="str">
        <f>"116476"</f>
        <v>116476</v>
      </c>
      <c r="C10851" t="str">
        <f>"45465"</f>
        <v>45465</v>
      </c>
      <c r="D10851" t="s">
        <v>1473</v>
      </c>
      <c r="E10851">
        <v>-237.12</v>
      </c>
      <c r="F10851">
        <v>20140710</v>
      </c>
      <c r="G10851" t="s">
        <v>392</v>
      </c>
      <c r="H10851" t="s">
        <v>414</v>
      </c>
      <c r="I10851" t="s">
        <v>21</v>
      </c>
    </row>
    <row r="10852" spans="1:9" x14ac:dyDescent="0.25">
      <c r="A10852">
        <v>20140710</v>
      </c>
      <c r="B10852" t="str">
        <f>"116477"</f>
        <v>116477</v>
      </c>
      <c r="C10852" t="str">
        <f>"46500"</f>
        <v>46500</v>
      </c>
      <c r="D10852" t="s">
        <v>626</v>
      </c>
      <c r="E10852">
        <v>119.8</v>
      </c>
      <c r="F10852">
        <v>20140709</v>
      </c>
      <c r="G10852" t="s">
        <v>415</v>
      </c>
      <c r="H10852" t="s">
        <v>414</v>
      </c>
      <c r="I10852" t="s">
        <v>21</v>
      </c>
    </row>
    <row r="10853" spans="1:9" x14ac:dyDescent="0.25">
      <c r="A10853">
        <v>20140710</v>
      </c>
      <c r="B10853" t="str">
        <f>"116477"</f>
        <v>116477</v>
      </c>
      <c r="C10853" t="str">
        <f>"46500"</f>
        <v>46500</v>
      </c>
      <c r="D10853" t="s">
        <v>626</v>
      </c>
      <c r="E10853">
        <v>262.01</v>
      </c>
      <c r="F10853">
        <v>20140709</v>
      </c>
      <c r="G10853" t="s">
        <v>631</v>
      </c>
      <c r="H10853" t="s">
        <v>414</v>
      </c>
      <c r="I10853" t="s">
        <v>21</v>
      </c>
    </row>
    <row r="10854" spans="1:9" x14ac:dyDescent="0.25">
      <c r="A10854">
        <v>20140710</v>
      </c>
      <c r="B10854" t="str">
        <f>"116477"</f>
        <v>116477</v>
      </c>
      <c r="C10854" t="str">
        <f>"46500"</f>
        <v>46500</v>
      </c>
      <c r="D10854" t="s">
        <v>626</v>
      </c>
      <c r="E10854">
        <v>112.21</v>
      </c>
      <c r="F10854">
        <v>20140709</v>
      </c>
      <c r="G10854" t="s">
        <v>392</v>
      </c>
      <c r="H10854" t="s">
        <v>414</v>
      </c>
      <c r="I10854" t="s">
        <v>21</v>
      </c>
    </row>
    <row r="10855" spans="1:9" x14ac:dyDescent="0.25">
      <c r="A10855">
        <v>20140710</v>
      </c>
      <c r="B10855" t="str">
        <f>"116477"</f>
        <v>116477</v>
      </c>
      <c r="C10855" t="str">
        <f>"46500"</f>
        <v>46500</v>
      </c>
      <c r="D10855" t="s">
        <v>626</v>
      </c>
      <c r="E10855" s="1">
        <v>1513.97</v>
      </c>
      <c r="F10855">
        <v>20140709</v>
      </c>
      <c r="G10855" t="s">
        <v>3820</v>
      </c>
      <c r="H10855" t="s">
        <v>414</v>
      </c>
      <c r="I10855" t="s">
        <v>21</v>
      </c>
    </row>
    <row r="10856" spans="1:9" x14ac:dyDescent="0.25">
      <c r="A10856">
        <v>20140710</v>
      </c>
      <c r="B10856" t="str">
        <f>"116478"</f>
        <v>116478</v>
      </c>
      <c r="C10856" t="str">
        <f>"83125"</f>
        <v>83125</v>
      </c>
      <c r="D10856" t="s">
        <v>3049</v>
      </c>
      <c r="E10856">
        <v>40.81</v>
      </c>
      <c r="F10856">
        <v>20140707</v>
      </c>
      <c r="G10856" t="s">
        <v>4371</v>
      </c>
      <c r="H10856" t="s">
        <v>365</v>
      </c>
      <c r="I10856" t="s">
        <v>66</v>
      </c>
    </row>
    <row r="10857" spans="1:9" x14ac:dyDescent="0.25">
      <c r="A10857">
        <v>20140710</v>
      </c>
      <c r="B10857" t="str">
        <f>"116479"</f>
        <v>116479</v>
      </c>
      <c r="C10857" t="str">
        <f>"82365"</f>
        <v>82365</v>
      </c>
      <c r="D10857" t="s">
        <v>1477</v>
      </c>
      <c r="E10857">
        <v>273.39</v>
      </c>
      <c r="F10857">
        <v>20140707</v>
      </c>
      <c r="G10857" t="s">
        <v>1478</v>
      </c>
      <c r="H10857" t="s">
        <v>3939</v>
      </c>
      <c r="I10857" t="s">
        <v>21</v>
      </c>
    </row>
    <row r="10858" spans="1:9" x14ac:dyDescent="0.25">
      <c r="A10858">
        <v>20140710</v>
      </c>
      <c r="B10858" t="str">
        <f>"116480"</f>
        <v>116480</v>
      </c>
      <c r="C10858" t="str">
        <f>"87906"</f>
        <v>87906</v>
      </c>
      <c r="D10858" t="s">
        <v>4750</v>
      </c>
      <c r="E10858">
        <v>272.58999999999997</v>
      </c>
      <c r="F10858">
        <v>20140707</v>
      </c>
      <c r="G10858" t="s">
        <v>413</v>
      </c>
      <c r="H10858" t="s">
        <v>414</v>
      </c>
      <c r="I10858" t="s">
        <v>21</v>
      </c>
    </row>
    <row r="10859" spans="1:9" x14ac:dyDescent="0.25">
      <c r="A10859">
        <v>20140710</v>
      </c>
      <c r="B10859" t="str">
        <f>"116481"</f>
        <v>116481</v>
      </c>
      <c r="C10859" t="str">
        <f>"49813"</f>
        <v>49813</v>
      </c>
      <c r="D10859" t="s">
        <v>4751</v>
      </c>
      <c r="E10859">
        <v>260</v>
      </c>
      <c r="F10859">
        <v>20140708</v>
      </c>
      <c r="G10859" t="s">
        <v>975</v>
      </c>
      <c r="H10859" t="s">
        <v>388</v>
      </c>
      <c r="I10859" t="s">
        <v>21</v>
      </c>
    </row>
    <row r="10860" spans="1:9" x14ac:dyDescent="0.25">
      <c r="A10860">
        <v>20140710</v>
      </c>
      <c r="B10860" t="str">
        <f>"116481"</f>
        <v>116481</v>
      </c>
      <c r="C10860" t="str">
        <f>"49813"</f>
        <v>49813</v>
      </c>
      <c r="D10860" t="s">
        <v>4751</v>
      </c>
      <c r="E10860">
        <v>245</v>
      </c>
      <c r="F10860">
        <v>20140708</v>
      </c>
      <c r="G10860" t="s">
        <v>975</v>
      </c>
      <c r="H10860" t="s">
        <v>388</v>
      </c>
      <c r="I10860" t="s">
        <v>21</v>
      </c>
    </row>
    <row r="10861" spans="1:9" x14ac:dyDescent="0.25">
      <c r="A10861">
        <v>20140710</v>
      </c>
      <c r="B10861" t="str">
        <f>"116482"</f>
        <v>116482</v>
      </c>
      <c r="C10861" t="str">
        <f>"82192"</f>
        <v>82192</v>
      </c>
      <c r="D10861" t="s">
        <v>642</v>
      </c>
      <c r="E10861" s="1">
        <v>5836</v>
      </c>
      <c r="F10861">
        <v>20140709</v>
      </c>
      <c r="G10861" t="s">
        <v>643</v>
      </c>
      <c r="H10861" t="s">
        <v>488</v>
      </c>
      <c r="I10861" t="s">
        <v>21</v>
      </c>
    </row>
    <row r="10862" spans="1:9" x14ac:dyDescent="0.25">
      <c r="A10862">
        <v>20140710</v>
      </c>
      <c r="B10862" t="str">
        <f>"116483"</f>
        <v>116483</v>
      </c>
      <c r="C10862" t="str">
        <f>"85760"</f>
        <v>85760</v>
      </c>
      <c r="D10862" t="s">
        <v>1485</v>
      </c>
      <c r="E10862">
        <v>103.2</v>
      </c>
      <c r="F10862">
        <v>20140709</v>
      </c>
      <c r="G10862" t="s">
        <v>3820</v>
      </c>
      <c r="H10862" t="s">
        <v>4752</v>
      </c>
      <c r="I10862" t="s">
        <v>21</v>
      </c>
    </row>
    <row r="10863" spans="1:9" x14ac:dyDescent="0.25">
      <c r="A10863">
        <v>20140710</v>
      </c>
      <c r="B10863" t="str">
        <f>"116484"</f>
        <v>116484</v>
      </c>
      <c r="C10863" t="str">
        <f>"85770"</f>
        <v>85770</v>
      </c>
      <c r="D10863" t="s">
        <v>363</v>
      </c>
      <c r="E10863">
        <v>39.380000000000003</v>
      </c>
      <c r="F10863">
        <v>20140709</v>
      </c>
      <c r="G10863" t="s">
        <v>364</v>
      </c>
      <c r="H10863" t="s">
        <v>563</v>
      </c>
      <c r="I10863" t="s">
        <v>21</v>
      </c>
    </row>
    <row r="10864" spans="1:9" x14ac:dyDescent="0.25">
      <c r="A10864">
        <v>20140710</v>
      </c>
      <c r="B10864" t="str">
        <f>"116485"</f>
        <v>116485</v>
      </c>
      <c r="C10864" t="str">
        <f>"50950"</f>
        <v>50950</v>
      </c>
      <c r="D10864" t="s">
        <v>2240</v>
      </c>
      <c r="E10864">
        <v>238</v>
      </c>
      <c r="F10864">
        <v>20140708</v>
      </c>
      <c r="G10864" t="s">
        <v>415</v>
      </c>
      <c r="H10864" t="s">
        <v>4753</v>
      </c>
      <c r="I10864" t="s">
        <v>21</v>
      </c>
    </row>
    <row r="10865" spans="1:9" x14ac:dyDescent="0.25">
      <c r="A10865">
        <v>20140710</v>
      </c>
      <c r="B10865" t="str">
        <f>"116486"</f>
        <v>116486</v>
      </c>
      <c r="C10865" t="str">
        <f>"85984"</f>
        <v>85984</v>
      </c>
      <c r="D10865" t="s">
        <v>2013</v>
      </c>
      <c r="E10865">
        <v>5.43</v>
      </c>
      <c r="F10865">
        <v>20140709</v>
      </c>
      <c r="G10865" t="s">
        <v>426</v>
      </c>
      <c r="H10865" t="s">
        <v>968</v>
      </c>
      <c r="I10865" t="s">
        <v>21</v>
      </c>
    </row>
    <row r="10866" spans="1:9" x14ac:dyDescent="0.25">
      <c r="A10866">
        <v>20140710</v>
      </c>
      <c r="B10866" t="str">
        <f>"116487"</f>
        <v>116487</v>
      </c>
      <c r="C10866" t="str">
        <f>"85984"</f>
        <v>85984</v>
      </c>
      <c r="D10866" t="s">
        <v>2013</v>
      </c>
      <c r="E10866">
        <v>4.7</v>
      </c>
      <c r="F10866">
        <v>20140707</v>
      </c>
      <c r="G10866" t="s">
        <v>426</v>
      </c>
      <c r="H10866" t="s">
        <v>968</v>
      </c>
      <c r="I10866" t="s">
        <v>21</v>
      </c>
    </row>
    <row r="10867" spans="1:9" x14ac:dyDescent="0.25">
      <c r="A10867">
        <v>20140710</v>
      </c>
      <c r="B10867" t="str">
        <f>"116488"</f>
        <v>116488</v>
      </c>
      <c r="C10867" t="str">
        <f>"85984"</f>
        <v>85984</v>
      </c>
      <c r="D10867" t="s">
        <v>2013</v>
      </c>
      <c r="E10867">
        <v>4.68</v>
      </c>
      <c r="F10867">
        <v>20140709</v>
      </c>
      <c r="G10867" t="s">
        <v>426</v>
      </c>
      <c r="H10867" t="s">
        <v>968</v>
      </c>
      <c r="I10867" t="s">
        <v>21</v>
      </c>
    </row>
    <row r="10868" spans="1:9" x14ac:dyDescent="0.25">
      <c r="A10868">
        <v>20140710</v>
      </c>
      <c r="B10868" t="str">
        <f>"116489"</f>
        <v>116489</v>
      </c>
      <c r="C10868" t="str">
        <f>"85984"</f>
        <v>85984</v>
      </c>
      <c r="D10868" t="s">
        <v>2013</v>
      </c>
      <c r="E10868">
        <v>3.5</v>
      </c>
      <c r="F10868">
        <v>20140707</v>
      </c>
      <c r="G10868" t="s">
        <v>426</v>
      </c>
      <c r="H10868" t="s">
        <v>968</v>
      </c>
      <c r="I10868" t="s">
        <v>21</v>
      </c>
    </row>
    <row r="10869" spans="1:9" x14ac:dyDescent="0.25">
      <c r="A10869">
        <v>20140710</v>
      </c>
      <c r="B10869" t="str">
        <f>"116490"</f>
        <v>116490</v>
      </c>
      <c r="C10869" t="str">
        <f>"87626"</f>
        <v>87626</v>
      </c>
      <c r="D10869" t="s">
        <v>2864</v>
      </c>
      <c r="E10869" s="1">
        <v>6976.97</v>
      </c>
      <c r="F10869">
        <v>20140707</v>
      </c>
      <c r="G10869" t="s">
        <v>1806</v>
      </c>
      <c r="H10869" t="s">
        <v>4754</v>
      </c>
      <c r="I10869" t="s">
        <v>21</v>
      </c>
    </row>
    <row r="10870" spans="1:9" x14ac:dyDescent="0.25">
      <c r="A10870">
        <v>20140710</v>
      </c>
      <c r="B10870" t="str">
        <f>"116491"</f>
        <v>116491</v>
      </c>
      <c r="C10870" t="str">
        <f>"52518"</f>
        <v>52518</v>
      </c>
      <c r="D10870" t="s">
        <v>647</v>
      </c>
      <c r="E10870">
        <v>856.91</v>
      </c>
      <c r="F10870">
        <v>20140709</v>
      </c>
      <c r="G10870" t="s">
        <v>498</v>
      </c>
      <c r="H10870" t="s">
        <v>499</v>
      </c>
      <c r="I10870" t="s">
        <v>21</v>
      </c>
    </row>
    <row r="10871" spans="1:9" x14ac:dyDescent="0.25">
      <c r="A10871">
        <v>20140710</v>
      </c>
      <c r="B10871" t="str">
        <f>"116491"</f>
        <v>116491</v>
      </c>
      <c r="C10871" t="str">
        <f>"52518"</f>
        <v>52518</v>
      </c>
      <c r="D10871" t="s">
        <v>647</v>
      </c>
      <c r="E10871">
        <v>215.2</v>
      </c>
      <c r="F10871">
        <v>20140709</v>
      </c>
      <c r="G10871" t="s">
        <v>496</v>
      </c>
      <c r="H10871" t="s">
        <v>414</v>
      </c>
      <c r="I10871" t="s">
        <v>21</v>
      </c>
    </row>
    <row r="10872" spans="1:9" x14ac:dyDescent="0.25">
      <c r="A10872">
        <v>20140710</v>
      </c>
      <c r="B10872" t="str">
        <f>"116491"</f>
        <v>116491</v>
      </c>
      <c r="C10872" t="str">
        <f>"52518"</f>
        <v>52518</v>
      </c>
      <c r="D10872" t="s">
        <v>647</v>
      </c>
      <c r="E10872">
        <v>16.989999999999998</v>
      </c>
      <c r="F10872">
        <v>20140709</v>
      </c>
      <c r="G10872" t="s">
        <v>392</v>
      </c>
      <c r="H10872" t="s">
        <v>414</v>
      </c>
      <c r="I10872" t="s">
        <v>21</v>
      </c>
    </row>
    <row r="10873" spans="1:9" x14ac:dyDescent="0.25">
      <c r="A10873">
        <v>20140710</v>
      </c>
      <c r="B10873" t="str">
        <f>"116492"</f>
        <v>116492</v>
      </c>
      <c r="C10873" t="str">
        <f>"53300"</f>
        <v>53300</v>
      </c>
      <c r="D10873" t="s">
        <v>1491</v>
      </c>
      <c r="E10873">
        <v>14.99</v>
      </c>
      <c r="F10873">
        <v>20140707</v>
      </c>
      <c r="G10873" t="s">
        <v>392</v>
      </c>
      <c r="H10873" t="s">
        <v>414</v>
      </c>
      <c r="I10873" t="s">
        <v>21</v>
      </c>
    </row>
    <row r="10874" spans="1:9" x14ac:dyDescent="0.25">
      <c r="A10874">
        <v>20140710</v>
      </c>
      <c r="B10874" t="str">
        <f>"116493"</f>
        <v>116493</v>
      </c>
      <c r="C10874" t="str">
        <f>"55675"</f>
        <v>55675</v>
      </c>
      <c r="D10874" t="s">
        <v>1114</v>
      </c>
      <c r="E10874">
        <v>67.69</v>
      </c>
      <c r="F10874">
        <v>20140708</v>
      </c>
      <c r="G10874" t="s">
        <v>2149</v>
      </c>
      <c r="H10874" t="s">
        <v>414</v>
      </c>
      <c r="I10874" t="s">
        <v>25</v>
      </c>
    </row>
    <row r="10875" spans="1:9" x14ac:dyDescent="0.25">
      <c r="A10875">
        <v>20140710</v>
      </c>
      <c r="B10875" t="str">
        <f>"116494"</f>
        <v>116494</v>
      </c>
      <c r="C10875" t="str">
        <f>"87330"</f>
        <v>87330</v>
      </c>
      <c r="D10875" t="s">
        <v>671</v>
      </c>
      <c r="E10875" s="1">
        <v>1750</v>
      </c>
      <c r="F10875">
        <v>20140707</v>
      </c>
      <c r="G10875" t="s">
        <v>672</v>
      </c>
      <c r="H10875" t="s">
        <v>2264</v>
      </c>
      <c r="I10875" t="s">
        <v>21</v>
      </c>
    </row>
    <row r="10876" spans="1:9" x14ac:dyDescent="0.25">
      <c r="A10876">
        <v>20140710</v>
      </c>
      <c r="B10876" t="str">
        <f>"116495"</f>
        <v>116495</v>
      </c>
      <c r="C10876" t="str">
        <f>"59695"</f>
        <v>59695</v>
      </c>
      <c r="D10876" t="s">
        <v>371</v>
      </c>
      <c r="E10876">
        <v>810</v>
      </c>
      <c r="F10876">
        <v>20140707</v>
      </c>
      <c r="G10876" t="s">
        <v>372</v>
      </c>
      <c r="H10876" t="s">
        <v>373</v>
      </c>
      <c r="I10876" t="s">
        <v>21</v>
      </c>
    </row>
    <row r="10877" spans="1:9" x14ac:dyDescent="0.25">
      <c r="A10877">
        <v>20140710</v>
      </c>
      <c r="B10877" t="str">
        <f>"116495"</f>
        <v>116495</v>
      </c>
      <c r="C10877" t="str">
        <f>"59695"</f>
        <v>59695</v>
      </c>
      <c r="D10877" t="s">
        <v>371</v>
      </c>
      <c r="E10877">
        <v>405</v>
      </c>
      <c r="F10877">
        <v>20140707</v>
      </c>
      <c r="G10877" t="s">
        <v>374</v>
      </c>
      <c r="H10877" t="s">
        <v>373</v>
      </c>
      <c r="I10877" t="s">
        <v>21</v>
      </c>
    </row>
    <row r="10878" spans="1:9" x14ac:dyDescent="0.25">
      <c r="A10878">
        <v>20140710</v>
      </c>
      <c r="B10878" t="str">
        <f>"116495"</f>
        <v>116495</v>
      </c>
      <c r="C10878" t="str">
        <f>"59695"</f>
        <v>59695</v>
      </c>
      <c r="D10878" t="s">
        <v>371</v>
      </c>
      <c r="E10878">
        <v>100</v>
      </c>
      <c r="F10878">
        <v>20140707</v>
      </c>
      <c r="G10878" t="s">
        <v>375</v>
      </c>
      <c r="H10878" t="s">
        <v>373</v>
      </c>
      <c r="I10878" t="s">
        <v>21</v>
      </c>
    </row>
    <row r="10879" spans="1:9" x14ac:dyDescent="0.25">
      <c r="A10879">
        <v>20140710</v>
      </c>
      <c r="B10879" t="str">
        <f>"116495"</f>
        <v>116495</v>
      </c>
      <c r="C10879" t="str">
        <f>"59695"</f>
        <v>59695</v>
      </c>
      <c r="D10879" t="s">
        <v>371</v>
      </c>
      <c r="E10879">
        <v>620</v>
      </c>
      <c r="F10879">
        <v>20140707</v>
      </c>
      <c r="G10879" t="s">
        <v>376</v>
      </c>
      <c r="H10879" t="s">
        <v>373</v>
      </c>
      <c r="I10879" t="s">
        <v>21</v>
      </c>
    </row>
    <row r="10880" spans="1:9" x14ac:dyDescent="0.25">
      <c r="A10880">
        <v>20140710</v>
      </c>
      <c r="B10880" t="str">
        <f>"116496"</f>
        <v>116496</v>
      </c>
      <c r="C10880" t="str">
        <f>"87496"</f>
        <v>87496</v>
      </c>
      <c r="D10880" t="s">
        <v>940</v>
      </c>
      <c r="E10880">
        <v>249.83</v>
      </c>
      <c r="F10880">
        <v>20140707</v>
      </c>
      <c r="G10880" t="s">
        <v>189</v>
      </c>
      <c r="H10880" t="s">
        <v>354</v>
      </c>
      <c r="I10880" t="s">
        <v>25</v>
      </c>
    </row>
    <row r="10881" spans="1:9" x14ac:dyDescent="0.25">
      <c r="A10881">
        <v>20140710</v>
      </c>
      <c r="B10881" t="str">
        <f>"116497"</f>
        <v>116497</v>
      </c>
      <c r="C10881" t="str">
        <f>"61920"</f>
        <v>61920</v>
      </c>
      <c r="D10881" t="s">
        <v>4020</v>
      </c>
      <c r="E10881">
        <v>60</v>
      </c>
      <c r="F10881">
        <v>20140707</v>
      </c>
      <c r="G10881" t="s">
        <v>128</v>
      </c>
      <c r="H10881" t="s">
        <v>4755</v>
      </c>
      <c r="I10881" t="s">
        <v>21</v>
      </c>
    </row>
    <row r="10882" spans="1:9" x14ac:dyDescent="0.25">
      <c r="A10882">
        <v>20140710</v>
      </c>
      <c r="B10882" t="str">
        <f>"116498"</f>
        <v>116498</v>
      </c>
      <c r="C10882" t="str">
        <f>"87142"</f>
        <v>87142</v>
      </c>
      <c r="D10882" t="s">
        <v>1923</v>
      </c>
      <c r="E10882">
        <v>70.02</v>
      </c>
      <c r="F10882">
        <v>20140709</v>
      </c>
      <c r="G10882" t="s">
        <v>562</v>
      </c>
      <c r="H10882" t="s">
        <v>563</v>
      </c>
      <c r="I10882" t="s">
        <v>21</v>
      </c>
    </row>
    <row r="10883" spans="1:9" x14ac:dyDescent="0.25">
      <c r="A10883">
        <v>20140710</v>
      </c>
      <c r="B10883" t="str">
        <f>"116498"</f>
        <v>116498</v>
      </c>
      <c r="C10883" t="str">
        <f>"87142"</f>
        <v>87142</v>
      </c>
      <c r="D10883" t="s">
        <v>1923</v>
      </c>
      <c r="E10883">
        <v>58.46</v>
      </c>
      <c r="F10883">
        <v>20140709</v>
      </c>
      <c r="G10883" t="s">
        <v>562</v>
      </c>
      <c r="H10883" t="s">
        <v>563</v>
      </c>
      <c r="I10883" t="s">
        <v>21</v>
      </c>
    </row>
    <row r="10884" spans="1:9" x14ac:dyDescent="0.25">
      <c r="A10884">
        <v>20140710</v>
      </c>
      <c r="B10884" t="str">
        <f>"116499"</f>
        <v>116499</v>
      </c>
      <c r="C10884" t="str">
        <f>"82957"</f>
        <v>82957</v>
      </c>
      <c r="D10884" t="s">
        <v>1927</v>
      </c>
      <c r="E10884" s="1">
        <v>1845.5</v>
      </c>
      <c r="F10884">
        <v>20140707</v>
      </c>
      <c r="G10884" t="s">
        <v>3214</v>
      </c>
      <c r="H10884" t="s">
        <v>4756</v>
      </c>
      <c r="I10884" t="s">
        <v>61</v>
      </c>
    </row>
    <row r="10885" spans="1:9" x14ac:dyDescent="0.25">
      <c r="A10885">
        <v>20140710</v>
      </c>
      <c r="B10885" t="str">
        <f>"116499"</f>
        <v>116499</v>
      </c>
      <c r="C10885" t="str">
        <f>"82957"</f>
        <v>82957</v>
      </c>
      <c r="D10885" t="s">
        <v>1927</v>
      </c>
      <c r="E10885">
        <v>189</v>
      </c>
      <c r="F10885">
        <v>20140707</v>
      </c>
      <c r="G10885" t="s">
        <v>866</v>
      </c>
      <c r="H10885" t="s">
        <v>1928</v>
      </c>
      <c r="I10885" t="s">
        <v>25</v>
      </c>
    </row>
    <row r="10886" spans="1:9" x14ac:dyDescent="0.25">
      <c r="A10886">
        <v>20140710</v>
      </c>
      <c r="B10886" t="str">
        <f>"116500"</f>
        <v>116500</v>
      </c>
      <c r="C10886" t="str">
        <f>"62450"</f>
        <v>62450</v>
      </c>
      <c r="D10886" t="s">
        <v>683</v>
      </c>
      <c r="E10886">
        <v>60</v>
      </c>
      <c r="F10886">
        <v>20140707</v>
      </c>
      <c r="G10886" t="s">
        <v>2677</v>
      </c>
      <c r="H10886" t="s">
        <v>839</v>
      </c>
      <c r="I10886" t="s">
        <v>21</v>
      </c>
    </row>
    <row r="10887" spans="1:9" x14ac:dyDescent="0.25">
      <c r="A10887">
        <v>20140710</v>
      </c>
      <c r="B10887" t="str">
        <f>"116501"</f>
        <v>116501</v>
      </c>
      <c r="C10887" t="str">
        <f>"87772"</f>
        <v>87772</v>
      </c>
      <c r="D10887" t="s">
        <v>3883</v>
      </c>
      <c r="E10887" s="1">
        <v>1244.8</v>
      </c>
      <c r="F10887">
        <v>20140707</v>
      </c>
      <c r="G10887" t="s">
        <v>734</v>
      </c>
      <c r="H10887" t="s">
        <v>4757</v>
      </c>
      <c r="I10887" t="s">
        <v>21</v>
      </c>
    </row>
    <row r="10888" spans="1:9" x14ac:dyDescent="0.25">
      <c r="A10888">
        <v>20140710</v>
      </c>
      <c r="B10888" t="str">
        <f>"116502"</f>
        <v>116502</v>
      </c>
      <c r="C10888" t="str">
        <f>"87907"</f>
        <v>87907</v>
      </c>
      <c r="D10888" t="s">
        <v>4758</v>
      </c>
      <c r="E10888" s="1">
        <v>1800</v>
      </c>
      <c r="F10888">
        <v>20140707</v>
      </c>
      <c r="G10888" t="s">
        <v>4759</v>
      </c>
      <c r="H10888" t="s">
        <v>4709</v>
      </c>
      <c r="I10888" t="s">
        <v>38</v>
      </c>
    </row>
    <row r="10889" spans="1:9" x14ac:dyDescent="0.25">
      <c r="A10889">
        <v>20140710</v>
      </c>
      <c r="B10889" t="str">
        <f>"116503"</f>
        <v>116503</v>
      </c>
      <c r="C10889" t="str">
        <f>"86376"</f>
        <v>86376</v>
      </c>
      <c r="D10889" t="s">
        <v>1661</v>
      </c>
      <c r="E10889" s="1">
        <v>2498</v>
      </c>
      <c r="F10889">
        <v>20140707</v>
      </c>
      <c r="G10889" t="s">
        <v>3627</v>
      </c>
      <c r="H10889" t="s">
        <v>4760</v>
      </c>
      <c r="I10889" t="s">
        <v>21</v>
      </c>
    </row>
    <row r="10890" spans="1:9" x14ac:dyDescent="0.25">
      <c r="A10890">
        <v>20140710</v>
      </c>
      <c r="B10890" t="str">
        <f>"116503"</f>
        <v>116503</v>
      </c>
      <c r="C10890" t="str">
        <f>"86376"</f>
        <v>86376</v>
      </c>
      <c r="D10890" t="s">
        <v>1661</v>
      </c>
      <c r="E10890" s="1">
        <v>6632</v>
      </c>
      <c r="F10890">
        <v>20140707</v>
      </c>
      <c r="G10890" t="s">
        <v>1806</v>
      </c>
      <c r="H10890" t="s">
        <v>4761</v>
      </c>
      <c r="I10890" t="s">
        <v>21</v>
      </c>
    </row>
    <row r="10891" spans="1:9" x14ac:dyDescent="0.25">
      <c r="A10891">
        <v>20140710</v>
      </c>
      <c r="B10891" t="str">
        <f>"116503"</f>
        <v>116503</v>
      </c>
      <c r="C10891" t="str">
        <f>"86376"</f>
        <v>86376</v>
      </c>
      <c r="D10891" t="s">
        <v>1661</v>
      </c>
      <c r="E10891" s="1">
        <v>3571</v>
      </c>
      <c r="F10891">
        <v>20140707</v>
      </c>
      <c r="G10891" t="s">
        <v>2147</v>
      </c>
      <c r="H10891" t="s">
        <v>4762</v>
      </c>
      <c r="I10891" t="s">
        <v>21</v>
      </c>
    </row>
    <row r="10892" spans="1:9" x14ac:dyDescent="0.25">
      <c r="A10892">
        <v>20140710</v>
      </c>
      <c r="B10892" t="str">
        <f>"116504"</f>
        <v>116504</v>
      </c>
      <c r="C10892" t="str">
        <f>"81119"</f>
        <v>81119</v>
      </c>
      <c r="D10892" t="s">
        <v>1815</v>
      </c>
      <c r="E10892">
        <v>46.68</v>
      </c>
      <c r="F10892">
        <v>20140707</v>
      </c>
      <c r="G10892" t="s">
        <v>982</v>
      </c>
      <c r="H10892" t="s">
        <v>365</v>
      </c>
      <c r="I10892" t="s">
        <v>21</v>
      </c>
    </row>
    <row r="10893" spans="1:9" x14ac:dyDescent="0.25">
      <c r="A10893">
        <v>20140710</v>
      </c>
      <c r="B10893" t="str">
        <f>"116505"</f>
        <v>116505</v>
      </c>
      <c r="C10893" t="str">
        <f>"86596"</f>
        <v>86596</v>
      </c>
      <c r="D10893" t="s">
        <v>1683</v>
      </c>
      <c r="E10893">
        <v>623.62</v>
      </c>
      <c r="F10893">
        <v>20140707</v>
      </c>
      <c r="G10893" t="s">
        <v>1684</v>
      </c>
      <c r="H10893" t="s">
        <v>1685</v>
      </c>
      <c r="I10893" t="s">
        <v>21</v>
      </c>
    </row>
    <row r="10894" spans="1:9" x14ac:dyDescent="0.25">
      <c r="A10894">
        <v>20140710</v>
      </c>
      <c r="B10894" t="str">
        <f>"116506"</f>
        <v>116506</v>
      </c>
      <c r="C10894" t="str">
        <f>"87374"</f>
        <v>87374</v>
      </c>
      <c r="D10894" t="s">
        <v>4763</v>
      </c>
      <c r="E10894">
        <v>138.15</v>
      </c>
      <c r="F10894">
        <v>20140709</v>
      </c>
      <c r="G10894" t="s">
        <v>413</v>
      </c>
      <c r="H10894" t="s">
        <v>414</v>
      </c>
      <c r="I10894" t="s">
        <v>21</v>
      </c>
    </row>
    <row r="10895" spans="1:9" x14ac:dyDescent="0.25">
      <c r="A10895">
        <v>20140710</v>
      </c>
      <c r="B10895" t="str">
        <f>"116507"</f>
        <v>116507</v>
      </c>
      <c r="C10895" t="str">
        <f>"74350"</f>
        <v>74350</v>
      </c>
      <c r="D10895" t="s">
        <v>4764</v>
      </c>
      <c r="E10895">
        <v>153</v>
      </c>
      <c r="F10895">
        <v>20140709</v>
      </c>
      <c r="G10895" t="s">
        <v>413</v>
      </c>
      <c r="H10895" t="s">
        <v>414</v>
      </c>
      <c r="I10895" t="s">
        <v>21</v>
      </c>
    </row>
    <row r="10896" spans="1:9" x14ac:dyDescent="0.25">
      <c r="A10896">
        <v>20140710</v>
      </c>
      <c r="B10896" t="str">
        <f>"116508"</f>
        <v>116508</v>
      </c>
      <c r="C10896" t="str">
        <f>"85763"</f>
        <v>85763</v>
      </c>
      <c r="D10896" t="s">
        <v>3792</v>
      </c>
      <c r="E10896" s="1">
        <v>1200</v>
      </c>
      <c r="F10896">
        <v>20140709</v>
      </c>
      <c r="G10896" t="s">
        <v>746</v>
      </c>
      <c r="H10896" t="s">
        <v>555</v>
      </c>
      <c r="I10896" t="s">
        <v>21</v>
      </c>
    </row>
    <row r="10897" spans="1:9" x14ac:dyDescent="0.25">
      <c r="A10897">
        <v>20140710</v>
      </c>
      <c r="B10897" t="str">
        <f>"116508"</f>
        <v>116508</v>
      </c>
      <c r="C10897" t="str">
        <f>"85763"</f>
        <v>85763</v>
      </c>
      <c r="D10897" t="s">
        <v>3792</v>
      </c>
      <c r="E10897">
        <v>640</v>
      </c>
      <c r="F10897">
        <v>20140709</v>
      </c>
      <c r="G10897" t="s">
        <v>746</v>
      </c>
      <c r="H10897" t="s">
        <v>555</v>
      </c>
      <c r="I10897" t="s">
        <v>21</v>
      </c>
    </row>
    <row r="10898" spans="1:9" x14ac:dyDescent="0.25">
      <c r="A10898">
        <v>20140710</v>
      </c>
      <c r="B10898" t="str">
        <f>"116509"</f>
        <v>116509</v>
      </c>
      <c r="C10898" t="str">
        <f>"87616"</f>
        <v>87616</v>
      </c>
      <c r="D10898" t="s">
        <v>711</v>
      </c>
      <c r="E10898">
        <v>294</v>
      </c>
      <c r="F10898">
        <v>20140707</v>
      </c>
      <c r="G10898" t="s">
        <v>39</v>
      </c>
      <c r="H10898" t="s">
        <v>4765</v>
      </c>
      <c r="I10898" t="s">
        <v>38</v>
      </c>
    </row>
    <row r="10899" spans="1:9" x14ac:dyDescent="0.25">
      <c r="A10899">
        <v>20140710</v>
      </c>
      <c r="B10899" t="str">
        <f>"116510"</f>
        <v>116510</v>
      </c>
      <c r="C10899" t="str">
        <f>"76825"</f>
        <v>76825</v>
      </c>
      <c r="D10899" t="s">
        <v>2420</v>
      </c>
      <c r="E10899" s="1">
        <v>1600</v>
      </c>
      <c r="F10899">
        <v>20140707</v>
      </c>
      <c r="G10899" t="s">
        <v>965</v>
      </c>
      <c r="H10899" t="s">
        <v>4766</v>
      </c>
      <c r="I10899" t="s">
        <v>21</v>
      </c>
    </row>
    <row r="10900" spans="1:9" x14ac:dyDescent="0.25">
      <c r="A10900">
        <v>20140710</v>
      </c>
      <c r="B10900" t="str">
        <f>"116511"</f>
        <v>116511</v>
      </c>
      <c r="C10900" t="str">
        <f>"87904"</f>
        <v>87904</v>
      </c>
      <c r="D10900" t="s">
        <v>4767</v>
      </c>
      <c r="E10900">
        <v>72.540000000000006</v>
      </c>
      <c r="F10900">
        <v>20140707</v>
      </c>
      <c r="G10900" t="s">
        <v>442</v>
      </c>
      <c r="H10900" t="s">
        <v>365</v>
      </c>
      <c r="I10900" t="s">
        <v>66</v>
      </c>
    </row>
    <row r="10901" spans="1:9" x14ac:dyDescent="0.25">
      <c r="A10901">
        <v>20140710</v>
      </c>
      <c r="B10901" t="str">
        <f>"116512"</f>
        <v>116512</v>
      </c>
      <c r="C10901" t="str">
        <f>"76904"</f>
        <v>76904</v>
      </c>
      <c r="D10901" t="s">
        <v>1323</v>
      </c>
      <c r="E10901">
        <v>40</v>
      </c>
      <c r="F10901">
        <v>20140707</v>
      </c>
      <c r="G10901" t="s">
        <v>637</v>
      </c>
      <c r="H10901" t="s">
        <v>783</v>
      </c>
      <c r="I10901" t="s">
        <v>38</v>
      </c>
    </row>
    <row r="10902" spans="1:9" x14ac:dyDescent="0.25">
      <c r="A10902">
        <v>20140710</v>
      </c>
      <c r="B10902" t="str">
        <f>"116513"</f>
        <v>116513</v>
      </c>
      <c r="C10902" t="str">
        <f>"76915"</f>
        <v>76915</v>
      </c>
      <c r="D10902" t="s">
        <v>1324</v>
      </c>
      <c r="E10902">
        <v>475.43</v>
      </c>
      <c r="F10902">
        <v>20140707</v>
      </c>
      <c r="G10902" t="s">
        <v>413</v>
      </c>
      <c r="H10902" t="s">
        <v>414</v>
      </c>
      <c r="I10902" t="s">
        <v>21</v>
      </c>
    </row>
    <row r="10903" spans="1:9" x14ac:dyDescent="0.25">
      <c r="A10903">
        <v>20140710</v>
      </c>
      <c r="B10903" t="str">
        <f>"116513"</f>
        <v>116513</v>
      </c>
      <c r="C10903" t="str">
        <f>"76915"</f>
        <v>76915</v>
      </c>
      <c r="D10903" t="s">
        <v>1324</v>
      </c>
      <c r="E10903">
        <v>977.47</v>
      </c>
      <c r="F10903">
        <v>20140707</v>
      </c>
      <c r="G10903" t="s">
        <v>413</v>
      </c>
      <c r="H10903" t="s">
        <v>414</v>
      </c>
      <c r="I10903" t="s">
        <v>21</v>
      </c>
    </row>
    <row r="10904" spans="1:9" x14ac:dyDescent="0.25">
      <c r="A10904">
        <v>20140710</v>
      </c>
      <c r="B10904" t="str">
        <f>"116514"</f>
        <v>116514</v>
      </c>
      <c r="C10904" t="str">
        <f>"77705"</f>
        <v>77705</v>
      </c>
      <c r="D10904" t="s">
        <v>2312</v>
      </c>
      <c r="E10904" s="1">
        <v>1725.14</v>
      </c>
      <c r="F10904">
        <v>20140709</v>
      </c>
      <c r="G10904" t="s">
        <v>1271</v>
      </c>
      <c r="H10904" t="s">
        <v>525</v>
      </c>
      <c r="I10904" t="s">
        <v>21</v>
      </c>
    </row>
    <row r="10905" spans="1:9" x14ac:dyDescent="0.25">
      <c r="A10905">
        <v>20140710</v>
      </c>
      <c r="B10905" t="str">
        <f>"116515"</f>
        <v>116515</v>
      </c>
      <c r="C10905" t="str">
        <f>"83814"</f>
        <v>83814</v>
      </c>
      <c r="D10905" t="s">
        <v>3457</v>
      </c>
      <c r="E10905" s="1">
        <v>2534.2199999999998</v>
      </c>
      <c r="F10905">
        <v>20140708</v>
      </c>
      <c r="G10905" t="s">
        <v>1900</v>
      </c>
      <c r="H10905" t="s">
        <v>3458</v>
      </c>
      <c r="I10905" t="s">
        <v>608</v>
      </c>
    </row>
    <row r="10906" spans="1:9" x14ac:dyDescent="0.25">
      <c r="A10906">
        <v>20140710</v>
      </c>
      <c r="B10906" t="str">
        <f>"116515"</f>
        <v>116515</v>
      </c>
      <c r="C10906" t="str">
        <f>"83814"</f>
        <v>83814</v>
      </c>
      <c r="D10906" t="s">
        <v>3457</v>
      </c>
      <c r="E10906" s="1">
        <v>3823.03</v>
      </c>
      <c r="F10906">
        <v>20140708</v>
      </c>
      <c r="G10906" t="s">
        <v>1900</v>
      </c>
      <c r="H10906" t="s">
        <v>3458</v>
      </c>
      <c r="I10906" t="s">
        <v>608</v>
      </c>
    </row>
    <row r="10907" spans="1:9" x14ac:dyDescent="0.25">
      <c r="A10907">
        <v>20140710</v>
      </c>
      <c r="B10907" t="str">
        <f>"116515"</f>
        <v>116515</v>
      </c>
      <c r="C10907" t="str">
        <f>"83814"</f>
        <v>83814</v>
      </c>
      <c r="D10907" t="s">
        <v>3457</v>
      </c>
      <c r="E10907" s="1">
        <v>8425.39</v>
      </c>
      <c r="F10907">
        <v>20140708</v>
      </c>
      <c r="G10907" t="s">
        <v>1900</v>
      </c>
      <c r="H10907" t="s">
        <v>3458</v>
      </c>
      <c r="I10907" t="s">
        <v>608</v>
      </c>
    </row>
    <row r="10908" spans="1:9" x14ac:dyDescent="0.25">
      <c r="A10908">
        <v>20140710</v>
      </c>
      <c r="B10908" t="str">
        <f>"116515"</f>
        <v>116515</v>
      </c>
      <c r="C10908" t="str">
        <f>"83814"</f>
        <v>83814</v>
      </c>
      <c r="D10908" t="s">
        <v>3457</v>
      </c>
      <c r="E10908" s="1">
        <v>2456.5100000000002</v>
      </c>
      <c r="F10908">
        <v>20140708</v>
      </c>
      <c r="G10908" t="s">
        <v>1900</v>
      </c>
      <c r="H10908" t="s">
        <v>3458</v>
      </c>
      <c r="I10908" t="s">
        <v>608</v>
      </c>
    </row>
    <row r="10909" spans="1:9" x14ac:dyDescent="0.25">
      <c r="A10909">
        <v>20140710</v>
      </c>
      <c r="B10909" t="str">
        <f>"116515"</f>
        <v>116515</v>
      </c>
      <c r="C10909" t="str">
        <f>"83814"</f>
        <v>83814</v>
      </c>
      <c r="D10909" t="s">
        <v>3457</v>
      </c>
      <c r="E10909" s="1">
        <v>3496.46</v>
      </c>
      <c r="F10909">
        <v>20140708</v>
      </c>
      <c r="G10909" t="s">
        <v>1900</v>
      </c>
      <c r="H10909" t="s">
        <v>3458</v>
      </c>
      <c r="I10909" t="s">
        <v>608</v>
      </c>
    </row>
    <row r="10910" spans="1:9" x14ac:dyDescent="0.25">
      <c r="A10910">
        <v>20140710</v>
      </c>
      <c r="B10910" t="str">
        <f>"116516"</f>
        <v>116516</v>
      </c>
      <c r="C10910" t="str">
        <f>"84982"</f>
        <v>84982</v>
      </c>
      <c r="D10910" t="s">
        <v>1951</v>
      </c>
      <c r="E10910">
        <v>153.79</v>
      </c>
      <c r="F10910">
        <v>20140709</v>
      </c>
      <c r="G10910" t="s">
        <v>186</v>
      </c>
      <c r="H10910" t="s">
        <v>354</v>
      </c>
      <c r="I10910" t="s">
        <v>61</v>
      </c>
    </row>
    <row r="10911" spans="1:9" x14ac:dyDescent="0.25">
      <c r="A10911">
        <v>20140710</v>
      </c>
      <c r="B10911" t="str">
        <f>"116517"</f>
        <v>116517</v>
      </c>
      <c r="C10911" t="str">
        <f>"79400"</f>
        <v>79400</v>
      </c>
      <c r="D10911" t="s">
        <v>1328</v>
      </c>
      <c r="E10911" s="1">
        <v>8150</v>
      </c>
      <c r="F10911">
        <v>20140709</v>
      </c>
      <c r="G10911" t="s">
        <v>340</v>
      </c>
      <c r="H10911" t="s">
        <v>656</v>
      </c>
      <c r="I10911" t="s">
        <v>21</v>
      </c>
    </row>
    <row r="10912" spans="1:9" x14ac:dyDescent="0.25">
      <c r="A10912">
        <v>20140710</v>
      </c>
      <c r="B10912" t="str">
        <f>"116517"</f>
        <v>116517</v>
      </c>
      <c r="C10912" t="str">
        <f>"79400"</f>
        <v>79400</v>
      </c>
      <c r="D10912" t="s">
        <v>1328</v>
      </c>
      <c r="E10912" s="1">
        <v>13216.75</v>
      </c>
      <c r="F10912">
        <v>20140709</v>
      </c>
      <c r="G10912" t="s">
        <v>1329</v>
      </c>
      <c r="H10912" t="s">
        <v>1330</v>
      </c>
      <c r="I10912" t="s">
        <v>21</v>
      </c>
    </row>
    <row r="10913" spans="1:9" x14ac:dyDescent="0.25">
      <c r="A10913">
        <v>20140710</v>
      </c>
      <c r="B10913" t="str">
        <f t="shared" ref="B10913:B10939" si="624">"116518"</f>
        <v>116518</v>
      </c>
      <c r="C10913" t="str">
        <f t="shared" ref="C10913:C10939" si="625">"80825"</f>
        <v>80825</v>
      </c>
      <c r="D10913" t="s">
        <v>747</v>
      </c>
      <c r="E10913">
        <v>139.19</v>
      </c>
      <c r="F10913">
        <v>20140707</v>
      </c>
      <c r="G10913" t="s">
        <v>989</v>
      </c>
      <c r="H10913" t="s">
        <v>749</v>
      </c>
      <c r="I10913" t="s">
        <v>61</v>
      </c>
    </row>
    <row r="10914" spans="1:9" x14ac:dyDescent="0.25">
      <c r="A10914">
        <v>20140710</v>
      </c>
      <c r="B10914" t="str">
        <f t="shared" si="624"/>
        <v>116518</v>
      </c>
      <c r="C10914" t="str">
        <f t="shared" si="625"/>
        <v>80825</v>
      </c>
      <c r="D10914" t="s">
        <v>747</v>
      </c>
      <c r="E10914">
        <v>114.89</v>
      </c>
      <c r="F10914">
        <v>20140707</v>
      </c>
      <c r="G10914" t="s">
        <v>989</v>
      </c>
      <c r="H10914" t="s">
        <v>4768</v>
      </c>
      <c r="I10914" t="s">
        <v>61</v>
      </c>
    </row>
    <row r="10915" spans="1:9" x14ac:dyDescent="0.25">
      <c r="A10915">
        <v>20140710</v>
      </c>
      <c r="B10915" t="str">
        <f t="shared" si="624"/>
        <v>116518</v>
      </c>
      <c r="C10915" t="str">
        <f t="shared" si="625"/>
        <v>80825</v>
      </c>
      <c r="D10915" t="s">
        <v>747</v>
      </c>
      <c r="E10915">
        <v>139.19</v>
      </c>
      <c r="F10915">
        <v>20140707</v>
      </c>
      <c r="G10915" t="s">
        <v>989</v>
      </c>
      <c r="H10915" t="s">
        <v>749</v>
      </c>
      <c r="I10915" t="s">
        <v>61</v>
      </c>
    </row>
    <row r="10916" spans="1:9" x14ac:dyDescent="0.25">
      <c r="A10916">
        <v>20140710</v>
      </c>
      <c r="B10916" t="str">
        <f t="shared" si="624"/>
        <v>116518</v>
      </c>
      <c r="C10916" t="str">
        <f t="shared" si="625"/>
        <v>80825</v>
      </c>
      <c r="D10916" t="s">
        <v>747</v>
      </c>
      <c r="E10916">
        <v>139.19</v>
      </c>
      <c r="F10916">
        <v>20140707</v>
      </c>
      <c r="G10916" t="s">
        <v>989</v>
      </c>
      <c r="H10916" t="s">
        <v>749</v>
      </c>
      <c r="I10916" t="s">
        <v>61</v>
      </c>
    </row>
    <row r="10917" spans="1:9" x14ac:dyDescent="0.25">
      <c r="A10917">
        <v>20140710</v>
      </c>
      <c r="B10917" t="str">
        <f t="shared" si="624"/>
        <v>116518</v>
      </c>
      <c r="C10917" t="str">
        <f t="shared" si="625"/>
        <v>80825</v>
      </c>
      <c r="D10917" t="s">
        <v>747</v>
      </c>
      <c r="E10917">
        <v>276.89999999999998</v>
      </c>
      <c r="F10917">
        <v>20140707</v>
      </c>
      <c r="G10917" t="s">
        <v>748</v>
      </c>
      <c r="H10917" t="s">
        <v>749</v>
      </c>
      <c r="I10917" t="s">
        <v>21</v>
      </c>
    </row>
    <row r="10918" spans="1:9" x14ac:dyDescent="0.25">
      <c r="A10918">
        <v>20140710</v>
      </c>
      <c r="B10918" t="str">
        <f t="shared" si="624"/>
        <v>116518</v>
      </c>
      <c r="C10918" t="str">
        <f t="shared" si="625"/>
        <v>80825</v>
      </c>
      <c r="D10918" t="s">
        <v>747</v>
      </c>
      <c r="E10918" s="1">
        <v>2093.38</v>
      </c>
      <c r="F10918">
        <v>20140707</v>
      </c>
      <c r="G10918" t="s">
        <v>748</v>
      </c>
      <c r="H10918" t="s">
        <v>749</v>
      </c>
      <c r="I10918" t="s">
        <v>21</v>
      </c>
    </row>
    <row r="10919" spans="1:9" x14ac:dyDescent="0.25">
      <c r="A10919">
        <v>20140710</v>
      </c>
      <c r="B10919" t="str">
        <f t="shared" si="624"/>
        <v>116518</v>
      </c>
      <c r="C10919" t="str">
        <f t="shared" si="625"/>
        <v>80825</v>
      </c>
      <c r="D10919" t="s">
        <v>747</v>
      </c>
      <c r="E10919">
        <v>196.46</v>
      </c>
      <c r="F10919">
        <v>20140707</v>
      </c>
      <c r="G10919" t="s">
        <v>1551</v>
      </c>
      <c r="H10919" t="s">
        <v>749</v>
      </c>
      <c r="I10919" t="s">
        <v>21</v>
      </c>
    </row>
    <row r="10920" spans="1:9" x14ac:dyDescent="0.25">
      <c r="A10920">
        <v>20140710</v>
      </c>
      <c r="B10920" t="str">
        <f t="shared" si="624"/>
        <v>116518</v>
      </c>
      <c r="C10920" t="str">
        <f t="shared" si="625"/>
        <v>80825</v>
      </c>
      <c r="D10920" t="s">
        <v>747</v>
      </c>
      <c r="E10920">
        <v>670.6</v>
      </c>
      <c r="F10920">
        <v>20140709</v>
      </c>
      <c r="G10920" t="s">
        <v>750</v>
      </c>
      <c r="H10920" t="s">
        <v>749</v>
      </c>
      <c r="I10920" t="s">
        <v>21</v>
      </c>
    </row>
    <row r="10921" spans="1:9" x14ac:dyDescent="0.25">
      <c r="A10921">
        <v>20140710</v>
      </c>
      <c r="B10921" t="str">
        <f t="shared" si="624"/>
        <v>116518</v>
      </c>
      <c r="C10921" t="str">
        <f t="shared" si="625"/>
        <v>80825</v>
      </c>
      <c r="D10921" t="s">
        <v>747</v>
      </c>
      <c r="E10921">
        <v>670.6</v>
      </c>
      <c r="F10921">
        <v>20140709</v>
      </c>
      <c r="G10921" t="s">
        <v>750</v>
      </c>
      <c r="H10921" t="s">
        <v>749</v>
      </c>
      <c r="I10921" t="s">
        <v>21</v>
      </c>
    </row>
    <row r="10922" spans="1:9" x14ac:dyDescent="0.25">
      <c r="A10922">
        <v>20140710</v>
      </c>
      <c r="B10922" t="str">
        <f t="shared" si="624"/>
        <v>116518</v>
      </c>
      <c r="C10922" t="str">
        <f t="shared" si="625"/>
        <v>80825</v>
      </c>
      <c r="D10922" t="s">
        <v>747</v>
      </c>
      <c r="E10922">
        <v>670.6</v>
      </c>
      <c r="F10922">
        <v>20140709</v>
      </c>
      <c r="G10922" t="s">
        <v>752</v>
      </c>
      <c r="H10922" t="s">
        <v>749</v>
      </c>
      <c r="I10922" t="s">
        <v>21</v>
      </c>
    </row>
    <row r="10923" spans="1:9" x14ac:dyDescent="0.25">
      <c r="A10923">
        <v>20140710</v>
      </c>
      <c r="B10923" t="str">
        <f t="shared" si="624"/>
        <v>116518</v>
      </c>
      <c r="C10923" t="str">
        <f t="shared" si="625"/>
        <v>80825</v>
      </c>
      <c r="D10923" t="s">
        <v>747</v>
      </c>
      <c r="E10923">
        <v>582.95000000000005</v>
      </c>
      <c r="F10923">
        <v>20140707</v>
      </c>
      <c r="G10923" t="s">
        <v>753</v>
      </c>
      <c r="H10923" t="s">
        <v>749</v>
      </c>
      <c r="I10923" t="s">
        <v>21</v>
      </c>
    </row>
    <row r="10924" spans="1:9" x14ac:dyDescent="0.25">
      <c r="A10924">
        <v>20140710</v>
      </c>
      <c r="B10924" t="str">
        <f t="shared" si="624"/>
        <v>116518</v>
      </c>
      <c r="C10924" t="str">
        <f t="shared" si="625"/>
        <v>80825</v>
      </c>
      <c r="D10924" t="s">
        <v>747</v>
      </c>
      <c r="E10924">
        <v>582.95000000000005</v>
      </c>
      <c r="F10924">
        <v>20140707</v>
      </c>
      <c r="G10924" t="s">
        <v>753</v>
      </c>
      <c r="H10924" t="s">
        <v>749</v>
      </c>
      <c r="I10924" t="s">
        <v>21</v>
      </c>
    </row>
    <row r="10925" spans="1:9" x14ac:dyDescent="0.25">
      <c r="A10925">
        <v>20140710</v>
      </c>
      <c r="B10925" t="str">
        <f t="shared" si="624"/>
        <v>116518</v>
      </c>
      <c r="C10925" t="str">
        <f t="shared" si="625"/>
        <v>80825</v>
      </c>
      <c r="D10925" t="s">
        <v>747</v>
      </c>
      <c r="E10925">
        <v>582.95000000000005</v>
      </c>
      <c r="F10925">
        <v>20140707</v>
      </c>
      <c r="G10925" t="s">
        <v>754</v>
      </c>
      <c r="H10925" t="s">
        <v>749</v>
      </c>
      <c r="I10925" t="s">
        <v>21</v>
      </c>
    </row>
    <row r="10926" spans="1:9" x14ac:dyDescent="0.25">
      <c r="A10926">
        <v>20140710</v>
      </c>
      <c r="B10926" t="str">
        <f t="shared" si="624"/>
        <v>116518</v>
      </c>
      <c r="C10926" t="str">
        <f t="shared" si="625"/>
        <v>80825</v>
      </c>
      <c r="D10926" t="s">
        <v>747</v>
      </c>
      <c r="E10926">
        <v>582.95000000000005</v>
      </c>
      <c r="F10926">
        <v>20140707</v>
      </c>
      <c r="G10926" t="s">
        <v>754</v>
      </c>
      <c r="H10926" t="s">
        <v>749</v>
      </c>
      <c r="I10926" t="s">
        <v>21</v>
      </c>
    </row>
    <row r="10927" spans="1:9" x14ac:dyDescent="0.25">
      <c r="A10927">
        <v>20140710</v>
      </c>
      <c r="B10927" t="str">
        <f t="shared" si="624"/>
        <v>116518</v>
      </c>
      <c r="C10927" t="str">
        <f t="shared" si="625"/>
        <v>80825</v>
      </c>
      <c r="D10927" t="s">
        <v>747</v>
      </c>
      <c r="E10927">
        <v>582.95000000000005</v>
      </c>
      <c r="F10927">
        <v>20140707</v>
      </c>
      <c r="G10927" t="s">
        <v>990</v>
      </c>
      <c r="H10927" t="s">
        <v>749</v>
      </c>
      <c r="I10927" t="s">
        <v>21</v>
      </c>
    </row>
    <row r="10928" spans="1:9" x14ac:dyDescent="0.25">
      <c r="A10928">
        <v>20140710</v>
      </c>
      <c r="B10928" t="str">
        <f t="shared" si="624"/>
        <v>116518</v>
      </c>
      <c r="C10928" t="str">
        <f t="shared" si="625"/>
        <v>80825</v>
      </c>
      <c r="D10928" t="s">
        <v>747</v>
      </c>
      <c r="E10928">
        <v>582.95000000000005</v>
      </c>
      <c r="F10928">
        <v>20140707</v>
      </c>
      <c r="G10928" t="s">
        <v>990</v>
      </c>
      <c r="H10928" t="s">
        <v>749</v>
      </c>
      <c r="I10928" t="s">
        <v>21</v>
      </c>
    </row>
    <row r="10929" spans="1:9" x14ac:dyDescent="0.25">
      <c r="A10929">
        <v>20140710</v>
      </c>
      <c r="B10929" t="str">
        <f t="shared" si="624"/>
        <v>116518</v>
      </c>
      <c r="C10929" t="str">
        <f t="shared" si="625"/>
        <v>80825</v>
      </c>
      <c r="D10929" t="s">
        <v>747</v>
      </c>
      <c r="E10929">
        <v>582.95000000000005</v>
      </c>
      <c r="F10929">
        <v>20140707</v>
      </c>
      <c r="G10929" t="s">
        <v>755</v>
      </c>
      <c r="H10929" t="s">
        <v>749</v>
      </c>
      <c r="I10929" t="s">
        <v>21</v>
      </c>
    </row>
    <row r="10930" spans="1:9" x14ac:dyDescent="0.25">
      <c r="A10930">
        <v>20140710</v>
      </c>
      <c r="B10930" t="str">
        <f t="shared" si="624"/>
        <v>116518</v>
      </c>
      <c r="C10930" t="str">
        <f t="shared" si="625"/>
        <v>80825</v>
      </c>
      <c r="D10930" t="s">
        <v>747</v>
      </c>
      <c r="E10930">
        <v>582.95000000000005</v>
      </c>
      <c r="F10930">
        <v>20140707</v>
      </c>
      <c r="G10930" t="s">
        <v>756</v>
      </c>
      <c r="H10930" t="s">
        <v>749</v>
      </c>
      <c r="I10930" t="s">
        <v>21</v>
      </c>
    </row>
    <row r="10931" spans="1:9" x14ac:dyDescent="0.25">
      <c r="A10931">
        <v>20140710</v>
      </c>
      <c r="B10931" t="str">
        <f t="shared" si="624"/>
        <v>116518</v>
      </c>
      <c r="C10931" t="str">
        <f t="shared" si="625"/>
        <v>80825</v>
      </c>
      <c r="D10931" t="s">
        <v>747</v>
      </c>
      <c r="E10931">
        <v>582.95000000000005</v>
      </c>
      <c r="F10931">
        <v>20140709</v>
      </c>
      <c r="G10931" t="s">
        <v>756</v>
      </c>
      <c r="H10931" t="s">
        <v>749</v>
      </c>
      <c r="I10931" t="s">
        <v>21</v>
      </c>
    </row>
    <row r="10932" spans="1:9" x14ac:dyDescent="0.25">
      <c r="A10932">
        <v>20140710</v>
      </c>
      <c r="B10932" t="str">
        <f t="shared" si="624"/>
        <v>116518</v>
      </c>
      <c r="C10932" t="str">
        <f t="shared" si="625"/>
        <v>80825</v>
      </c>
      <c r="D10932" t="s">
        <v>747</v>
      </c>
      <c r="E10932">
        <v>65.5</v>
      </c>
      <c r="F10932">
        <v>20140707</v>
      </c>
      <c r="G10932" t="s">
        <v>757</v>
      </c>
      <c r="H10932" t="s">
        <v>749</v>
      </c>
      <c r="I10932" t="s">
        <v>21</v>
      </c>
    </row>
    <row r="10933" spans="1:9" x14ac:dyDescent="0.25">
      <c r="A10933">
        <v>20140710</v>
      </c>
      <c r="B10933" t="str">
        <f t="shared" si="624"/>
        <v>116518</v>
      </c>
      <c r="C10933" t="str">
        <f t="shared" si="625"/>
        <v>80825</v>
      </c>
      <c r="D10933" t="s">
        <v>747</v>
      </c>
      <c r="E10933">
        <v>133.9</v>
      </c>
      <c r="F10933">
        <v>20140707</v>
      </c>
      <c r="G10933" t="s">
        <v>757</v>
      </c>
      <c r="H10933" t="s">
        <v>749</v>
      </c>
      <c r="I10933" t="s">
        <v>21</v>
      </c>
    </row>
    <row r="10934" spans="1:9" x14ac:dyDescent="0.25">
      <c r="A10934">
        <v>20140710</v>
      </c>
      <c r="B10934" t="str">
        <f t="shared" si="624"/>
        <v>116518</v>
      </c>
      <c r="C10934" t="str">
        <f t="shared" si="625"/>
        <v>80825</v>
      </c>
      <c r="D10934" t="s">
        <v>747</v>
      </c>
      <c r="E10934">
        <v>82.75</v>
      </c>
      <c r="F10934">
        <v>20140707</v>
      </c>
      <c r="G10934" t="s">
        <v>758</v>
      </c>
      <c r="H10934" t="s">
        <v>749</v>
      </c>
      <c r="I10934" t="s">
        <v>21</v>
      </c>
    </row>
    <row r="10935" spans="1:9" x14ac:dyDescent="0.25">
      <c r="A10935">
        <v>20140710</v>
      </c>
      <c r="B10935" t="str">
        <f t="shared" si="624"/>
        <v>116518</v>
      </c>
      <c r="C10935" t="str">
        <f t="shared" si="625"/>
        <v>80825</v>
      </c>
      <c r="D10935" t="s">
        <v>747</v>
      </c>
      <c r="E10935">
        <v>65.48</v>
      </c>
      <c r="F10935">
        <v>20140707</v>
      </c>
      <c r="G10935" t="s">
        <v>544</v>
      </c>
      <c r="H10935" t="s">
        <v>749</v>
      </c>
      <c r="I10935" t="s">
        <v>21</v>
      </c>
    </row>
    <row r="10936" spans="1:9" x14ac:dyDescent="0.25">
      <c r="A10936">
        <v>20140710</v>
      </c>
      <c r="B10936" t="str">
        <f t="shared" si="624"/>
        <v>116518</v>
      </c>
      <c r="C10936" t="str">
        <f t="shared" si="625"/>
        <v>80825</v>
      </c>
      <c r="D10936" t="s">
        <v>747</v>
      </c>
      <c r="E10936">
        <v>133.9</v>
      </c>
      <c r="F10936">
        <v>20140707</v>
      </c>
      <c r="G10936" t="s">
        <v>544</v>
      </c>
      <c r="H10936" t="s">
        <v>749</v>
      </c>
      <c r="I10936" t="s">
        <v>21</v>
      </c>
    </row>
    <row r="10937" spans="1:9" x14ac:dyDescent="0.25">
      <c r="A10937">
        <v>20140710</v>
      </c>
      <c r="B10937" t="str">
        <f t="shared" si="624"/>
        <v>116518</v>
      </c>
      <c r="C10937" t="str">
        <f t="shared" si="625"/>
        <v>80825</v>
      </c>
      <c r="D10937" t="s">
        <v>747</v>
      </c>
      <c r="E10937">
        <v>65.48</v>
      </c>
      <c r="F10937">
        <v>20140707</v>
      </c>
      <c r="G10937" t="s">
        <v>545</v>
      </c>
      <c r="H10937" t="s">
        <v>749</v>
      </c>
      <c r="I10937" t="s">
        <v>21</v>
      </c>
    </row>
    <row r="10938" spans="1:9" x14ac:dyDescent="0.25">
      <c r="A10938">
        <v>20140710</v>
      </c>
      <c r="B10938" t="str">
        <f t="shared" si="624"/>
        <v>116518</v>
      </c>
      <c r="C10938" t="str">
        <f t="shared" si="625"/>
        <v>80825</v>
      </c>
      <c r="D10938" t="s">
        <v>747</v>
      </c>
      <c r="E10938">
        <v>133.91</v>
      </c>
      <c r="F10938">
        <v>20140707</v>
      </c>
      <c r="G10938" t="s">
        <v>545</v>
      </c>
      <c r="H10938" t="s">
        <v>749</v>
      </c>
      <c r="I10938" t="s">
        <v>21</v>
      </c>
    </row>
    <row r="10939" spans="1:9" x14ac:dyDescent="0.25">
      <c r="A10939">
        <v>20140710</v>
      </c>
      <c r="B10939" t="str">
        <f t="shared" si="624"/>
        <v>116518</v>
      </c>
      <c r="C10939" t="str">
        <f t="shared" si="625"/>
        <v>80825</v>
      </c>
      <c r="D10939" t="s">
        <v>747</v>
      </c>
      <c r="E10939">
        <v>196.46</v>
      </c>
      <c r="F10939">
        <v>20140707</v>
      </c>
      <c r="G10939" t="s">
        <v>759</v>
      </c>
      <c r="H10939" t="s">
        <v>749</v>
      </c>
      <c r="I10939" t="s">
        <v>12</v>
      </c>
    </row>
    <row r="10940" spans="1:9" x14ac:dyDescent="0.25">
      <c r="A10940">
        <v>20140710</v>
      </c>
      <c r="B10940" t="str">
        <f>"116519"</f>
        <v>116519</v>
      </c>
      <c r="C10940" t="str">
        <f>"84132"</f>
        <v>84132</v>
      </c>
      <c r="D10940" t="s">
        <v>1695</v>
      </c>
      <c r="E10940">
        <v>60.98</v>
      </c>
      <c r="F10940">
        <v>20140709</v>
      </c>
      <c r="G10940" t="s">
        <v>1721</v>
      </c>
      <c r="H10940" t="s">
        <v>563</v>
      </c>
      <c r="I10940" t="s">
        <v>21</v>
      </c>
    </row>
    <row r="10941" spans="1:9" x14ac:dyDescent="0.25">
      <c r="A10941">
        <v>20140710</v>
      </c>
      <c r="B10941" t="str">
        <f>"116519"</f>
        <v>116519</v>
      </c>
      <c r="C10941" t="str">
        <f>"84132"</f>
        <v>84132</v>
      </c>
      <c r="D10941" t="s">
        <v>1695</v>
      </c>
      <c r="E10941">
        <v>81.709999999999994</v>
      </c>
      <c r="F10941">
        <v>20140709</v>
      </c>
      <c r="G10941" t="s">
        <v>1145</v>
      </c>
      <c r="H10941" t="s">
        <v>365</v>
      </c>
      <c r="I10941" t="s">
        <v>73</v>
      </c>
    </row>
    <row r="10942" spans="1:9" x14ac:dyDescent="0.25">
      <c r="A10942">
        <v>20140710</v>
      </c>
      <c r="B10942" t="str">
        <f>"116520"</f>
        <v>116520</v>
      </c>
      <c r="C10942" t="str">
        <f>"87840"</f>
        <v>87840</v>
      </c>
      <c r="D10942" t="s">
        <v>4119</v>
      </c>
      <c r="E10942" s="1">
        <v>7468</v>
      </c>
      <c r="F10942">
        <v>20140708</v>
      </c>
      <c r="G10942" t="s">
        <v>221</v>
      </c>
      <c r="H10942" t="s">
        <v>4433</v>
      </c>
      <c r="I10942" t="s">
        <v>25</v>
      </c>
    </row>
    <row r="10943" spans="1:9" x14ac:dyDescent="0.25">
      <c r="A10943">
        <v>20140717</v>
      </c>
      <c r="B10943" t="str">
        <f t="shared" ref="B10943:B10948" si="626">"116521"</f>
        <v>116521</v>
      </c>
      <c r="C10943" t="str">
        <f t="shared" ref="C10943:C10948" si="627">"86997"</f>
        <v>86997</v>
      </c>
      <c r="D10943" t="s">
        <v>2098</v>
      </c>
      <c r="E10943">
        <v>125.16</v>
      </c>
      <c r="F10943">
        <v>20140714</v>
      </c>
      <c r="G10943" t="s">
        <v>415</v>
      </c>
      <c r="H10943" t="s">
        <v>414</v>
      </c>
      <c r="I10943" t="s">
        <v>21</v>
      </c>
    </row>
    <row r="10944" spans="1:9" x14ac:dyDescent="0.25">
      <c r="A10944">
        <v>20140717</v>
      </c>
      <c r="B10944" t="str">
        <f t="shared" si="626"/>
        <v>116521</v>
      </c>
      <c r="C10944" t="str">
        <f t="shared" si="627"/>
        <v>86997</v>
      </c>
      <c r="D10944" t="s">
        <v>2098</v>
      </c>
      <c r="E10944">
        <v>798.78</v>
      </c>
      <c r="F10944">
        <v>20140714</v>
      </c>
      <c r="G10944" t="s">
        <v>531</v>
      </c>
      <c r="H10944" t="s">
        <v>414</v>
      </c>
      <c r="I10944" t="s">
        <v>21</v>
      </c>
    </row>
    <row r="10945" spans="1:9" x14ac:dyDescent="0.25">
      <c r="A10945">
        <v>20140717</v>
      </c>
      <c r="B10945" t="str">
        <f t="shared" si="626"/>
        <v>116521</v>
      </c>
      <c r="C10945" t="str">
        <f t="shared" si="627"/>
        <v>86997</v>
      </c>
      <c r="D10945" t="s">
        <v>2098</v>
      </c>
      <c r="E10945">
        <v>198.69</v>
      </c>
      <c r="F10945">
        <v>20140714</v>
      </c>
      <c r="G10945" t="s">
        <v>3820</v>
      </c>
      <c r="H10945" t="s">
        <v>414</v>
      </c>
      <c r="I10945" t="s">
        <v>21</v>
      </c>
    </row>
    <row r="10946" spans="1:9" x14ac:dyDescent="0.25">
      <c r="A10946">
        <v>20140717</v>
      </c>
      <c r="B10946" t="str">
        <f t="shared" si="626"/>
        <v>116521</v>
      </c>
      <c r="C10946" t="str">
        <f t="shared" si="627"/>
        <v>86997</v>
      </c>
      <c r="D10946" t="s">
        <v>2098</v>
      </c>
      <c r="E10946">
        <v>129.75</v>
      </c>
      <c r="F10946">
        <v>20140714</v>
      </c>
      <c r="G10946" t="s">
        <v>3820</v>
      </c>
      <c r="H10946" t="s">
        <v>414</v>
      </c>
      <c r="I10946" t="s">
        <v>21</v>
      </c>
    </row>
    <row r="10947" spans="1:9" x14ac:dyDescent="0.25">
      <c r="A10947">
        <v>20140717</v>
      </c>
      <c r="B10947" t="str">
        <f t="shared" si="626"/>
        <v>116521</v>
      </c>
      <c r="C10947" t="str">
        <f t="shared" si="627"/>
        <v>86997</v>
      </c>
      <c r="D10947" t="s">
        <v>2098</v>
      </c>
      <c r="E10947" s="1">
        <v>1071.9000000000001</v>
      </c>
      <c r="F10947">
        <v>20140715</v>
      </c>
      <c r="G10947" t="s">
        <v>3820</v>
      </c>
      <c r="H10947" t="s">
        <v>414</v>
      </c>
      <c r="I10947" t="s">
        <v>21</v>
      </c>
    </row>
    <row r="10948" spans="1:9" x14ac:dyDescent="0.25">
      <c r="A10948">
        <v>20140717</v>
      </c>
      <c r="B10948" t="str">
        <f t="shared" si="626"/>
        <v>116521</v>
      </c>
      <c r="C10948" t="str">
        <f t="shared" si="627"/>
        <v>86997</v>
      </c>
      <c r="D10948" t="s">
        <v>2098</v>
      </c>
      <c r="E10948">
        <v>-7.66</v>
      </c>
      <c r="F10948">
        <v>20140717</v>
      </c>
      <c r="G10948" t="s">
        <v>3820</v>
      </c>
      <c r="H10948" t="s">
        <v>414</v>
      </c>
      <c r="I10948" t="s">
        <v>21</v>
      </c>
    </row>
    <row r="10949" spans="1:9" x14ac:dyDescent="0.25">
      <c r="A10949">
        <v>20140717</v>
      </c>
      <c r="B10949" t="str">
        <f t="shared" ref="B10949:B10954" si="628">"116522"</f>
        <v>116522</v>
      </c>
      <c r="C10949" t="str">
        <f t="shared" ref="C10949:C10954" si="629">"01890"</f>
        <v>01890</v>
      </c>
      <c r="D10949" t="s">
        <v>447</v>
      </c>
      <c r="E10949">
        <v>40.6</v>
      </c>
      <c r="F10949">
        <v>20140714</v>
      </c>
      <c r="G10949" t="s">
        <v>448</v>
      </c>
      <c r="H10949" t="s">
        <v>414</v>
      </c>
      <c r="I10949" t="s">
        <v>21</v>
      </c>
    </row>
    <row r="10950" spans="1:9" x14ac:dyDescent="0.25">
      <c r="A10950">
        <v>20140717</v>
      </c>
      <c r="B10950" t="str">
        <f t="shared" si="628"/>
        <v>116522</v>
      </c>
      <c r="C10950" t="str">
        <f t="shared" si="629"/>
        <v>01890</v>
      </c>
      <c r="D10950" t="s">
        <v>447</v>
      </c>
      <c r="E10950">
        <v>39.42</v>
      </c>
      <c r="F10950">
        <v>20140714</v>
      </c>
      <c r="G10950" t="s">
        <v>448</v>
      </c>
      <c r="H10950" t="s">
        <v>414</v>
      </c>
      <c r="I10950" t="s">
        <v>21</v>
      </c>
    </row>
    <row r="10951" spans="1:9" x14ac:dyDescent="0.25">
      <c r="A10951">
        <v>20140717</v>
      </c>
      <c r="B10951" t="str">
        <f t="shared" si="628"/>
        <v>116522</v>
      </c>
      <c r="C10951" t="str">
        <f t="shared" si="629"/>
        <v>01890</v>
      </c>
      <c r="D10951" t="s">
        <v>447</v>
      </c>
      <c r="E10951">
        <v>159.88999999999999</v>
      </c>
      <c r="F10951">
        <v>20140714</v>
      </c>
      <c r="G10951" t="s">
        <v>448</v>
      </c>
      <c r="H10951" t="s">
        <v>414</v>
      </c>
      <c r="I10951" t="s">
        <v>21</v>
      </c>
    </row>
    <row r="10952" spans="1:9" x14ac:dyDescent="0.25">
      <c r="A10952">
        <v>20140717</v>
      </c>
      <c r="B10952" t="str">
        <f t="shared" si="628"/>
        <v>116522</v>
      </c>
      <c r="C10952" t="str">
        <f t="shared" si="629"/>
        <v>01890</v>
      </c>
      <c r="D10952" t="s">
        <v>447</v>
      </c>
      <c r="E10952">
        <v>157.93</v>
      </c>
      <c r="F10952">
        <v>20140715</v>
      </c>
      <c r="G10952" t="s">
        <v>496</v>
      </c>
      <c r="H10952" t="s">
        <v>414</v>
      </c>
      <c r="I10952" t="s">
        <v>21</v>
      </c>
    </row>
    <row r="10953" spans="1:9" x14ac:dyDescent="0.25">
      <c r="A10953">
        <v>20140717</v>
      </c>
      <c r="B10953" t="str">
        <f t="shared" si="628"/>
        <v>116522</v>
      </c>
      <c r="C10953" t="str">
        <f t="shared" si="629"/>
        <v>01890</v>
      </c>
      <c r="D10953" t="s">
        <v>447</v>
      </c>
      <c r="E10953">
        <v>21.55</v>
      </c>
      <c r="F10953">
        <v>20140715</v>
      </c>
      <c r="G10953" t="s">
        <v>392</v>
      </c>
      <c r="H10953" t="s">
        <v>414</v>
      </c>
      <c r="I10953" t="s">
        <v>21</v>
      </c>
    </row>
    <row r="10954" spans="1:9" x14ac:dyDescent="0.25">
      <c r="A10954">
        <v>20140717</v>
      </c>
      <c r="B10954" t="str">
        <f t="shared" si="628"/>
        <v>116522</v>
      </c>
      <c r="C10954" t="str">
        <f t="shared" si="629"/>
        <v>01890</v>
      </c>
      <c r="D10954" t="s">
        <v>447</v>
      </c>
      <c r="E10954">
        <v>20.89</v>
      </c>
      <c r="F10954">
        <v>20140714</v>
      </c>
      <c r="G10954" t="s">
        <v>181</v>
      </c>
      <c r="H10954" t="s">
        <v>414</v>
      </c>
      <c r="I10954" t="s">
        <v>38</v>
      </c>
    </row>
    <row r="10955" spans="1:9" x14ac:dyDescent="0.25">
      <c r="A10955">
        <v>20140717</v>
      </c>
      <c r="B10955" t="str">
        <f t="shared" ref="B10955:B10968" si="630">"116523"</f>
        <v>116523</v>
      </c>
      <c r="C10955" t="str">
        <f t="shared" ref="C10955:C10968" si="631">"52460"</f>
        <v>52460</v>
      </c>
      <c r="D10955" t="s">
        <v>452</v>
      </c>
      <c r="E10955">
        <v>418.19</v>
      </c>
      <c r="F10955">
        <v>20140715</v>
      </c>
      <c r="G10955" t="s">
        <v>453</v>
      </c>
      <c r="H10955" t="s">
        <v>4578</v>
      </c>
      <c r="I10955" t="s">
        <v>21</v>
      </c>
    </row>
    <row r="10956" spans="1:9" x14ac:dyDescent="0.25">
      <c r="A10956">
        <v>20140717</v>
      </c>
      <c r="B10956" t="str">
        <f t="shared" si="630"/>
        <v>116523</v>
      </c>
      <c r="C10956" t="str">
        <f t="shared" si="631"/>
        <v>52460</v>
      </c>
      <c r="D10956" t="s">
        <v>452</v>
      </c>
      <c r="E10956" s="1">
        <v>2327.75</v>
      </c>
      <c r="F10956">
        <v>20140715</v>
      </c>
      <c r="G10956" t="s">
        <v>455</v>
      </c>
      <c r="H10956" t="s">
        <v>454</v>
      </c>
      <c r="I10956" t="s">
        <v>21</v>
      </c>
    </row>
    <row r="10957" spans="1:9" x14ac:dyDescent="0.25">
      <c r="A10957">
        <v>20140717</v>
      </c>
      <c r="B10957" t="str">
        <f t="shared" si="630"/>
        <v>116523</v>
      </c>
      <c r="C10957" t="str">
        <f t="shared" si="631"/>
        <v>52460</v>
      </c>
      <c r="D10957" t="s">
        <v>452</v>
      </c>
      <c r="E10957" s="1">
        <v>1149.4000000000001</v>
      </c>
      <c r="F10957">
        <v>20140715</v>
      </c>
      <c r="G10957" t="s">
        <v>456</v>
      </c>
      <c r="H10957" t="s">
        <v>454</v>
      </c>
      <c r="I10957" t="s">
        <v>21</v>
      </c>
    </row>
    <row r="10958" spans="1:9" x14ac:dyDescent="0.25">
      <c r="A10958">
        <v>20140717</v>
      </c>
      <c r="B10958" t="str">
        <f t="shared" si="630"/>
        <v>116523</v>
      </c>
      <c r="C10958" t="str">
        <f t="shared" si="631"/>
        <v>52460</v>
      </c>
      <c r="D10958" t="s">
        <v>452</v>
      </c>
      <c r="E10958" s="1">
        <v>1046.8399999999999</v>
      </c>
      <c r="F10958">
        <v>20140715</v>
      </c>
      <c r="G10958" t="s">
        <v>457</v>
      </c>
      <c r="H10958" t="s">
        <v>454</v>
      </c>
      <c r="I10958" t="s">
        <v>21</v>
      </c>
    </row>
    <row r="10959" spans="1:9" x14ac:dyDescent="0.25">
      <c r="A10959">
        <v>20140717</v>
      </c>
      <c r="B10959" t="str">
        <f t="shared" si="630"/>
        <v>116523</v>
      </c>
      <c r="C10959" t="str">
        <f t="shared" si="631"/>
        <v>52460</v>
      </c>
      <c r="D10959" t="s">
        <v>452</v>
      </c>
      <c r="E10959">
        <v>917.97</v>
      </c>
      <c r="F10959">
        <v>20140715</v>
      </c>
      <c r="G10959" t="s">
        <v>458</v>
      </c>
      <c r="H10959" t="s">
        <v>454</v>
      </c>
      <c r="I10959" t="s">
        <v>21</v>
      </c>
    </row>
    <row r="10960" spans="1:9" x14ac:dyDescent="0.25">
      <c r="A10960">
        <v>20140717</v>
      </c>
      <c r="B10960" t="str">
        <f t="shared" si="630"/>
        <v>116523</v>
      </c>
      <c r="C10960" t="str">
        <f t="shared" si="631"/>
        <v>52460</v>
      </c>
      <c r="D10960" t="s">
        <v>452</v>
      </c>
      <c r="E10960" s="1">
        <v>1046.8399999999999</v>
      </c>
      <c r="F10960">
        <v>20140715</v>
      </c>
      <c r="G10960" t="s">
        <v>459</v>
      </c>
      <c r="H10960" t="s">
        <v>454</v>
      </c>
      <c r="I10960" t="s">
        <v>21</v>
      </c>
    </row>
    <row r="10961" spans="1:9" x14ac:dyDescent="0.25">
      <c r="A10961">
        <v>20140717</v>
      </c>
      <c r="B10961" t="str">
        <f t="shared" si="630"/>
        <v>116523</v>
      </c>
      <c r="C10961" t="str">
        <f t="shared" si="631"/>
        <v>52460</v>
      </c>
      <c r="D10961" t="s">
        <v>452</v>
      </c>
      <c r="E10961">
        <v>975.84</v>
      </c>
      <c r="F10961">
        <v>20140715</v>
      </c>
      <c r="G10961" t="s">
        <v>460</v>
      </c>
      <c r="H10961" t="s">
        <v>454</v>
      </c>
      <c r="I10961" t="s">
        <v>21</v>
      </c>
    </row>
    <row r="10962" spans="1:9" x14ac:dyDescent="0.25">
      <c r="A10962">
        <v>20140717</v>
      </c>
      <c r="B10962" t="str">
        <f t="shared" si="630"/>
        <v>116523</v>
      </c>
      <c r="C10962" t="str">
        <f t="shared" si="631"/>
        <v>52460</v>
      </c>
      <c r="D10962" t="s">
        <v>452</v>
      </c>
      <c r="E10962">
        <v>602.36</v>
      </c>
      <c r="F10962">
        <v>20140715</v>
      </c>
      <c r="G10962" t="s">
        <v>461</v>
      </c>
      <c r="H10962" t="s">
        <v>454</v>
      </c>
      <c r="I10962" t="s">
        <v>21</v>
      </c>
    </row>
    <row r="10963" spans="1:9" x14ac:dyDescent="0.25">
      <c r="A10963">
        <v>20140717</v>
      </c>
      <c r="B10963" t="str">
        <f t="shared" si="630"/>
        <v>116523</v>
      </c>
      <c r="C10963" t="str">
        <f t="shared" si="631"/>
        <v>52460</v>
      </c>
      <c r="D10963" t="s">
        <v>452</v>
      </c>
      <c r="E10963" s="1">
        <v>1046.8399999999999</v>
      </c>
      <c r="F10963">
        <v>20140715</v>
      </c>
      <c r="G10963" t="s">
        <v>462</v>
      </c>
      <c r="H10963" t="s">
        <v>454</v>
      </c>
      <c r="I10963" t="s">
        <v>21</v>
      </c>
    </row>
    <row r="10964" spans="1:9" x14ac:dyDescent="0.25">
      <c r="A10964">
        <v>20140717</v>
      </c>
      <c r="B10964" t="str">
        <f t="shared" si="630"/>
        <v>116523</v>
      </c>
      <c r="C10964" t="str">
        <f t="shared" si="631"/>
        <v>52460</v>
      </c>
      <c r="D10964" t="s">
        <v>452</v>
      </c>
      <c r="E10964">
        <v>276.18</v>
      </c>
      <c r="F10964">
        <v>20140715</v>
      </c>
      <c r="G10964" t="s">
        <v>463</v>
      </c>
      <c r="H10964" t="s">
        <v>454</v>
      </c>
      <c r="I10964" t="s">
        <v>21</v>
      </c>
    </row>
    <row r="10965" spans="1:9" x14ac:dyDescent="0.25">
      <c r="A10965">
        <v>20140717</v>
      </c>
      <c r="B10965" t="str">
        <f t="shared" si="630"/>
        <v>116523</v>
      </c>
      <c r="C10965" t="str">
        <f t="shared" si="631"/>
        <v>52460</v>
      </c>
      <c r="D10965" t="s">
        <v>452</v>
      </c>
      <c r="E10965">
        <v>418.19</v>
      </c>
      <c r="F10965">
        <v>20140715</v>
      </c>
      <c r="G10965" t="s">
        <v>464</v>
      </c>
      <c r="H10965" t="s">
        <v>454</v>
      </c>
      <c r="I10965" t="s">
        <v>21</v>
      </c>
    </row>
    <row r="10966" spans="1:9" x14ac:dyDescent="0.25">
      <c r="A10966">
        <v>20140717</v>
      </c>
      <c r="B10966" t="str">
        <f t="shared" si="630"/>
        <v>116523</v>
      </c>
      <c r="C10966" t="str">
        <f t="shared" si="631"/>
        <v>52460</v>
      </c>
      <c r="D10966" t="s">
        <v>452</v>
      </c>
      <c r="E10966">
        <v>465.55</v>
      </c>
      <c r="F10966">
        <v>20140715</v>
      </c>
      <c r="G10966" t="s">
        <v>465</v>
      </c>
      <c r="H10966" t="s">
        <v>454</v>
      </c>
      <c r="I10966" t="s">
        <v>21</v>
      </c>
    </row>
    <row r="10967" spans="1:9" x14ac:dyDescent="0.25">
      <c r="A10967">
        <v>20140717</v>
      </c>
      <c r="B10967" t="str">
        <f t="shared" si="630"/>
        <v>116523</v>
      </c>
      <c r="C10967" t="str">
        <f t="shared" si="631"/>
        <v>52460</v>
      </c>
      <c r="D10967" t="s">
        <v>452</v>
      </c>
      <c r="E10967">
        <v>701.7</v>
      </c>
      <c r="F10967">
        <v>20140715</v>
      </c>
      <c r="G10967" t="s">
        <v>465</v>
      </c>
      <c r="H10967" t="s">
        <v>454</v>
      </c>
      <c r="I10967" t="s">
        <v>21</v>
      </c>
    </row>
    <row r="10968" spans="1:9" x14ac:dyDescent="0.25">
      <c r="A10968">
        <v>20140717</v>
      </c>
      <c r="B10968" t="str">
        <f t="shared" si="630"/>
        <v>116523</v>
      </c>
      <c r="C10968" t="str">
        <f t="shared" si="631"/>
        <v>52460</v>
      </c>
      <c r="D10968" t="s">
        <v>452</v>
      </c>
      <c r="E10968">
        <v>276.18</v>
      </c>
      <c r="F10968">
        <v>20140715</v>
      </c>
      <c r="G10968" t="s">
        <v>467</v>
      </c>
      <c r="H10968" t="s">
        <v>454</v>
      </c>
      <c r="I10968" t="s">
        <v>21</v>
      </c>
    </row>
    <row r="10969" spans="1:9" x14ac:dyDescent="0.25">
      <c r="A10969">
        <v>20140717</v>
      </c>
      <c r="B10969" t="str">
        <f>"116524"</f>
        <v>116524</v>
      </c>
      <c r="C10969" t="str">
        <f>"81448"</f>
        <v>81448</v>
      </c>
      <c r="D10969" t="s">
        <v>4769</v>
      </c>
      <c r="E10969" s="1">
        <v>1645</v>
      </c>
      <c r="F10969">
        <v>20140715</v>
      </c>
      <c r="G10969" t="s">
        <v>417</v>
      </c>
      <c r="H10969" t="s">
        <v>4770</v>
      </c>
      <c r="I10969" t="s">
        <v>21</v>
      </c>
    </row>
    <row r="10970" spans="1:9" x14ac:dyDescent="0.25">
      <c r="A10970">
        <v>20140717</v>
      </c>
      <c r="B10970" t="str">
        <f>"116525"</f>
        <v>116525</v>
      </c>
      <c r="C10970" t="str">
        <f>"83932"</f>
        <v>83932</v>
      </c>
      <c r="D10970" t="s">
        <v>3269</v>
      </c>
      <c r="E10970">
        <v>41.85</v>
      </c>
      <c r="F10970">
        <v>20140715</v>
      </c>
      <c r="G10970" t="s">
        <v>410</v>
      </c>
      <c r="H10970" t="s">
        <v>411</v>
      </c>
      <c r="I10970" t="s">
        <v>12</v>
      </c>
    </row>
    <row r="10971" spans="1:9" x14ac:dyDescent="0.25">
      <c r="A10971">
        <v>20140717</v>
      </c>
      <c r="B10971" t="str">
        <f>"116526"</f>
        <v>116526</v>
      </c>
      <c r="C10971" t="str">
        <f>"00255"</f>
        <v>00255</v>
      </c>
      <c r="D10971" t="s">
        <v>489</v>
      </c>
      <c r="E10971">
        <v>41.63</v>
      </c>
      <c r="F10971">
        <v>20140715</v>
      </c>
      <c r="G10971" t="s">
        <v>771</v>
      </c>
      <c r="H10971" t="s">
        <v>488</v>
      </c>
      <c r="I10971" t="s">
        <v>21</v>
      </c>
    </row>
    <row r="10972" spans="1:9" x14ac:dyDescent="0.25">
      <c r="A10972">
        <v>20140717</v>
      </c>
      <c r="B10972" t="str">
        <f>"116527"</f>
        <v>116527</v>
      </c>
      <c r="C10972" t="str">
        <f>"00213"</f>
        <v>00213</v>
      </c>
      <c r="D10972" t="s">
        <v>1006</v>
      </c>
      <c r="E10972">
        <v>943.85</v>
      </c>
      <c r="F10972">
        <v>20140716</v>
      </c>
      <c r="G10972" t="s">
        <v>506</v>
      </c>
      <c r="H10972" t="s">
        <v>4771</v>
      </c>
      <c r="I10972" t="s">
        <v>21</v>
      </c>
    </row>
    <row r="10973" spans="1:9" x14ac:dyDescent="0.25">
      <c r="A10973">
        <v>20140717</v>
      </c>
      <c r="B10973" t="str">
        <f>"116527"</f>
        <v>116527</v>
      </c>
      <c r="C10973" t="str">
        <f>"00213"</f>
        <v>00213</v>
      </c>
      <c r="D10973" t="s">
        <v>1006</v>
      </c>
      <c r="E10973">
        <v>365.85</v>
      </c>
      <c r="F10973">
        <v>20140716</v>
      </c>
      <c r="G10973" t="s">
        <v>506</v>
      </c>
      <c r="H10973" t="s">
        <v>3607</v>
      </c>
      <c r="I10973" t="s">
        <v>21</v>
      </c>
    </row>
    <row r="10974" spans="1:9" x14ac:dyDescent="0.25">
      <c r="A10974">
        <v>20140717</v>
      </c>
      <c r="B10974" t="str">
        <f>"116527"</f>
        <v>116527</v>
      </c>
      <c r="C10974" t="str">
        <f>"00213"</f>
        <v>00213</v>
      </c>
      <c r="D10974" t="s">
        <v>1006</v>
      </c>
      <c r="E10974" s="1">
        <v>1133.6500000000001</v>
      </c>
      <c r="F10974">
        <v>20140716</v>
      </c>
      <c r="G10974" t="s">
        <v>48</v>
      </c>
      <c r="H10974" t="s">
        <v>3607</v>
      </c>
      <c r="I10974" t="s">
        <v>25</v>
      </c>
    </row>
    <row r="10975" spans="1:9" x14ac:dyDescent="0.25">
      <c r="A10975">
        <v>20140717</v>
      </c>
      <c r="B10975" t="str">
        <f>"116528"</f>
        <v>116528</v>
      </c>
      <c r="C10975" t="str">
        <f>"11488"</f>
        <v>11488</v>
      </c>
      <c r="D10975" t="s">
        <v>1561</v>
      </c>
      <c r="E10975">
        <v>13.48</v>
      </c>
      <c r="F10975">
        <v>20140714</v>
      </c>
      <c r="G10975" t="s">
        <v>498</v>
      </c>
      <c r="H10975" t="s">
        <v>499</v>
      </c>
      <c r="I10975" t="s">
        <v>21</v>
      </c>
    </row>
    <row r="10976" spans="1:9" x14ac:dyDescent="0.25">
      <c r="A10976">
        <v>20140717</v>
      </c>
      <c r="B10976" t="str">
        <f>"116529"</f>
        <v>116529</v>
      </c>
      <c r="C10976" t="str">
        <f>"82560"</f>
        <v>82560</v>
      </c>
      <c r="D10976" t="s">
        <v>403</v>
      </c>
      <c r="E10976">
        <v>418.54</v>
      </c>
      <c r="F10976">
        <v>20140715</v>
      </c>
      <c r="G10976" t="s">
        <v>404</v>
      </c>
      <c r="H10976" t="s">
        <v>405</v>
      </c>
      <c r="I10976" t="s">
        <v>12</v>
      </c>
    </row>
    <row r="10977" spans="1:9" x14ac:dyDescent="0.25">
      <c r="A10977">
        <v>20140717</v>
      </c>
      <c r="B10977" t="str">
        <f>"116529"</f>
        <v>116529</v>
      </c>
      <c r="C10977" t="str">
        <f>"82560"</f>
        <v>82560</v>
      </c>
      <c r="D10977" t="s">
        <v>403</v>
      </c>
      <c r="E10977">
        <v>441.13</v>
      </c>
      <c r="F10977">
        <v>20140715</v>
      </c>
      <c r="G10977" t="s">
        <v>4772</v>
      </c>
      <c r="H10977" t="s">
        <v>405</v>
      </c>
      <c r="I10977" t="s">
        <v>218</v>
      </c>
    </row>
    <row r="10978" spans="1:9" x14ac:dyDescent="0.25">
      <c r="A10978">
        <v>20140717</v>
      </c>
      <c r="B10978" t="str">
        <f>"116530"</f>
        <v>116530</v>
      </c>
      <c r="C10978" t="str">
        <f>"11851"</f>
        <v>11851</v>
      </c>
      <c r="D10978" t="s">
        <v>342</v>
      </c>
      <c r="E10978">
        <v>125</v>
      </c>
      <c r="F10978">
        <v>20140715</v>
      </c>
      <c r="G10978" t="s">
        <v>214</v>
      </c>
      <c r="H10978" t="s">
        <v>4773</v>
      </c>
      <c r="I10978" t="s">
        <v>38</v>
      </c>
    </row>
    <row r="10979" spans="1:9" x14ac:dyDescent="0.25">
      <c r="A10979">
        <v>20140717</v>
      </c>
      <c r="B10979" t="str">
        <f>"116531"</f>
        <v>116531</v>
      </c>
      <c r="C10979" t="str">
        <f>"12140"</f>
        <v>12140</v>
      </c>
      <c r="D10979" t="s">
        <v>406</v>
      </c>
      <c r="E10979" s="1">
        <v>5920.58</v>
      </c>
      <c r="F10979">
        <v>20140715</v>
      </c>
      <c r="G10979" t="s">
        <v>404</v>
      </c>
      <c r="H10979" t="s">
        <v>408</v>
      </c>
      <c r="I10979" t="s">
        <v>12</v>
      </c>
    </row>
    <row r="10980" spans="1:9" x14ac:dyDescent="0.25">
      <c r="A10980">
        <v>20140717</v>
      </c>
      <c r="B10980" t="str">
        <f>"116531"</f>
        <v>116531</v>
      </c>
      <c r="C10980" t="str">
        <f>"12140"</f>
        <v>12140</v>
      </c>
      <c r="D10980" t="s">
        <v>406</v>
      </c>
      <c r="E10980" s="1">
        <v>2667.46</v>
      </c>
      <c r="F10980">
        <v>20140715</v>
      </c>
      <c r="G10980" t="s">
        <v>4772</v>
      </c>
      <c r="H10980" t="s">
        <v>408</v>
      </c>
      <c r="I10980" t="s">
        <v>218</v>
      </c>
    </row>
    <row r="10981" spans="1:9" x14ac:dyDescent="0.25">
      <c r="A10981">
        <v>20140717</v>
      </c>
      <c r="B10981" t="str">
        <f>"116532"</f>
        <v>116532</v>
      </c>
      <c r="C10981" t="str">
        <f>"12395"</f>
        <v>12395</v>
      </c>
      <c r="D10981" t="s">
        <v>3108</v>
      </c>
      <c r="E10981">
        <v>66.89</v>
      </c>
      <c r="F10981">
        <v>20140715</v>
      </c>
      <c r="G10981" t="s">
        <v>498</v>
      </c>
      <c r="H10981" t="s">
        <v>499</v>
      </c>
      <c r="I10981" t="s">
        <v>21</v>
      </c>
    </row>
    <row r="10982" spans="1:9" x14ac:dyDescent="0.25">
      <c r="A10982">
        <v>20140717</v>
      </c>
      <c r="B10982" t="str">
        <f>"116533"</f>
        <v>116533</v>
      </c>
      <c r="C10982" t="str">
        <f>"86533"</f>
        <v>86533</v>
      </c>
      <c r="D10982" t="s">
        <v>505</v>
      </c>
      <c r="E10982">
        <v>32.39</v>
      </c>
      <c r="F10982">
        <v>20140715</v>
      </c>
      <c r="G10982" t="s">
        <v>506</v>
      </c>
      <c r="H10982" t="s">
        <v>4774</v>
      </c>
      <c r="I10982" t="s">
        <v>21</v>
      </c>
    </row>
    <row r="10983" spans="1:9" x14ac:dyDescent="0.25">
      <c r="A10983">
        <v>20140717</v>
      </c>
      <c r="B10983" t="str">
        <f>"116533"</f>
        <v>116533</v>
      </c>
      <c r="C10983" t="str">
        <f>"86533"</f>
        <v>86533</v>
      </c>
      <c r="D10983" t="s">
        <v>505</v>
      </c>
      <c r="E10983" s="1">
        <v>1255</v>
      </c>
      <c r="F10983">
        <v>20140715</v>
      </c>
      <c r="G10983" t="s">
        <v>1483</v>
      </c>
      <c r="H10983" t="s">
        <v>4775</v>
      </c>
      <c r="I10983" t="s">
        <v>38</v>
      </c>
    </row>
    <row r="10984" spans="1:9" x14ac:dyDescent="0.25">
      <c r="A10984">
        <v>20140717</v>
      </c>
      <c r="B10984" t="str">
        <f>"116534"</f>
        <v>116534</v>
      </c>
      <c r="C10984" t="str">
        <f>"86472"</f>
        <v>86472</v>
      </c>
      <c r="D10984" t="s">
        <v>3904</v>
      </c>
      <c r="E10984">
        <v>104.72</v>
      </c>
      <c r="F10984">
        <v>20140715</v>
      </c>
      <c r="G10984" t="s">
        <v>498</v>
      </c>
      <c r="H10984" t="s">
        <v>499</v>
      </c>
      <c r="I10984" t="s">
        <v>21</v>
      </c>
    </row>
    <row r="10985" spans="1:9" x14ac:dyDescent="0.25">
      <c r="A10985">
        <v>20140717</v>
      </c>
      <c r="B10985" t="str">
        <f>"116534"</f>
        <v>116534</v>
      </c>
      <c r="C10985" t="str">
        <f>"86472"</f>
        <v>86472</v>
      </c>
      <c r="D10985" t="s">
        <v>3904</v>
      </c>
      <c r="E10985">
        <v>56.93</v>
      </c>
      <c r="F10985">
        <v>20140716</v>
      </c>
      <c r="G10985" t="s">
        <v>498</v>
      </c>
      <c r="H10985" t="s">
        <v>499</v>
      </c>
      <c r="I10985" t="s">
        <v>21</v>
      </c>
    </row>
    <row r="10986" spans="1:9" x14ac:dyDescent="0.25">
      <c r="A10986">
        <v>20140717</v>
      </c>
      <c r="B10986" t="str">
        <f>"116534"</f>
        <v>116534</v>
      </c>
      <c r="C10986" t="str">
        <f>"86472"</f>
        <v>86472</v>
      </c>
      <c r="D10986" t="s">
        <v>3904</v>
      </c>
      <c r="E10986">
        <v>121.33</v>
      </c>
      <c r="F10986">
        <v>20140716</v>
      </c>
      <c r="G10986" t="s">
        <v>498</v>
      </c>
      <c r="H10986" t="s">
        <v>499</v>
      </c>
      <c r="I10986" t="s">
        <v>21</v>
      </c>
    </row>
    <row r="10987" spans="1:9" x14ac:dyDescent="0.25">
      <c r="A10987">
        <v>20140717</v>
      </c>
      <c r="B10987" t="str">
        <f>"116535"</f>
        <v>116535</v>
      </c>
      <c r="C10987" t="str">
        <f>"86576"</f>
        <v>86576</v>
      </c>
      <c r="D10987" t="s">
        <v>409</v>
      </c>
      <c r="E10987">
        <v>27.9</v>
      </c>
      <c r="F10987">
        <v>20140715</v>
      </c>
      <c r="G10987" t="s">
        <v>410</v>
      </c>
      <c r="H10987" t="s">
        <v>411</v>
      </c>
      <c r="I10987" t="s">
        <v>12</v>
      </c>
    </row>
    <row r="10988" spans="1:9" x14ac:dyDescent="0.25">
      <c r="A10988">
        <v>20140717</v>
      </c>
      <c r="B10988" t="str">
        <f>"116535"</f>
        <v>116535</v>
      </c>
      <c r="C10988" t="str">
        <f>"86576"</f>
        <v>86576</v>
      </c>
      <c r="D10988" t="s">
        <v>409</v>
      </c>
      <c r="E10988">
        <v>3.6</v>
      </c>
      <c r="F10988">
        <v>20140715</v>
      </c>
      <c r="G10988" t="s">
        <v>4776</v>
      </c>
      <c r="H10988" t="s">
        <v>411</v>
      </c>
      <c r="I10988" t="s">
        <v>218</v>
      </c>
    </row>
    <row r="10989" spans="1:9" x14ac:dyDescent="0.25">
      <c r="A10989">
        <v>20140717</v>
      </c>
      <c r="B10989" t="str">
        <f>"116536"</f>
        <v>116536</v>
      </c>
      <c r="C10989" t="str">
        <f>"85759"</f>
        <v>85759</v>
      </c>
      <c r="D10989" t="s">
        <v>4409</v>
      </c>
      <c r="E10989" s="1">
        <v>4774</v>
      </c>
      <c r="F10989">
        <v>20140716</v>
      </c>
      <c r="G10989" t="s">
        <v>932</v>
      </c>
      <c r="H10989" t="s">
        <v>414</v>
      </c>
      <c r="I10989" t="s">
        <v>77</v>
      </c>
    </row>
    <row r="10990" spans="1:9" x14ac:dyDescent="0.25">
      <c r="A10990">
        <v>20140717</v>
      </c>
      <c r="B10990" t="str">
        <f>"116537"</f>
        <v>116537</v>
      </c>
      <c r="C10990" t="str">
        <f>"16988"</f>
        <v>16988</v>
      </c>
      <c r="D10990" t="s">
        <v>510</v>
      </c>
      <c r="E10990">
        <v>249.85</v>
      </c>
      <c r="F10990">
        <v>20140714</v>
      </c>
      <c r="G10990" t="s">
        <v>496</v>
      </c>
      <c r="H10990" t="s">
        <v>414</v>
      </c>
      <c r="I10990" t="s">
        <v>21</v>
      </c>
    </row>
    <row r="10991" spans="1:9" x14ac:dyDescent="0.25">
      <c r="A10991">
        <v>20140717</v>
      </c>
      <c r="B10991" t="str">
        <f>"116537"</f>
        <v>116537</v>
      </c>
      <c r="C10991" t="str">
        <f>"16988"</f>
        <v>16988</v>
      </c>
      <c r="D10991" t="s">
        <v>510</v>
      </c>
      <c r="E10991">
        <v>725</v>
      </c>
      <c r="F10991">
        <v>20140714</v>
      </c>
      <c r="G10991" t="s">
        <v>511</v>
      </c>
      <c r="H10991" t="s">
        <v>2129</v>
      </c>
      <c r="I10991" t="s">
        <v>21</v>
      </c>
    </row>
    <row r="10992" spans="1:9" x14ac:dyDescent="0.25">
      <c r="A10992">
        <v>20140717</v>
      </c>
      <c r="B10992" t="str">
        <f>"116537"</f>
        <v>116537</v>
      </c>
      <c r="C10992" t="str">
        <f>"16988"</f>
        <v>16988</v>
      </c>
      <c r="D10992" t="s">
        <v>510</v>
      </c>
      <c r="E10992">
        <v>927.82</v>
      </c>
      <c r="F10992">
        <v>20140714</v>
      </c>
      <c r="G10992" t="s">
        <v>511</v>
      </c>
      <c r="H10992" t="s">
        <v>512</v>
      </c>
      <c r="I10992" t="s">
        <v>21</v>
      </c>
    </row>
    <row r="10993" spans="1:9" x14ac:dyDescent="0.25">
      <c r="A10993">
        <v>20140717</v>
      </c>
      <c r="B10993" t="str">
        <f>"116537"</f>
        <v>116537</v>
      </c>
      <c r="C10993" t="str">
        <f>"16988"</f>
        <v>16988</v>
      </c>
      <c r="D10993" t="s">
        <v>510</v>
      </c>
      <c r="E10993">
        <v>506.34</v>
      </c>
      <c r="F10993">
        <v>20140715</v>
      </c>
      <c r="G10993" t="s">
        <v>482</v>
      </c>
      <c r="H10993" t="s">
        <v>414</v>
      </c>
      <c r="I10993" t="s">
        <v>21</v>
      </c>
    </row>
    <row r="10994" spans="1:9" x14ac:dyDescent="0.25">
      <c r="A10994">
        <v>20140717</v>
      </c>
      <c r="B10994" t="str">
        <f t="shared" ref="B10994:B11001" si="632">"116538"</f>
        <v>116538</v>
      </c>
      <c r="C10994" t="str">
        <f t="shared" ref="C10994:C11001" si="633">"16998"</f>
        <v>16998</v>
      </c>
      <c r="D10994" t="s">
        <v>1372</v>
      </c>
      <c r="E10994">
        <v>756.06</v>
      </c>
      <c r="F10994">
        <v>20140714</v>
      </c>
      <c r="G10994" t="s">
        <v>621</v>
      </c>
      <c r="H10994" t="s">
        <v>4777</v>
      </c>
      <c r="I10994" t="s">
        <v>21</v>
      </c>
    </row>
    <row r="10995" spans="1:9" x14ac:dyDescent="0.25">
      <c r="A10995">
        <v>20140717</v>
      </c>
      <c r="B10995" t="str">
        <f t="shared" si="632"/>
        <v>116538</v>
      </c>
      <c r="C10995" t="str">
        <f t="shared" si="633"/>
        <v>16998</v>
      </c>
      <c r="D10995" t="s">
        <v>1372</v>
      </c>
      <c r="E10995">
        <v>162.15</v>
      </c>
      <c r="F10995">
        <v>20140714</v>
      </c>
      <c r="G10995" t="s">
        <v>624</v>
      </c>
      <c r="H10995" t="s">
        <v>4777</v>
      </c>
      <c r="I10995" t="s">
        <v>21</v>
      </c>
    </row>
    <row r="10996" spans="1:9" x14ac:dyDescent="0.25">
      <c r="A10996">
        <v>20140717</v>
      </c>
      <c r="B10996" t="str">
        <f t="shared" si="632"/>
        <v>116538</v>
      </c>
      <c r="C10996" t="str">
        <f t="shared" si="633"/>
        <v>16998</v>
      </c>
      <c r="D10996" t="s">
        <v>1372</v>
      </c>
      <c r="E10996" s="1">
        <v>1700</v>
      </c>
      <c r="F10996">
        <v>20140714</v>
      </c>
      <c r="G10996" t="s">
        <v>526</v>
      </c>
      <c r="H10996" t="s">
        <v>4778</v>
      </c>
      <c r="I10996" t="s">
        <v>21</v>
      </c>
    </row>
    <row r="10997" spans="1:9" x14ac:dyDescent="0.25">
      <c r="A10997">
        <v>20140717</v>
      </c>
      <c r="B10997" t="str">
        <f t="shared" si="632"/>
        <v>116538</v>
      </c>
      <c r="C10997" t="str">
        <f t="shared" si="633"/>
        <v>16998</v>
      </c>
      <c r="D10997" t="s">
        <v>1372</v>
      </c>
      <c r="E10997" s="1">
        <v>2347.19</v>
      </c>
      <c r="F10997">
        <v>20140714</v>
      </c>
      <c r="G10997" t="s">
        <v>1380</v>
      </c>
      <c r="H10997" t="s">
        <v>4777</v>
      </c>
      <c r="I10997" t="s">
        <v>21</v>
      </c>
    </row>
    <row r="10998" spans="1:9" x14ac:dyDescent="0.25">
      <c r="A10998">
        <v>20140717</v>
      </c>
      <c r="B10998" t="str">
        <f t="shared" si="632"/>
        <v>116538</v>
      </c>
      <c r="C10998" t="str">
        <f t="shared" si="633"/>
        <v>16998</v>
      </c>
      <c r="D10998" t="s">
        <v>1372</v>
      </c>
      <c r="E10998">
        <v>114.67</v>
      </c>
      <c r="F10998">
        <v>20140715</v>
      </c>
      <c r="G10998" t="s">
        <v>1380</v>
      </c>
      <c r="H10998" t="s">
        <v>4777</v>
      </c>
      <c r="I10998" t="s">
        <v>21</v>
      </c>
    </row>
    <row r="10999" spans="1:9" x14ac:dyDescent="0.25">
      <c r="A10999">
        <v>20140717</v>
      </c>
      <c r="B10999" t="str">
        <f t="shared" si="632"/>
        <v>116538</v>
      </c>
      <c r="C10999" t="str">
        <f t="shared" si="633"/>
        <v>16998</v>
      </c>
      <c r="D10999" t="s">
        <v>1372</v>
      </c>
      <c r="E10999">
        <v>778.5</v>
      </c>
      <c r="F10999">
        <v>20140715</v>
      </c>
      <c r="G10999" t="s">
        <v>1380</v>
      </c>
      <c r="H10999" t="s">
        <v>4777</v>
      </c>
      <c r="I10999" t="s">
        <v>21</v>
      </c>
    </row>
    <row r="11000" spans="1:9" x14ac:dyDescent="0.25">
      <c r="A11000">
        <v>20140717</v>
      </c>
      <c r="B11000" t="str">
        <f t="shared" si="632"/>
        <v>116538</v>
      </c>
      <c r="C11000" t="str">
        <f t="shared" si="633"/>
        <v>16998</v>
      </c>
      <c r="D11000" t="s">
        <v>1372</v>
      </c>
      <c r="E11000" s="1">
        <v>3500</v>
      </c>
      <c r="F11000">
        <v>20140715</v>
      </c>
      <c r="G11000" t="s">
        <v>1380</v>
      </c>
      <c r="H11000" t="s">
        <v>2934</v>
      </c>
      <c r="I11000" t="s">
        <v>21</v>
      </c>
    </row>
    <row r="11001" spans="1:9" x14ac:dyDescent="0.25">
      <c r="A11001">
        <v>20140717</v>
      </c>
      <c r="B11001" t="str">
        <f t="shared" si="632"/>
        <v>116538</v>
      </c>
      <c r="C11001" t="str">
        <f t="shared" si="633"/>
        <v>16998</v>
      </c>
      <c r="D11001" t="s">
        <v>1372</v>
      </c>
      <c r="E11001" s="1">
        <v>2796.63</v>
      </c>
      <c r="F11001">
        <v>20140714</v>
      </c>
      <c r="G11001" t="s">
        <v>627</v>
      </c>
      <c r="H11001" t="s">
        <v>1379</v>
      </c>
      <c r="I11001" t="s">
        <v>21</v>
      </c>
    </row>
    <row r="11002" spans="1:9" x14ac:dyDescent="0.25">
      <c r="A11002">
        <v>20140717</v>
      </c>
      <c r="B11002" t="str">
        <f>"116539"</f>
        <v>116539</v>
      </c>
      <c r="C11002" t="str">
        <f>"87549"</f>
        <v>87549</v>
      </c>
      <c r="D11002" t="s">
        <v>1382</v>
      </c>
      <c r="E11002">
        <v>99.98</v>
      </c>
      <c r="F11002">
        <v>20140714</v>
      </c>
      <c r="G11002" t="s">
        <v>99</v>
      </c>
      <c r="H11002" t="s">
        <v>2633</v>
      </c>
      <c r="I11002" t="s">
        <v>21</v>
      </c>
    </row>
    <row r="11003" spans="1:9" x14ac:dyDescent="0.25">
      <c r="A11003">
        <v>20140717</v>
      </c>
      <c r="B11003" t="str">
        <f>"116540"</f>
        <v>116540</v>
      </c>
      <c r="C11003" t="str">
        <f>"87566"</f>
        <v>87566</v>
      </c>
      <c r="D11003" t="s">
        <v>2139</v>
      </c>
      <c r="E11003">
        <v>309.89999999999998</v>
      </c>
      <c r="F11003">
        <v>20140715</v>
      </c>
      <c r="G11003" t="s">
        <v>392</v>
      </c>
      <c r="H11003" t="s">
        <v>414</v>
      </c>
      <c r="I11003" t="s">
        <v>21</v>
      </c>
    </row>
    <row r="11004" spans="1:9" x14ac:dyDescent="0.25">
      <c r="A11004">
        <v>20140717</v>
      </c>
      <c r="B11004" t="str">
        <f>"116541"</f>
        <v>116541</v>
      </c>
      <c r="C11004" t="str">
        <f>"21325"</f>
        <v>21325</v>
      </c>
      <c r="D11004" t="s">
        <v>1216</v>
      </c>
      <c r="E11004">
        <v>27.77</v>
      </c>
      <c r="F11004">
        <v>20140714</v>
      </c>
      <c r="G11004" t="s">
        <v>1165</v>
      </c>
      <c r="H11004" t="s">
        <v>2506</v>
      </c>
      <c r="I11004" t="s">
        <v>21</v>
      </c>
    </row>
    <row r="11005" spans="1:9" x14ac:dyDescent="0.25">
      <c r="A11005">
        <v>20140717</v>
      </c>
      <c r="B11005" t="str">
        <f>"116542"</f>
        <v>116542</v>
      </c>
      <c r="C11005" t="str">
        <f>"22200"</f>
        <v>22200</v>
      </c>
      <c r="D11005" t="s">
        <v>519</v>
      </c>
      <c r="E11005">
        <v>104.75</v>
      </c>
      <c r="F11005">
        <v>20140715</v>
      </c>
      <c r="G11005" t="s">
        <v>202</v>
      </c>
      <c r="H11005" t="s">
        <v>1394</v>
      </c>
      <c r="I11005" t="s">
        <v>12</v>
      </c>
    </row>
    <row r="11006" spans="1:9" x14ac:dyDescent="0.25">
      <c r="A11006">
        <v>20140717</v>
      </c>
      <c r="B11006" t="str">
        <f>"116542"</f>
        <v>116542</v>
      </c>
      <c r="C11006" t="str">
        <f>"22200"</f>
        <v>22200</v>
      </c>
      <c r="D11006" t="s">
        <v>519</v>
      </c>
      <c r="E11006">
        <v>21.25</v>
      </c>
      <c r="F11006">
        <v>20140715</v>
      </c>
      <c r="G11006" t="s">
        <v>4779</v>
      </c>
      <c r="H11006" t="s">
        <v>1394</v>
      </c>
      <c r="I11006" t="s">
        <v>218</v>
      </c>
    </row>
    <row r="11007" spans="1:9" x14ac:dyDescent="0.25">
      <c r="A11007">
        <v>20140717</v>
      </c>
      <c r="B11007" t="str">
        <f>"116543"</f>
        <v>116543</v>
      </c>
      <c r="C11007" t="str">
        <f>"23185"</f>
        <v>23185</v>
      </c>
      <c r="D11007" t="s">
        <v>803</v>
      </c>
      <c r="E11007">
        <v>205</v>
      </c>
      <c r="F11007">
        <v>20140715</v>
      </c>
      <c r="G11007" t="s">
        <v>630</v>
      </c>
      <c r="H11007" t="s">
        <v>604</v>
      </c>
      <c r="I11007" t="s">
        <v>21</v>
      </c>
    </row>
    <row r="11008" spans="1:9" x14ac:dyDescent="0.25">
      <c r="A11008">
        <v>20140717</v>
      </c>
      <c r="B11008" t="str">
        <f>"116543"</f>
        <v>116543</v>
      </c>
      <c r="C11008" t="str">
        <f>"23185"</f>
        <v>23185</v>
      </c>
      <c r="D11008" t="s">
        <v>803</v>
      </c>
      <c r="E11008">
        <v>100</v>
      </c>
      <c r="F11008">
        <v>20140714</v>
      </c>
      <c r="G11008" t="s">
        <v>3820</v>
      </c>
      <c r="H11008" t="s">
        <v>4780</v>
      </c>
      <c r="I11008" t="s">
        <v>21</v>
      </c>
    </row>
    <row r="11009" spans="1:9" x14ac:dyDescent="0.25">
      <c r="A11009">
        <v>20140717</v>
      </c>
      <c r="B11009" t="str">
        <f>"116544"</f>
        <v>116544</v>
      </c>
      <c r="C11009" t="str">
        <f>"23827"</f>
        <v>23827</v>
      </c>
      <c r="D11009" t="s">
        <v>528</v>
      </c>
      <c r="E11009">
        <v>50.18</v>
      </c>
      <c r="F11009">
        <v>20140715</v>
      </c>
      <c r="G11009" t="s">
        <v>1013</v>
      </c>
      <c r="H11009" t="s">
        <v>513</v>
      </c>
      <c r="I11009" t="s">
        <v>38</v>
      </c>
    </row>
    <row r="11010" spans="1:9" x14ac:dyDescent="0.25">
      <c r="A11010">
        <v>20140717</v>
      </c>
      <c r="B11010" t="str">
        <f>"116545"</f>
        <v>116545</v>
      </c>
      <c r="C11010" t="str">
        <f>"87599"</f>
        <v>87599</v>
      </c>
      <c r="D11010" t="s">
        <v>2154</v>
      </c>
      <c r="E11010">
        <v>9.9</v>
      </c>
      <c r="F11010">
        <v>20140715</v>
      </c>
      <c r="G11010" t="s">
        <v>410</v>
      </c>
      <c r="H11010" t="s">
        <v>411</v>
      </c>
      <c r="I11010" t="s">
        <v>12</v>
      </c>
    </row>
    <row r="11011" spans="1:9" x14ac:dyDescent="0.25">
      <c r="A11011">
        <v>20140717</v>
      </c>
      <c r="B11011" t="str">
        <f t="shared" ref="B11011:B11021" si="634">"116546"</f>
        <v>116546</v>
      </c>
      <c r="C11011" t="str">
        <f t="shared" ref="C11011:C11022" si="635">"25516"</f>
        <v>25516</v>
      </c>
      <c r="D11011" t="s">
        <v>529</v>
      </c>
      <c r="E11011" s="1">
        <v>2607.64</v>
      </c>
      <c r="F11011">
        <v>20140715</v>
      </c>
      <c r="G11011" t="s">
        <v>473</v>
      </c>
      <c r="H11011" t="s">
        <v>414</v>
      </c>
      <c r="I11011" t="s">
        <v>21</v>
      </c>
    </row>
    <row r="11012" spans="1:9" x14ac:dyDescent="0.25">
      <c r="A11012">
        <v>20140717</v>
      </c>
      <c r="B11012" t="str">
        <f t="shared" si="634"/>
        <v>116546</v>
      </c>
      <c r="C11012" t="str">
        <f t="shared" si="635"/>
        <v>25516</v>
      </c>
      <c r="D11012" t="s">
        <v>529</v>
      </c>
      <c r="E11012" s="1">
        <v>1123.67</v>
      </c>
      <c r="F11012">
        <v>20140715</v>
      </c>
      <c r="G11012" t="s">
        <v>475</v>
      </c>
      <c r="H11012" t="s">
        <v>414</v>
      </c>
      <c r="I11012" t="s">
        <v>21</v>
      </c>
    </row>
    <row r="11013" spans="1:9" x14ac:dyDescent="0.25">
      <c r="A11013">
        <v>20140717</v>
      </c>
      <c r="B11013" t="str">
        <f t="shared" si="634"/>
        <v>116546</v>
      </c>
      <c r="C11013" t="str">
        <f t="shared" si="635"/>
        <v>25516</v>
      </c>
      <c r="D11013" t="s">
        <v>529</v>
      </c>
      <c r="E11013">
        <v>716.12</v>
      </c>
      <c r="F11013">
        <v>20140715</v>
      </c>
      <c r="G11013" t="s">
        <v>476</v>
      </c>
      <c r="H11013" t="s">
        <v>414</v>
      </c>
      <c r="I11013" t="s">
        <v>21</v>
      </c>
    </row>
    <row r="11014" spans="1:9" x14ac:dyDescent="0.25">
      <c r="A11014">
        <v>20140717</v>
      </c>
      <c r="B11014" t="str">
        <f t="shared" si="634"/>
        <v>116546</v>
      </c>
      <c r="C11014" t="str">
        <f t="shared" si="635"/>
        <v>25516</v>
      </c>
      <c r="D11014" t="s">
        <v>529</v>
      </c>
      <c r="E11014" s="1">
        <v>1051.94</v>
      </c>
      <c r="F11014">
        <v>20140715</v>
      </c>
      <c r="G11014" t="s">
        <v>477</v>
      </c>
      <c r="H11014" t="s">
        <v>414</v>
      </c>
      <c r="I11014" t="s">
        <v>21</v>
      </c>
    </row>
    <row r="11015" spans="1:9" x14ac:dyDescent="0.25">
      <c r="A11015">
        <v>20140717</v>
      </c>
      <c r="B11015" t="str">
        <f t="shared" si="634"/>
        <v>116546</v>
      </c>
      <c r="C11015" t="str">
        <f t="shared" si="635"/>
        <v>25516</v>
      </c>
      <c r="D11015" t="s">
        <v>529</v>
      </c>
      <c r="E11015" s="1">
        <v>1574.48</v>
      </c>
      <c r="F11015">
        <v>20140715</v>
      </c>
      <c r="G11015" t="s">
        <v>478</v>
      </c>
      <c r="H11015" t="s">
        <v>414</v>
      </c>
      <c r="I11015" t="s">
        <v>21</v>
      </c>
    </row>
    <row r="11016" spans="1:9" x14ac:dyDescent="0.25">
      <c r="A11016">
        <v>20140717</v>
      </c>
      <c r="B11016" t="str">
        <f t="shared" si="634"/>
        <v>116546</v>
      </c>
      <c r="C11016" t="str">
        <f t="shared" si="635"/>
        <v>25516</v>
      </c>
      <c r="D11016" t="s">
        <v>529</v>
      </c>
      <c r="E11016" s="1">
        <v>1571.66</v>
      </c>
      <c r="F11016">
        <v>20140715</v>
      </c>
      <c r="G11016" t="s">
        <v>479</v>
      </c>
      <c r="H11016" t="s">
        <v>414</v>
      </c>
      <c r="I11016" t="s">
        <v>21</v>
      </c>
    </row>
    <row r="11017" spans="1:9" x14ac:dyDescent="0.25">
      <c r="A11017">
        <v>20140717</v>
      </c>
      <c r="B11017" t="str">
        <f t="shared" si="634"/>
        <v>116546</v>
      </c>
      <c r="C11017" t="str">
        <f t="shared" si="635"/>
        <v>25516</v>
      </c>
      <c r="D11017" t="s">
        <v>529</v>
      </c>
      <c r="E11017">
        <v>677.41</v>
      </c>
      <c r="F11017">
        <v>20140715</v>
      </c>
      <c r="G11017" t="s">
        <v>480</v>
      </c>
      <c r="H11017" t="s">
        <v>414</v>
      </c>
      <c r="I11017" t="s">
        <v>21</v>
      </c>
    </row>
    <row r="11018" spans="1:9" x14ac:dyDescent="0.25">
      <c r="A11018">
        <v>20140717</v>
      </c>
      <c r="B11018" t="str">
        <f t="shared" si="634"/>
        <v>116546</v>
      </c>
      <c r="C11018" t="str">
        <f t="shared" si="635"/>
        <v>25516</v>
      </c>
      <c r="D11018" t="s">
        <v>529</v>
      </c>
      <c r="E11018" s="1">
        <v>1575.51</v>
      </c>
      <c r="F11018">
        <v>20140715</v>
      </c>
      <c r="G11018" t="s">
        <v>481</v>
      </c>
      <c r="H11018" t="s">
        <v>414</v>
      </c>
      <c r="I11018" t="s">
        <v>21</v>
      </c>
    </row>
    <row r="11019" spans="1:9" x14ac:dyDescent="0.25">
      <c r="A11019">
        <v>20140717</v>
      </c>
      <c r="B11019" t="str">
        <f t="shared" si="634"/>
        <v>116546</v>
      </c>
      <c r="C11019" t="str">
        <f t="shared" si="635"/>
        <v>25516</v>
      </c>
      <c r="D11019" t="s">
        <v>529</v>
      </c>
      <c r="E11019" s="1">
        <v>2453.61</v>
      </c>
      <c r="F11019">
        <v>20140715</v>
      </c>
      <c r="G11019" t="s">
        <v>482</v>
      </c>
      <c r="H11019" t="s">
        <v>414</v>
      </c>
      <c r="I11019" t="s">
        <v>21</v>
      </c>
    </row>
    <row r="11020" spans="1:9" x14ac:dyDescent="0.25">
      <c r="A11020">
        <v>20140717</v>
      </c>
      <c r="B11020" t="str">
        <f t="shared" si="634"/>
        <v>116546</v>
      </c>
      <c r="C11020" t="str">
        <f t="shared" si="635"/>
        <v>25516</v>
      </c>
      <c r="D11020" t="s">
        <v>529</v>
      </c>
      <c r="E11020">
        <v>413.67</v>
      </c>
      <c r="F11020">
        <v>20140715</v>
      </c>
      <c r="G11020" t="s">
        <v>483</v>
      </c>
      <c r="H11020" t="s">
        <v>414</v>
      </c>
      <c r="I11020" t="s">
        <v>21</v>
      </c>
    </row>
    <row r="11021" spans="1:9" x14ac:dyDescent="0.25">
      <c r="A11021">
        <v>20140717</v>
      </c>
      <c r="B11021" t="str">
        <f t="shared" si="634"/>
        <v>116546</v>
      </c>
      <c r="C11021" t="str">
        <f t="shared" si="635"/>
        <v>25516</v>
      </c>
      <c r="D11021" t="s">
        <v>529</v>
      </c>
      <c r="E11021">
        <v>87.6</v>
      </c>
      <c r="F11021">
        <v>20140715</v>
      </c>
      <c r="G11021" t="s">
        <v>484</v>
      </c>
      <c r="H11021" t="s">
        <v>414</v>
      </c>
      <c r="I11021" t="s">
        <v>21</v>
      </c>
    </row>
    <row r="11022" spans="1:9" x14ac:dyDescent="0.25">
      <c r="A11022">
        <v>20140717</v>
      </c>
      <c r="B11022" t="str">
        <f>"116547"</f>
        <v>116547</v>
      </c>
      <c r="C11022" t="str">
        <f t="shared" si="635"/>
        <v>25516</v>
      </c>
      <c r="D11022" t="s">
        <v>529</v>
      </c>
      <c r="E11022">
        <v>701.33</v>
      </c>
      <c r="F11022">
        <v>20140715</v>
      </c>
      <c r="G11022" t="s">
        <v>4781</v>
      </c>
      <c r="H11022" t="s">
        <v>3916</v>
      </c>
      <c r="I11022" t="s">
        <v>218</v>
      </c>
    </row>
    <row r="11023" spans="1:9" x14ac:dyDescent="0.25">
      <c r="A11023">
        <v>20140717</v>
      </c>
      <c r="B11023" t="str">
        <f>"116548"</f>
        <v>116548</v>
      </c>
      <c r="C11023" t="str">
        <f>"85807"</f>
        <v>85807</v>
      </c>
      <c r="D11023" t="s">
        <v>4782</v>
      </c>
      <c r="E11023">
        <v>59.35</v>
      </c>
      <c r="F11023">
        <v>20140715</v>
      </c>
      <c r="G11023" t="s">
        <v>1120</v>
      </c>
      <c r="H11023" t="s">
        <v>4783</v>
      </c>
      <c r="I11023" t="s">
        <v>66</v>
      </c>
    </row>
    <row r="11024" spans="1:9" x14ac:dyDescent="0.25">
      <c r="A11024">
        <v>20140717</v>
      </c>
      <c r="B11024" t="str">
        <f t="shared" ref="B11024:B11035" si="636">"116549"</f>
        <v>116549</v>
      </c>
      <c r="C11024" t="str">
        <f t="shared" ref="C11024:C11035" si="637">"82286"</f>
        <v>82286</v>
      </c>
      <c r="D11024" t="s">
        <v>532</v>
      </c>
      <c r="E11024" s="1">
        <v>1808.87</v>
      </c>
      <c r="F11024">
        <v>20140714</v>
      </c>
      <c r="G11024" t="s">
        <v>533</v>
      </c>
      <c r="H11024" t="s">
        <v>534</v>
      </c>
      <c r="I11024" t="s">
        <v>21</v>
      </c>
    </row>
    <row r="11025" spans="1:9" x14ac:dyDescent="0.25">
      <c r="A11025">
        <v>20140717</v>
      </c>
      <c r="B11025" t="str">
        <f t="shared" si="636"/>
        <v>116549</v>
      </c>
      <c r="C11025" t="str">
        <f t="shared" si="637"/>
        <v>82286</v>
      </c>
      <c r="D11025" t="s">
        <v>532</v>
      </c>
      <c r="E11025">
        <v>48.89</v>
      </c>
      <c r="F11025">
        <v>20140714</v>
      </c>
      <c r="G11025" t="s">
        <v>535</v>
      </c>
      <c r="H11025" t="s">
        <v>534</v>
      </c>
      <c r="I11025" t="s">
        <v>21</v>
      </c>
    </row>
    <row r="11026" spans="1:9" x14ac:dyDescent="0.25">
      <c r="A11026">
        <v>20140717</v>
      </c>
      <c r="B11026" t="str">
        <f t="shared" si="636"/>
        <v>116549</v>
      </c>
      <c r="C11026" t="str">
        <f t="shared" si="637"/>
        <v>82286</v>
      </c>
      <c r="D11026" t="s">
        <v>532</v>
      </c>
      <c r="E11026">
        <v>733.32</v>
      </c>
      <c r="F11026">
        <v>20140714</v>
      </c>
      <c r="G11026" t="s">
        <v>536</v>
      </c>
      <c r="H11026" t="s">
        <v>534</v>
      </c>
      <c r="I11026" t="s">
        <v>21</v>
      </c>
    </row>
    <row r="11027" spans="1:9" x14ac:dyDescent="0.25">
      <c r="A11027">
        <v>20140717</v>
      </c>
      <c r="B11027" t="str">
        <f t="shared" si="636"/>
        <v>116549</v>
      </c>
      <c r="C11027" t="str">
        <f t="shared" si="637"/>
        <v>82286</v>
      </c>
      <c r="D11027" t="s">
        <v>532</v>
      </c>
      <c r="E11027">
        <v>244.44</v>
      </c>
      <c r="F11027">
        <v>20140714</v>
      </c>
      <c r="G11027" t="s">
        <v>537</v>
      </c>
      <c r="H11027" t="s">
        <v>534</v>
      </c>
      <c r="I11027" t="s">
        <v>21</v>
      </c>
    </row>
    <row r="11028" spans="1:9" x14ac:dyDescent="0.25">
      <c r="A11028">
        <v>20140717</v>
      </c>
      <c r="B11028" t="str">
        <f t="shared" si="636"/>
        <v>116549</v>
      </c>
      <c r="C11028" t="str">
        <f t="shared" si="637"/>
        <v>82286</v>
      </c>
      <c r="D11028" t="s">
        <v>532</v>
      </c>
      <c r="E11028">
        <v>293.39</v>
      </c>
      <c r="F11028">
        <v>20140714</v>
      </c>
      <c r="G11028" t="s">
        <v>538</v>
      </c>
      <c r="H11028" t="s">
        <v>534</v>
      </c>
      <c r="I11028" t="s">
        <v>21</v>
      </c>
    </row>
    <row r="11029" spans="1:9" x14ac:dyDescent="0.25">
      <c r="A11029">
        <v>20140717</v>
      </c>
      <c r="B11029" t="str">
        <f t="shared" si="636"/>
        <v>116549</v>
      </c>
      <c r="C11029" t="str">
        <f t="shared" si="637"/>
        <v>82286</v>
      </c>
      <c r="D11029" t="s">
        <v>532</v>
      </c>
      <c r="E11029">
        <v>342.21</v>
      </c>
      <c r="F11029">
        <v>20140714</v>
      </c>
      <c r="G11029" t="s">
        <v>539</v>
      </c>
      <c r="H11029" t="s">
        <v>534</v>
      </c>
      <c r="I11029" t="s">
        <v>21</v>
      </c>
    </row>
    <row r="11030" spans="1:9" x14ac:dyDescent="0.25">
      <c r="A11030">
        <v>20140717</v>
      </c>
      <c r="B11030" t="str">
        <f t="shared" si="636"/>
        <v>116549</v>
      </c>
      <c r="C11030" t="str">
        <f t="shared" si="637"/>
        <v>82286</v>
      </c>
      <c r="D11030" t="s">
        <v>532</v>
      </c>
      <c r="E11030">
        <v>180.52</v>
      </c>
      <c r="F11030">
        <v>20140714</v>
      </c>
      <c r="G11030" t="s">
        <v>540</v>
      </c>
      <c r="H11030" t="s">
        <v>534</v>
      </c>
      <c r="I11030" t="s">
        <v>21</v>
      </c>
    </row>
    <row r="11031" spans="1:9" x14ac:dyDescent="0.25">
      <c r="A11031">
        <v>20140717</v>
      </c>
      <c r="B11031" t="str">
        <f t="shared" si="636"/>
        <v>116549</v>
      </c>
      <c r="C11031" t="str">
        <f t="shared" si="637"/>
        <v>82286</v>
      </c>
      <c r="D11031" t="s">
        <v>532</v>
      </c>
      <c r="E11031">
        <v>180.51</v>
      </c>
      <c r="F11031">
        <v>20140714</v>
      </c>
      <c r="G11031" t="s">
        <v>541</v>
      </c>
      <c r="H11031" t="s">
        <v>534</v>
      </c>
      <c r="I11031" t="s">
        <v>21</v>
      </c>
    </row>
    <row r="11032" spans="1:9" x14ac:dyDescent="0.25">
      <c r="A11032">
        <v>20140717</v>
      </c>
      <c r="B11032" t="str">
        <f t="shared" si="636"/>
        <v>116549</v>
      </c>
      <c r="C11032" t="str">
        <f t="shared" si="637"/>
        <v>82286</v>
      </c>
      <c r="D11032" t="s">
        <v>532</v>
      </c>
      <c r="E11032">
        <v>782.21</v>
      </c>
      <c r="F11032">
        <v>20140714</v>
      </c>
      <c r="G11032" t="s">
        <v>542</v>
      </c>
      <c r="H11032" t="s">
        <v>534</v>
      </c>
      <c r="I11032" t="s">
        <v>21</v>
      </c>
    </row>
    <row r="11033" spans="1:9" x14ac:dyDescent="0.25">
      <c r="A11033">
        <v>20140717</v>
      </c>
      <c r="B11033" t="str">
        <f t="shared" si="636"/>
        <v>116549</v>
      </c>
      <c r="C11033" t="str">
        <f t="shared" si="637"/>
        <v>82286</v>
      </c>
      <c r="D11033" t="s">
        <v>532</v>
      </c>
      <c r="E11033">
        <v>48.89</v>
      </c>
      <c r="F11033">
        <v>20140714</v>
      </c>
      <c r="G11033" t="s">
        <v>543</v>
      </c>
      <c r="H11033" t="s">
        <v>534</v>
      </c>
      <c r="I11033" t="s">
        <v>21</v>
      </c>
    </row>
    <row r="11034" spans="1:9" x14ac:dyDescent="0.25">
      <c r="A11034">
        <v>20140717</v>
      </c>
      <c r="B11034" t="str">
        <f t="shared" si="636"/>
        <v>116549</v>
      </c>
      <c r="C11034" t="str">
        <f t="shared" si="637"/>
        <v>82286</v>
      </c>
      <c r="D11034" t="s">
        <v>532</v>
      </c>
      <c r="E11034">
        <v>293.37</v>
      </c>
      <c r="F11034">
        <v>20140714</v>
      </c>
      <c r="G11034" t="s">
        <v>544</v>
      </c>
      <c r="H11034" t="s">
        <v>534</v>
      </c>
      <c r="I11034" t="s">
        <v>21</v>
      </c>
    </row>
    <row r="11035" spans="1:9" x14ac:dyDescent="0.25">
      <c r="A11035">
        <v>20140717</v>
      </c>
      <c r="B11035" t="str">
        <f t="shared" si="636"/>
        <v>116549</v>
      </c>
      <c r="C11035" t="str">
        <f t="shared" si="637"/>
        <v>82286</v>
      </c>
      <c r="D11035" t="s">
        <v>532</v>
      </c>
      <c r="E11035">
        <v>293.38</v>
      </c>
      <c r="F11035">
        <v>20140714</v>
      </c>
      <c r="G11035" t="s">
        <v>545</v>
      </c>
      <c r="H11035" t="s">
        <v>534</v>
      </c>
      <c r="I11035" t="s">
        <v>21</v>
      </c>
    </row>
    <row r="11036" spans="1:9" x14ac:dyDescent="0.25">
      <c r="A11036">
        <v>20140717</v>
      </c>
      <c r="B11036" t="str">
        <f>"116550"</f>
        <v>116550</v>
      </c>
      <c r="C11036" t="str">
        <f>"26980"</f>
        <v>26980</v>
      </c>
      <c r="D11036" t="s">
        <v>1230</v>
      </c>
      <c r="E11036">
        <v>75</v>
      </c>
      <c r="F11036">
        <v>20140716</v>
      </c>
      <c r="G11036" t="s">
        <v>1112</v>
      </c>
      <c r="H11036" t="s">
        <v>1054</v>
      </c>
      <c r="I11036" t="s">
        <v>66</v>
      </c>
    </row>
    <row r="11037" spans="1:9" x14ac:dyDescent="0.25">
      <c r="A11037">
        <v>20140717</v>
      </c>
      <c r="B11037" t="str">
        <f>"116550"</f>
        <v>116550</v>
      </c>
      <c r="C11037" t="str">
        <f>"26980"</f>
        <v>26980</v>
      </c>
      <c r="D11037" t="s">
        <v>1230</v>
      </c>
      <c r="E11037">
        <v>75</v>
      </c>
      <c r="F11037">
        <v>20140716</v>
      </c>
      <c r="G11037" t="s">
        <v>442</v>
      </c>
      <c r="H11037" t="s">
        <v>1054</v>
      </c>
      <c r="I11037" t="s">
        <v>66</v>
      </c>
    </row>
    <row r="11038" spans="1:9" x14ac:dyDescent="0.25">
      <c r="A11038">
        <v>20140717</v>
      </c>
      <c r="B11038" t="str">
        <f>"116551"</f>
        <v>116551</v>
      </c>
      <c r="C11038" t="str">
        <f>"27981"</f>
        <v>27981</v>
      </c>
      <c r="D11038" t="s">
        <v>551</v>
      </c>
      <c r="E11038">
        <v>412.5</v>
      </c>
      <c r="F11038">
        <v>20140714</v>
      </c>
      <c r="G11038" t="s">
        <v>415</v>
      </c>
      <c r="H11038" t="s">
        <v>414</v>
      </c>
      <c r="I11038" t="s">
        <v>21</v>
      </c>
    </row>
    <row r="11039" spans="1:9" x14ac:dyDescent="0.25">
      <c r="A11039">
        <v>20140717</v>
      </c>
      <c r="B11039" t="str">
        <f>"116551"</f>
        <v>116551</v>
      </c>
      <c r="C11039" t="str">
        <f>"27981"</f>
        <v>27981</v>
      </c>
      <c r="D11039" t="s">
        <v>551</v>
      </c>
      <c r="E11039">
        <v>158.4</v>
      </c>
      <c r="F11039">
        <v>20140714</v>
      </c>
      <c r="G11039" t="s">
        <v>631</v>
      </c>
      <c r="H11039" t="s">
        <v>414</v>
      </c>
      <c r="I11039" t="s">
        <v>21</v>
      </c>
    </row>
    <row r="11040" spans="1:9" x14ac:dyDescent="0.25">
      <c r="A11040">
        <v>20140717</v>
      </c>
      <c r="B11040" t="str">
        <f>"116551"</f>
        <v>116551</v>
      </c>
      <c r="C11040" t="str">
        <f>"27981"</f>
        <v>27981</v>
      </c>
      <c r="D11040" t="s">
        <v>551</v>
      </c>
      <c r="E11040">
        <v>40.18</v>
      </c>
      <c r="F11040">
        <v>20140714</v>
      </c>
      <c r="G11040" t="s">
        <v>392</v>
      </c>
      <c r="H11040" t="s">
        <v>414</v>
      </c>
      <c r="I11040" t="s">
        <v>21</v>
      </c>
    </row>
    <row r="11041" spans="1:9" x14ac:dyDescent="0.25">
      <c r="A11041">
        <v>20140717</v>
      </c>
      <c r="B11041" t="str">
        <f>"116551"</f>
        <v>116551</v>
      </c>
      <c r="C11041" t="str">
        <f>"27981"</f>
        <v>27981</v>
      </c>
      <c r="D11041" t="s">
        <v>551</v>
      </c>
      <c r="E11041">
        <v>63.92</v>
      </c>
      <c r="F11041">
        <v>20140715</v>
      </c>
      <c r="G11041" t="s">
        <v>392</v>
      </c>
      <c r="H11041" t="s">
        <v>414</v>
      </c>
      <c r="I11041" t="s">
        <v>21</v>
      </c>
    </row>
    <row r="11042" spans="1:9" x14ac:dyDescent="0.25">
      <c r="A11042">
        <v>20140717</v>
      </c>
      <c r="B11042" t="str">
        <f>"116551"</f>
        <v>116551</v>
      </c>
      <c r="C11042" t="str">
        <f>"27981"</f>
        <v>27981</v>
      </c>
      <c r="D11042" t="s">
        <v>551</v>
      </c>
      <c r="E11042">
        <v>43.16</v>
      </c>
      <c r="F11042">
        <v>20140714</v>
      </c>
      <c r="G11042" t="s">
        <v>3820</v>
      </c>
      <c r="H11042" t="s">
        <v>414</v>
      </c>
      <c r="I11042" t="s">
        <v>21</v>
      </c>
    </row>
    <row r="11043" spans="1:9" x14ac:dyDescent="0.25">
      <c r="A11043">
        <v>20140717</v>
      </c>
      <c r="B11043" t="str">
        <f>"116552"</f>
        <v>116552</v>
      </c>
      <c r="C11043" t="str">
        <f>"81292"</f>
        <v>81292</v>
      </c>
      <c r="D11043" t="s">
        <v>1417</v>
      </c>
      <c r="E11043">
        <v>27.31</v>
      </c>
      <c r="F11043">
        <v>20140714</v>
      </c>
      <c r="G11043" t="s">
        <v>498</v>
      </c>
      <c r="H11043" t="s">
        <v>499</v>
      </c>
      <c r="I11043" t="s">
        <v>21</v>
      </c>
    </row>
    <row r="11044" spans="1:9" x14ac:dyDescent="0.25">
      <c r="A11044">
        <v>20140717</v>
      </c>
      <c r="B11044" t="str">
        <f>"116552"</f>
        <v>116552</v>
      </c>
      <c r="C11044" t="str">
        <f>"81292"</f>
        <v>81292</v>
      </c>
      <c r="D11044" t="s">
        <v>1417</v>
      </c>
      <c r="E11044">
        <v>24.39</v>
      </c>
      <c r="F11044">
        <v>20140714</v>
      </c>
      <c r="G11044" t="s">
        <v>496</v>
      </c>
      <c r="H11044" t="s">
        <v>414</v>
      </c>
      <c r="I11044" t="s">
        <v>21</v>
      </c>
    </row>
    <row r="11045" spans="1:9" x14ac:dyDescent="0.25">
      <c r="A11045">
        <v>20140717</v>
      </c>
      <c r="B11045" t="str">
        <f>"116552"</f>
        <v>116552</v>
      </c>
      <c r="C11045" t="str">
        <f>"81292"</f>
        <v>81292</v>
      </c>
      <c r="D11045" t="s">
        <v>1417</v>
      </c>
      <c r="E11045">
        <v>132.9</v>
      </c>
      <c r="F11045">
        <v>20140714</v>
      </c>
      <c r="G11045" t="s">
        <v>413</v>
      </c>
      <c r="H11045" t="s">
        <v>414</v>
      </c>
      <c r="I11045" t="s">
        <v>21</v>
      </c>
    </row>
    <row r="11046" spans="1:9" x14ac:dyDescent="0.25">
      <c r="A11046">
        <v>20140717</v>
      </c>
      <c r="B11046" t="str">
        <f>"116553"</f>
        <v>116553</v>
      </c>
      <c r="C11046" t="str">
        <f>"00440"</f>
        <v>00440</v>
      </c>
      <c r="D11046" t="s">
        <v>4784</v>
      </c>
      <c r="E11046">
        <v>97.68</v>
      </c>
      <c r="F11046">
        <v>20140715</v>
      </c>
      <c r="G11046" t="s">
        <v>1120</v>
      </c>
      <c r="H11046" t="s">
        <v>365</v>
      </c>
      <c r="I11046" t="s">
        <v>66</v>
      </c>
    </row>
    <row r="11047" spans="1:9" x14ac:dyDescent="0.25">
      <c r="A11047">
        <v>20140717</v>
      </c>
      <c r="B11047" t="str">
        <f>"116554"</f>
        <v>116554</v>
      </c>
      <c r="C11047" t="str">
        <f>"86857"</f>
        <v>86857</v>
      </c>
      <c r="D11047" t="s">
        <v>4785</v>
      </c>
      <c r="E11047">
        <v>815</v>
      </c>
      <c r="F11047">
        <v>20140715</v>
      </c>
      <c r="G11047" t="s">
        <v>3820</v>
      </c>
      <c r="H11047" t="s">
        <v>4786</v>
      </c>
      <c r="I11047" t="s">
        <v>21</v>
      </c>
    </row>
    <row r="11048" spans="1:9" x14ac:dyDescent="0.25">
      <c r="A11048">
        <v>20140717</v>
      </c>
      <c r="B11048" t="str">
        <f>"116555"</f>
        <v>116555</v>
      </c>
      <c r="C11048" t="str">
        <f>"30000"</f>
        <v>30000</v>
      </c>
      <c r="D11048" t="s">
        <v>556</v>
      </c>
      <c r="E11048">
        <v>14.97</v>
      </c>
      <c r="F11048">
        <v>20140715</v>
      </c>
      <c r="G11048" t="s">
        <v>137</v>
      </c>
      <c r="H11048" t="s">
        <v>2691</v>
      </c>
      <c r="I11048" t="s">
        <v>21</v>
      </c>
    </row>
    <row r="11049" spans="1:9" x14ac:dyDescent="0.25">
      <c r="A11049">
        <v>20140717</v>
      </c>
      <c r="B11049" t="str">
        <f>"116555"</f>
        <v>116555</v>
      </c>
      <c r="C11049" t="str">
        <f>"30000"</f>
        <v>30000</v>
      </c>
      <c r="D11049" t="s">
        <v>556</v>
      </c>
      <c r="E11049">
        <v>44.06</v>
      </c>
      <c r="F11049">
        <v>20140716</v>
      </c>
      <c r="G11049" t="s">
        <v>845</v>
      </c>
      <c r="H11049" t="s">
        <v>414</v>
      </c>
      <c r="I11049" t="s">
        <v>73</v>
      </c>
    </row>
    <row r="11050" spans="1:9" x14ac:dyDescent="0.25">
      <c r="A11050">
        <v>20140717</v>
      </c>
      <c r="B11050" t="str">
        <f>"116556"</f>
        <v>116556</v>
      </c>
      <c r="C11050" t="str">
        <f>"30125"</f>
        <v>30125</v>
      </c>
      <c r="D11050" t="s">
        <v>2509</v>
      </c>
      <c r="E11050">
        <v>979.8</v>
      </c>
      <c r="F11050">
        <v>20140716</v>
      </c>
      <c r="G11050" t="s">
        <v>1774</v>
      </c>
      <c r="H11050" t="s">
        <v>607</v>
      </c>
      <c r="I11050" t="s">
        <v>21</v>
      </c>
    </row>
    <row r="11051" spans="1:9" x14ac:dyDescent="0.25">
      <c r="A11051">
        <v>20140717</v>
      </c>
      <c r="B11051" t="str">
        <f>"116557"</f>
        <v>116557</v>
      </c>
      <c r="C11051" t="str">
        <f>"87592"</f>
        <v>87592</v>
      </c>
      <c r="D11051" t="s">
        <v>1985</v>
      </c>
      <c r="E11051">
        <v>364.91</v>
      </c>
      <c r="F11051">
        <v>20140715</v>
      </c>
      <c r="G11051" t="s">
        <v>1738</v>
      </c>
      <c r="H11051" t="s">
        <v>365</v>
      </c>
      <c r="I11051" t="s">
        <v>21</v>
      </c>
    </row>
    <row r="11052" spans="1:9" x14ac:dyDescent="0.25">
      <c r="A11052">
        <v>20140717</v>
      </c>
      <c r="B11052" t="str">
        <f>"116558"</f>
        <v>116558</v>
      </c>
      <c r="C11052" t="str">
        <f>"87031"</f>
        <v>87031</v>
      </c>
      <c r="D11052" t="s">
        <v>418</v>
      </c>
      <c r="E11052">
        <v>19.350000000000001</v>
      </c>
      <c r="F11052">
        <v>20140715</v>
      </c>
      <c r="G11052" t="s">
        <v>410</v>
      </c>
      <c r="H11052" t="s">
        <v>411</v>
      </c>
      <c r="I11052" t="s">
        <v>12</v>
      </c>
    </row>
    <row r="11053" spans="1:9" x14ac:dyDescent="0.25">
      <c r="A11053">
        <v>20140717</v>
      </c>
      <c r="B11053" t="str">
        <f>"116558"</f>
        <v>116558</v>
      </c>
      <c r="C11053" t="str">
        <f>"87031"</f>
        <v>87031</v>
      </c>
      <c r="D11053" t="s">
        <v>418</v>
      </c>
      <c r="E11053">
        <v>16.2</v>
      </c>
      <c r="F11053">
        <v>20140715</v>
      </c>
      <c r="G11053" t="s">
        <v>4776</v>
      </c>
      <c r="H11053" t="s">
        <v>411</v>
      </c>
      <c r="I11053" t="s">
        <v>218</v>
      </c>
    </row>
    <row r="11054" spans="1:9" x14ac:dyDescent="0.25">
      <c r="A11054">
        <v>20140717</v>
      </c>
      <c r="B11054" t="str">
        <f>"116559"</f>
        <v>116559</v>
      </c>
      <c r="C11054" t="str">
        <f>"86971"</f>
        <v>86971</v>
      </c>
      <c r="D11054" t="s">
        <v>586</v>
      </c>
      <c r="E11054">
        <v>106.09</v>
      </c>
      <c r="F11054">
        <v>20140715</v>
      </c>
      <c r="G11054" t="s">
        <v>214</v>
      </c>
      <c r="H11054" t="s">
        <v>354</v>
      </c>
      <c r="I11054" t="s">
        <v>38</v>
      </c>
    </row>
    <row r="11055" spans="1:9" x14ac:dyDescent="0.25">
      <c r="A11055">
        <v>20140717</v>
      </c>
      <c r="B11055" t="str">
        <f t="shared" ref="B11055:B11070" si="638">"116560"</f>
        <v>116560</v>
      </c>
      <c r="C11055" t="str">
        <f t="shared" ref="C11055:C11070" si="639">"31570"</f>
        <v>31570</v>
      </c>
      <c r="D11055" t="s">
        <v>1244</v>
      </c>
      <c r="E11055">
        <v>1.43</v>
      </c>
      <c r="F11055">
        <v>20140715</v>
      </c>
      <c r="G11055" t="s">
        <v>496</v>
      </c>
      <c r="H11055" t="s">
        <v>414</v>
      </c>
      <c r="I11055" t="s">
        <v>21</v>
      </c>
    </row>
    <row r="11056" spans="1:9" x14ac:dyDescent="0.25">
      <c r="A11056">
        <v>20140717</v>
      </c>
      <c r="B11056" t="str">
        <f t="shared" si="638"/>
        <v>116560</v>
      </c>
      <c r="C11056" t="str">
        <f t="shared" si="639"/>
        <v>31570</v>
      </c>
      <c r="D11056" t="s">
        <v>1244</v>
      </c>
      <c r="E11056">
        <v>751.75</v>
      </c>
      <c r="F11056">
        <v>20140715</v>
      </c>
      <c r="G11056" t="s">
        <v>413</v>
      </c>
      <c r="H11056" t="s">
        <v>414</v>
      </c>
      <c r="I11056" t="s">
        <v>21</v>
      </c>
    </row>
    <row r="11057" spans="1:9" x14ac:dyDescent="0.25">
      <c r="A11057">
        <v>20140717</v>
      </c>
      <c r="B11057" t="str">
        <f t="shared" si="638"/>
        <v>116560</v>
      </c>
      <c r="C11057" t="str">
        <f t="shared" si="639"/>
        <v>31570</v>
      </c>
      <c r="D11057" t="s">
        <v>1244</v>
      </c>
      <c r="E11057">
        <v>146.88999999999999</v>
      </c>
      <c r="F11057">
        <v>20140715</v>
      </c>
      <c r="G11057" t="s">
        <v>477</v>
      </c>
      <c r="H11057" t="s">
        <v>414</v>
      </c>
      <c r="I11057" t="s">
        <v>21</v>
      </c>
    </row>
    <row r="11058" spans="1:9" x14ac:dyDescent="0.25">
      <c r="A11058">
        <v>20140717</v>
      </c>
      <c r="B11058" t="str">
        <f t="shared" si="638"/>
        <v>116560</v>
      </c>
      <c r="C11058" t="str">
        <f t="shared" si="639"/>
        <v>31570</v>
      </c>
      <c r="D11058" t="s">
        <v>1244</v>
      </c>
      <c r="E11058">
        <v>4.0199999999999996</v>
      </c>
      <c r="F11058">
        <v>20140715</v>
      </c>
      <c r="G11058" t="s">
        <v>481</v>
      </c>
      <c r="H11058" t="s">
        <v>414</v>
      </c>
      <c r="I11058" t="s">
        <v>21</v>
      </c>
    </row>
    <row r="11059" spans="1:9" x14ac:dyDescent="0.25">
      <c r="A11059">
        <v>20140717</v>
      </c>
      <c r="B11059" t="str">
        <f t="shared" si="638"/>
        <v>116560</v>
      </c>
      <c r="C11059" t="str">
        <f t="shared" si="639"/>
        <v>31570</v>
      </c>
      <c r="D11059" t="s">
        <v>1244</v>
      </c>
      <c r="E11059">
        <v>82.56</v>
      </c>
      <c r="F11059">
        <v>20140715</v>
      </c>
      <c r="G11059" t="s">
        <v>482</v>
      </c>
      <c r="H11059" t="s">
        <v>414</v>
      </c>
      <c r="I11059" t="s">
        <v>21</v>
      </c>
    </row>
    <row r="11060" spans="1:9" x14ac:dyDescent="0.25">
      <c r="A11060">
        <v>20140717</v>
      </c>
      <c r="B11060" t="str">
        <f t="shared" si="638"/>
        <v>116560</v>
      </c>
      <c r="C11060" t="str">
        <f t="shared" si="639"/>
        <v>31570</v>
      </c>
      <c r="D11060" t="s">
        <v>1244</v>
      </c>
      <c r="E11060">
        <v>8.8000000000000007</v>
      </c>
      <c r="F11060">
        <v>20140715</v>
      </c>
      <c r="G11060" t="s">
        <v>483</v>
      </c>
      <c r="H11060" t="s">
        <v>414</v>
      </c>
      <c r="I11060" t="s">
        <v>21</v>
      </c>
    </row>
    <row r="11061" spans="1:9" x14ac:dyDescent="0.25">
      <c r="A11061">
        <v>20140717</v>
      </c>
      <c r="B11061" t="str">
        <f t="shared" si="638"/>
        <v>116560</v>
      </c>
      <c r="C11061" t="str">
        <f t="shared" si="639"/>
        <v>31570</v>
      </c>
      <c r="D11061" t="s">
        <v>1244</v>
      </c>
      <c r="E11061">
        <v>192.51</v>
      </c>
      <c r="F11061">
        <v>20140715</v>
      </c>
      <c r="G11061" t="s">
        <v>415</v>
      </c>
      <c r="H11061" t="s">
        <v>414</v>
      </c>
      <c r="I11061" t="s">
        <v>21</v>
      </c>
    </row>
    <row r="11062" spans="1:9" x14ac:dyDescent="0.25">
      <c r="A11062">
        <v>20140717</v>
      </c>
      <c r="B11062" t="str">
        <f t="shared" si="638"/>
        <v>116560</v>
      </c>
      <c r="C11062" t="str">
        <f t="shared" si="639"/>
        <v>31570</v>
      </c>
      <c r="D11062" t="s">
        <v>1244</v>
      </c>
      <c r="E11062">
        <v>2.16</v>
      </c>
      <c r="F11062">
        <v>20140715</v>
      </c>
      <c r="G11062" t="s">
        <v>627</v>
      </c>
      <c r="H11062" t="s">
        <v>414</v>
      </c>
      <c r="I11062" t="s">
        <v>21</v>
      </c>
    </row>
    <row r="11063" spans="1:9" x14ac:dyDescent="0.25">
      <c r="A11063">
        <v>20140717</v>
      </c>
      <c r="B11063" t="str">
        <f t="shared" si="638"/>
        <v>116560</v>
      </c>
      <c r="C11063" t="str">
        <f t="shared" si="639"/>
        <v>31570</v>
      </c>
      <c r="D11063" t="s">
        <v>1244</v>
      </c>
      <c r="E11063">
        <v>53.35</v>
      </c>
      <c r="F11063">
        <v>20140715</v>
      </c>
      <c r="G11063" t="s">
        <v>1222</v>
      </c>
      <c r="H11063" t="s">
        <v>414</v>
      </c>
      <c r="I11063" t="s">
        <v>21</v>
      </c>
    </row>
    <row r="11064" spans="1:9" x14ac:dyDescent="0.25">
      <c r="A11064">
        <v>20140717</v>
      </c>
      <c r="B11064" t="str">
        <f t="shared" si="638"/>
        <v>116560</v>
      </c>
      <c r="C11064" t="str">
        <f t="shared" si="639"/>
        <v>31570</v>
      </c>
      <c r="D11064" t="s">
        <v>1244</v>
      </c>
      <c r="E11064">
        <v>110.69</v>
      </c>
      <c r="F11064">
        <v>20140715</v>
      </c>
      <c r="G11064" t="s">
        <v>628</v>
      </c>
      <c r="H11064" t="s">
        <v>414</v>
      </c>
      <c r="I11064" t="s">
        <v>21</v>
      </c>
    </row>
    <row r="11065" spans="1:9" x14ac:dyDescent="0.25">
      <c r="A11065">
        <v>20140717</v>
      </c>
      <c r="B11065" t="str">
        <f t="shared" si="638"/>
        <v>116560</v>
      </c>
      <c r="C11065" t="str">
        <f t="shared" si="639"/>
        <v>31570</v>
      </c>
      <c r="D11065" t="s">
        <v>1244</v>
      </c>
      <c r="E11065">
        <v>19.760000000000002</v>
      </c>
      <c r="F11065">
        <v>20140715</v>
      </c>
      <c r="G11065" t="s">
        <v>630</v>
      </c>
      <c r="H11065" t="s">
        <v>414</v>
      </c>
      <c r="I11065" t="s">
        <v>21</v>
      </c>
    </row>
    <row r="11066" spans="1:9" x14ac:dyDescent="0.25">
      <c r="A11066">
        <v>20140717</v>
      </c>
      <c r="B11066" t="str">
        <f t="shared" si="638"/>
        <v>116560</v>
      </c>
      <c r="C11066" t="str">
        <f t="shared" si="639"/>
        <v>31570</v>
      </c>
      <c r="D11066" t="s">
        <v>1244</v>
      </c>
      <c r="E11066">
        <v>7.69</v>
      </c>
      <c r="F11066">
        <v>20140715</v>
      </c>
      <c r="G11066" t="s">
        <v>530</v>
      </c>
      <c r="H11066" t="s">
        <v>414</v>
      </c>
      <c r="I11066" t="s">
        <v>21</v>
      </c>
    </row>
    <row r="11067" spans="1:9" x14ac:dyDescent="0.25">
      <c r="A11067">
        <v>20140717</v>
      </c>
      <c r="B11067" t="str">
        <f t="shared" si="638"/>
        <v>116560</v>
      </c>
      <c r="C11067" t="str">
        <f t="shared" si="639"/>
        <v>31570</v>
      </c>
      <c r="D11067" t="s">
        <v>1244</v>
      </c>
      <c r="E11067">
        <v>55.23</v>
      </c>
      <c r="F11067">
        <v>20140715</v>
      </c>
      <c r="G11067" t="s">
        <v>631</v>
      </c>
      <c r="H11067" t="s">
        <v>414</v>
      </c>
      <c r="I11067" t="s">
        <v>21</v>
      </c>
    </row>
    <row r="11068" spans="1:9" x14ac:dyDescent="0.25">
      <c r="A11068">
        <v>20140717</v>
      </c>
      <c r="B11068" t="str">
        <f t="shared" si="638"/>
        <v>116560</v>
      </c>
      <c r="C11068" t="str">
        <f t="shared" si="639"/>
        <v>31570</v>
      </c>
      <c r="D11068" t="s">
        <v>1244</v>
      </c>
      <c r="E11068">
        <v>285.99</v>
      </c>
      <c r="F11068">
        <v>20140715</v>
      </c>
      <c r="G11068" t="s">
        <v>392</v>
      </c>
      <c r="H11068" t="s">
        <v>414</v>
      </c>
      <c r="I11068" t="s">
        <v>21</v>
      </c>
    </row>
    <row r="11069" spans="1:9" x14ac:dyDescent="0.25">
      <c r="A11069">
        <v>20140717</v>
      </c>
      <c r="B11069" t="str">
        <f t="shared" si="638"/>
        <v>116560</v>
      </c>
      <c r="C11069" t="str">
        <f t="shared" si="639"/>
        <v>31570</v>
      </c>
      <c r="D11069" t="s">
        <v>1244</v>
      </c>
      <c r="E11069">
        <v>15.29</v>
      </c>
      <c r="F11069">
        <v>20140715</v>
      </c>
      <c r="G11069" t="s">
        <v>417</v>
      </c>
      <c r="H11069" t="s">
        <v>414</v>
      </c>
      <c r="I11069" t="s">
        <v>21</v>
      </c>
    </row>
    <row r="11070" spans="1:9" x14ac:dyDescent="0.25">
      <c r="A11070">
        <v>20140717</v>
      </c>
      <c r="B11070" t="str">
        <f t="shared" si="638"/>
        <v>116560</v>
      </c>
      <c r="C11070" t="str">
        <f t="shared" si="639"/>
        <v>31570</v>
      </c>
      <c r="D11070" t="s">
        <v>1244</v>
      </c>
      <c r="E11070" s="1">
        <v>1862.79</v>
      </c>
      <c r="F11070">
        <v>20140715</v>
      </c>
      <c r="G11070" t="s">
        <v>3820</v>
      </c>
      <c r="H11070" t="s">
        <v>414</v>
      </c>
      <c r="I11070" t="s">
        <v>21</v>
      </c>
    </row>
    <row r="11071" spans="1:9" x14ac:dyDescent="0.25">
      <c r="A11071">
        <v>20140717</v>
      </c>
      <c r="B11071" t="str">
        <f>"116561"</f>
        <v>116561</v>
      </c>
      <c r="C11071" t="str">
        <f>"85776"</f>
        <v>85776</v>
      </c>
      <c r="D11071" t="s">
        <v>4708</v>
      </c>
      <c r="E11071" s="1">
        <v>2000</v>
      </c>
      <c r="F11071">
        <v>20140714</v>
      </c>
      <c r="G11071" t="s">
        <v>48</v>
      </c>
      <c r="H11071" t="s">
        <v>4787</v>
      </c>
      <c r="I11071" t="s">
        <v>25</v>
      </c>
    </row>
    <row r="11072" spans="1:9" x14ac:dyDescent="0.25">
      <c r="A11072">
        <v>20140717</v>
      </c>
      <c r="B11072" t="str">
        <f>"116562"</f>
        <v>116562</v>
      </c>
      <c r="C11072" t="str">
        <f>"87385"</f>
        <v>87385</v>
      </c>
      <c r="D11072" t="s">
        <v>1089</v>
      </c>
      <c r="E11072">
        <v>24.21</v>
      </c>
      <c r="F11072">
        <v>20140714</v>
      </c>
      <c r="G11072" t="s">
        <v>392</v>
      </c>
      <c r="H11072" t="s">
        <v>414</v>
      </c>
      <c r="I11072" t="s">
        <v>21</v>
      </c>
    </row>
    <row r="11073" spans="1:9" x14ac:dyDescent="0.25">
      <c r="A11073">
        <v>20140717</v>
      </c>
      <c r="B11073" t="str">
        <f>"116562"</f>
        <v>116562</v>
      </c>
      <c r="C11073" t="str">
        <f>"87385"</f>
        <v>87385</v>
      </c>
      <c r="D11073" t="s">
        <v>1089</v>
      </c>
      <c r="E11073">
        <v>253.74</v>
      </c>
      <c r="F11073">
        <v>20140714</v>
      </c>
      <c r="G11073" t="s">
        <v>3820</v>
      </c>
      <c r="H11073" t="s">
        <v>414</v>
      </c>
      <c r="I11073" t="s">
        <v>21</v>
      </c>
    </row>
    <row r="11074" spans="1:9" x14ac:dyDescent="0.25">
      <c r="A11074">
        <v>20140717</v>
      </c>
      <c r="B11074" t="str">
        <f>"116562"</f>
        <v>116562</v>
      </c>
      <c r="C11074" t="str">
        <f>"87385"</f>
        <v>87385</v>
      </c>
      <c r="D11074" t="s">
        <v>1089</v>
      </c>
      <c r="E11074">
        <v>89.73</v>
      </c>
      <c r="F11074">
        <v>20140714</v>
      </c>
      <c r="G11074" t="s">
        <v>3820</v>
      </c>
      <c r="H11074" t="s">
        <v>414</v>
      </c>
      <c r="I11074" t="s">
        <v>21</v>
      </c>
    </row>
    <row r="11075" spans="1:9" x14ac:dyDescent="0.25">
      <c r="A11075">
        <v>20140717</v>
      </c>
      <c r="B11075" t="str">
        <f>"116563"</f>
        <v>116563</v>
      </c>
      <c r="C11075" t="str">
        <f>"84038"</f>
        <v>84038</v>
      </c>
      <c r="D11075" t="s">
        <v>419</v>
      </c>
      <c r="E11075">
        <v>10.8</v>
      </c>
      <c r="F11075">
        <v>20140715</v>
      </c>
      <c r="G11075" t="s">
        <v>410</v>
      </c>
      <c r="H11075" t="s">
        <v>411</v>
      </c>
      <c r="I11075" t="s">
        <v>12</v>
      </c>
    </row>
    <row r="11076" spans="1:9" x14ac:dyDescent="0.25">
      <c r="A11076">
        <v>20140717</v>
      </c>
      <c r="B11076" t="str">
        <f>"116563"</f>
        <v>116563</v>
      </c>
      <c r="C11076" t="str">
        <f>"84038"</f>
        <v>84038</v>
      </c>
      <c r="D11076" t="s">
        <v>419</v>
      </c>
      <c r="E11076">
        <v>3.6</v>
      </c>
      <c r="F11076">
        <v>20140715</v>
      </c>
      <c r="G11076" t="s">
        <v>4776</v>
      </c>
      <c r="H11076" t="s">
        <v>411</v>
      </c>
      <c r="I11076" t="s">
        <v>218</v>
      </c>
    </row>
    <row r="11077" spans="1:9" x14ac:dyDescent="0.25">
      <c r="A11077">
        <v>20140717</v>
      </c>
      <c r="B11077" t="str">
        <f>"116564"</f>
        <v>116564</v>
      </c>
      <c r="C11077" t="str">
        <f>"87890"</f>
        <v>87890</v>
      </c>
      <c r="D11077" t="s">
        <v>4611</v>
      </c>
      <c r="E11077">
        <v>680.52</v>
      </c>
      <c r="F11077">
        <v>20140715</v>
      </c>
      <c r="G11077" t="s">
        <v>601</v>
      </c>
      <c r="H11077" t="s">
        <v>921</v>
      </c>
      <c r="I11077" t="s">
        <v>21</v>
      </c>
    </row>
    <row r="11078" spans="1:9" x14ac:dyDescent="0.25">
      <c r="A11078">
        <v>20140717</v>
      </c>
      <c r="B11078" t="str">
        <f>"116565"</f>
        <v>116565</v>
      </c>
      <c r="C11078" t="str">
        <f>"87910"</f>
        <v>87910</v>
      </c>
      <c r="D11078" t="s">
        <v>4788</v>
      </c>
      <c r="E11078" s="1">
        <v>5428.1</v>
      </c>
      <c r="F11078">
        <v>20140715</v>
      </c>
      <c r="G11078" t="s">
        <v>627</v>
      </c>
      <c r="H11078" t="s">
        <v>4789</v>
      </c>
      <c r="I11078" t="s">
        <v>21</v>
      </c>
    </row>
    <row r="11079" spans="1:9" x14ac:dyDescent="0.25">
      <c r="A11079">
        <v>20140717</v>
      </c>
      <c r="B11079" t="str">
        <f>"116566"</f>
        <v>116566</v>
      </c>
      <c r="C11079" t="str">
        <f>"36960"</f>
        <v>36960</v>
      </c>
      <c r="D11079" t="s">
        <v>871</v>
      </c>
      <c r="E11079" s="1">
        <v>1005</v>
      </c>
      <c r="F11079">
        <v>20140715</v>
      </c>
      <c r="G11079" t="s">
        <v>1408</v>
      </c>
      <c r="H11079" t="s">
        <v>525</v>
      </c>
      <c r="I11079" t="s">
        <v>12</v>
      </c>
    </row>
    <row r="11080" spans="1:9" x14ac:dyDescent="0.25">
      <c r="A11080">
        <v>20140717</v>
      </c>
      <c r="B11080" t="str">
        <f>"116567"</f>
        <v>116567</v>
      </c>
      <c r="C11080" t="str">
        <f>"37565"</f>
        <v>37565</v>
      </c>
      <c r="D11080" t="s">
        <v>609</v>
      </c>
      <c r="E11080">
        <v>9.66</v>
      </c>
      <c r="F11080">
        <v>20140714</v>
      </c>
      <c r="G11080" t="s">
        <v>496</v>
      </c>
      <c r="H11080" t="s">
        <v>4790</v>
      </c>
      <c r="I11080" t="s">
        <v>21</v>
      </c>
    </row>
    <row r="11081" spans="1:9" x14ac:dyDescent="0.25">
      <c r="A11081">
        <v>20140717</v>
      </c>
      <c r="B11081" t="str">
        <f>"116567"</f>
        <v>116567</v>
      </c>
      <c r="C11081" t="str">
        <f>"37565"</f>
        <v>37565</v>
      </c>
      <c r="D11081" t="s">
        <v>609</v>
      </c>
      <c r="E11081">
        <v>59.46</v>
      </c>
      <c r="F11081">
        <v>20140714</v>
      </c>
      <c r="G11081" t="s">
        <v>475</v>
      </c>
      <c r="H11081" t="s">
        <v>610</v>
      </c>
      <c r="I11081" t="s">
        <v>21</v>
      </c>
    </row>
    <row r="11082" spans="1:9" x14ac:dyDescent="0.25">
      <c r="A11082">
        <v>20140717</v>
      </c>
      <c r="B11082" t="str">
        <f>"116568"</f>
        <v>116568</v>
      </c>
      <c r="C11082" t="str">
        <f>"82562"</f>
        <v>82562</v>
      </c>
      <c r="D11082" t="s">
        <v>4427</v>
      </c>
      <c r="E11082">
        <v>56.04</v>
      </c>
      <c r="F11082">
        <v>20140714</v>
      </c>
      <c r="G11082" t="s">
        <v>442</v>
      </c>
      <c r="H11082" t="s">
        <v>365</v>
      </c>
      <c r="I11082" t="s">
        <v>66</v>
      </c>
    </row>
    <row r="11083" spans="1:9" x14ac:dyDescent="0.25">
      <c r="A11083">
        <v>20140717</v>
      </c>
      <c r="B11083" t="str">
        <f>"116569"</f>
        <v>116569</v>
      </c>
      <c r="C11083" t="str">
        <f>"39315"</f>
        <v>39315</v>
      </c>
      <c r="D11083" t="s">
        <v>420</v>
      </c>
      <c r="E11083">
        <v>51.3</v>
      </c>
      <c r="F11083">
        <v>20140715</v>
      </c>
      <c r="G11083" t="s">
        <v>410</v>
      </c>
      <c r="H11083" t="s">
        <v>411</v>
      </c>
      <c r="I11083" t="s">
        <v>12</v>
      </c>
    </row>
    <row r="11084" spans="1:9" x14ac:dyDescent="0.25">
      <c r="A11084">
        <v>20140717</v>
      </c>
      <c r="B11084" t="str">
        <f>"116569"</f>
        <v>116569</v>
      </c>
      <c r="C11084" t="str">
        <f>"39315"</f>
        <v>39315</v>
      </c>
      <c r="D11084" t="s">
        <v>420</v>
      </c>
      <c r="E11084">
        <v>71.55</v>
      </c>
      <c r="F11084">
        <v>20140715</v>
      </c>
      <c r="G11084" t="s">
        <v>4776</v>
      </c>
      <c r="H11084" t="s">
        <v>411</v>
      </c>
      <c r="I11084" t="s">
        <v>218</v>
      </c>
    </row>
    <row r="11085" spans="1:9" x14ac:dyDescent="0.25">
      <c r="A11085">
        <v>20140717</v>
      </c>
      <c r="B11085" t="str">
        <f>"116570"</f>
        <v>116570</v>
      </c>
      <c r="C11085" t="str">
        <f>"86711"</f>
        <v>86711</v>
      </c>
      <c r="D11085" t="s">
        <v>3860</v>
      </c>
      <c r="E11085">
        <v>336</v>
      </c>
      <c r="F11085">
        <v>20140716</v>
      </c>
      <c r="G11085" t="s">
        <v>837</v>
      </c>
      <c r="H11085" t="s">
        <v>4791</v>
      </c>
      <c r="I11085" t="s">
        <v>21</v>
      </c>
    </row>
    <row r="11086" spans="1:9" x14ac:dyDescent="0.25">
      <c r="A11086">
        <v>20140717</v>
      </c>
      <c r="B11086" t="str">
        <f>"116571"</f>
        <v>116571</v>
      </c>
      <c r="C11086" t="str">
        <f>"40448"</f>
        <v>40448</v>
      </c>
      <c r="D11086" t="s">
        <v>613</v>
      </c>
      <c r="E11086">
        <v>440</v>
      </c>
      <c r="F11086">
        <v>20140715</v>
      </c>
      <c r="G11086" t="s">
        <v>340</v>
      </c>
      <c r="H11086" t="s">
        <v>1452</v>
      </c>
      <c r="I11086" t="s">
        <v>21</v>
      </c>
    </row>
    <row r="11087" spans="1:9" x14ac:dyDescent="0.25">
      <c r="A11087">
        <v>20140717</v>
      </c>
      <c r="B11087" t="str">
        <f>"116572"</f>
        <v>116572</v>
      </c>
      <c r="C11087" t="str">
        <f>"40469"</f>
        <v>40469</v>
      </c>
      <c r="D11087" t="s">
        <v>4792</v>
      </c>
      <c r="E11087">
        <v>257.04000000000002</v>
      </c>
      <c r="F11087">
        <v>20140716</v>
      </c>
      <c r="G11087" t="s">
        <v>3250</v>
      </c>
      <c r="H11087" t="s">
        <v>365</v>
      </c>
      <c r="I11087" t="s">
        <v>21</v>
      </c>
    </row>
    <row r="11088" spans="1:9" x14ac:dyDescent="0.25">
      <c r="A11088">
        <v>20140717</v>
      </c>
      <c r="B11088" t="str">
        <f>"116573"</f>
        <v>116573</v>
      </c>
      <c r="C11088" t="str">
        <f>"87036"</f>
        <v>87036</v>
      </c>
      <c r="D11088" t="s">
        <v>4153</v>
      </c>
      <c r="E11088" s="1">
        <v>2000</v>
      </c>
      <c r="F11088">
        <v>20140714</v>
      </c>
      <c r="G11088" t="s">
        <v>1504</v>
      </c>
      <c r="H11088" t="s">
        <v>4793</v>
      </c>
      <c r="I11088" t="s">
        <v>21</v>
      </c>
    </row>
    <row r="11089" spans="1:9" x14ac:dyDescent="0.25">
      <c r="A11089">
        <v>20140717</v>
      </c>
      <c r="B11089" t="str">
        <f>"116574"</f>
        <v>116574</v>
      </c>
      <c r="C11089" t="str">
        <f>"40910"</f>
        <v>40910</v>
      </c>
      <c r="D11089" t="s">
        <v>1886</v>
      </c>
      <c r="E11089" s="1">
        <v>1516.97</v>
      </c>
      <c r="F11089">
        <v>20140715</v>
      </c>
      <c r="G11089" t="s">
        <v>331</v>
      </c>
      <c r="H11089" t="s">
        <v>4794</v>
      </c>
      <c r="I11089" t="s">
        <v>12</v>
      </c>
    </row>
    <row r="11090" spans="1:9" x14ac:dyDescent="0.25">
      <c r="A11090">
        <v>20140717</v>
      </c>
      <c r="B11090" t="str">
        <f>"116575"</f>
        <v>116575</v>
      </c>
      <c r="C11090" t="str">
        <f>"41253"</f>
        <v>41253</v>
      </c>
      <c r="D11090" t="s">
        <v>421</v>
      </c>
      <c r="E11090" s="1">
        <v>1363.34</v>
      </c>
      <c r="F11090">
        <v>20140715</v>
      </c>
      <c r="G11090" t="s">
        <v>404</v>
      </c>
      <c r="H11090" t="s">
        <v>913</v>
      </c>
      <c r="I11090" t="s">
        <v>12</v>
      </c>
    </row>
    <row r="11091" spans="1:9" x14ac:dyDescent="0.25">
      <c r="A11091">
        <v>20140717</v>
      </c>
      <c r="B11091" t="str">
        <f>"116575"</f>
        <v>116575</v>
      </c>
      <c r="C11091" t="str">
        <f>"41253"</f>
        <v>41253</v>
      </c>
      <c r="D11091" t="s">
        <v>421</v>
      </c>
      <c r="E11091">
        <v>277.24</v>
      </c>
      <c r="F11091">
        <v>20140715</v>
      </c>
      <c r="G11091" t="s">
        <v>1404</v>
      </c>
      <c r="H11091" t="s">
        <v>1456</v>
      </c>
      <c r="I11091" t="s">
        <v>12</v>
      </c>
    </row>
    <row r="11092" spans="1:9" x14ac:dyDescent="0.25">
      <c r="A11092">
        <v>20140717</v>
      </c>
      <c r="B11092" t="str">
        <f>"116575"</f>
        <v>116575</v>
      </c>
      <c r="C11092" t="str">
        <f>"41253"</f>
        <v>41253</v>
      </c>
      <c r="D11092" t="s">
        <v>421</v>
      </c>
      <c r="E11092" s="1">
        <v>12137.16</v>
      </c>
      <c r="F11092">
        <v>20140715</v>
      </c>
      <c r="G11092" t="s">
        <v>4772</v>
      </c>
      <c r="H11092" t="s">
        <v>913</v>
      </c>
      <c r="I11092" t="s">
        <v>218</v>
      </c>
    </row>
    <row r="11093" spans="1:9" x14ac:dyDescent="0.25">
      <c r="A11093">
        <v>20140717</v>
      </c>
      <c r="B11093" t="str">
        <f>"116575"</f>
        <v>116575</v>
      </c>
      <c r="C11093" t="str">
        <f>"41253"</f>
        <v>41253</v>
      </c>
      <c r="D11093" t="s">
        <v>421</v>
      </c>
      <c r="E11093" s="1">
        <v>1247.74</v>
      </c>
      <c r="F11093">
        <v>20140715</v>
      </c>
      <c r="G11093" t="s">
        <v>4795</v>
      </c>
      <c r="H11093" t="s">
        <v>1456</v>
      </c>
      <c r="I11093" t="s">
        <v>218</v>
      </c>
    </row>
    <row r="11094" spans="1:9" x14ac:dyDescent="0.25">
      <c r="A11094">
        <v>20140717</v>
      </c>
      <c r="B11094" t="str">
        <f>"116576"</f>
        <v>116576</v>
      </c>
      <c r="C11094" t="str">
        <f>"83430"</f>
        <v>83430</v>
      </c>
      <c r="D11094" t="s">
        <v>423</v>
      </c>
      <c r="E11094">
        <v>34.200000000000003</v>
      </c>
      <c r="F11094">
        <v>20140715</v>
      </c>
      <c r="G11094" t="s">
        <v>410</v>
      </c>
      <c r="H11094" t="s">
        <v>411</v>
      </c>
      <c r="I11094" t="s">
        <v>12</v>
      </c>
    </row>
    <row r="11095" spans="1:9" x14ac:dyDescent="0.25">
      <c r="A11095">
        <v>20140717</v>
      </c>
      <c r="B11095" t="str">
        <f>"116577"</f>
        <v>116577</v>
      </c>
      <c r="C11095" t="str">
        <f>"87567"</f>
        <v>87567</v>
      </c>
      <c r="D11095" t="s">
        <v>1768</v>
      </c>
      <c r="E11095">
        <v>92.1</v>
      </c>
      <c r="F11095">
        <v>20140716</v>
      </c>
      <c r="G11095" t="s">
        <v>498</v>
      </c>
      <c r="H11095" t="s">
        <v>499</v>
      </c>
      <c r="I11095" t="s">
        <v>21</v>
      </c>
    </row>
    <row r="11096" spans="1:9" x14ac:dyDescent="0.25">
      <c r="A11096">
        <v>20140717</v>
      </c>
      <c r="B11096" t="str">
        <f>"116578"</f>
        <v>116578</v>
      </c>
      <c r="C11096" t="str">
        <f>"44875"</f>
        <v>44875</v>
      </c>
      <c r="D11096" t="s">
        <v>424</v>
      </c>
      <c r="E11096">
        <v>48.15</v>
      </c>
      <c r="F11096">
        <v>20140715</v>
      </c>
      <c r="G11096" t="s">
        <v>410</v>
      </c>
      <c r="H11096" t="s">
        <v>411</v>
      </c>
      <c r="I11096" t="s">
        <v>12</v>
      </c>
    </row>
    <row r="11097" spans="1:9" x14ac:dyDescent="0.25">
      <c r="A11097">
        <v>20140717</v>
      </c>
      <c r="B11097" t="str">
        <f>"116578"</f>
        <v>116578</v>
      </c>
      <c r="C11097" t="str">
        <f>"44875"</f>
        <v>44875</v>
      </c>
      <c r="D11097" t="s">
        <v>424</v>
      </c>
      <c r="E11097">
        <v>32.85</v>
      </c>
      <c r="F11097">
        <v>20140715</v>
      </c>
      <c r="G11097" t="s">
        <v>4776</v>
      </c>
      <c r="H11097" t="s">
        <v>411</v>
      </c>
      <c r="I11097" t="s">
        <v>218</v>
      </c>
    </row>
    <row r="11098" spans="1:9" x14ac:dyDescent="0.25">
      <c r="A11098">
        <v>20140717</v>
      </c>
      <c r="B11098" t="str">
        <f>"116579"</f>
        <v>116579</v>
      </c>
      <c r="C11098" t="str">
        <f>"45605"</f>
        <v>45605</v>
      </c>
      <c r="D11098" t="s">
        <v>1474</v>
      </c>
      <c r="E11098">
        <v>68.489999999999995</v>
      </c>
      <c r="F11098">
        <v>20140715</v>
      </c>
      <c r="G11098" t="s">
        <v>413</v>
      </c>
      <c r="H11098" t="s">
        <v>414</v>
      </c>
      <c r="I11098" t="s">
        <v>21</v>
      </c>
    </row>
    <row r="11099" spans="1:9" x14ac:dyDescent="0.25">
      <c r="A11099">
        <v>20140717</v>
      </c>
      <c r="B11099" t="str">
        <f>"116579"</f>
        <v>116579</v>
      </c>
      <c r="C11099" t="str">
        <f>"45605"</f>
        <v>45605</v>
      </c>
      <c r="D11099" t="s">
        <v>1474</v>
      </c>
      <c r="E11099">
        <v>34.24</v>
      </c>
      <c r="F11099">
        <v>20140715</v>
      </c>
      <c r="G11099" t="s">
        <v>413</v>
      </c>
      <c r="H11099" t="s">
        <v>414</v>
      </c>
      <c r="I11099" t="s">
        <v>21</v>
      </c>
    </row>
    <row r="11100" spans="1:9" x14ac:dyDescent="0.25">
      <c r="A11100">
        <v>20140717</v>
      </c>
      <c r="B11100" t="str">
        <f>"116579"</f>
        <v>116579</v>
      </c>
      <c r="C11100" t="str">
        <f>"45605"</f>
        <v>45605</v>
      </c>
      <c r="D11100" t="s">
        <v>1474</v>
      </c>
      <c r="E11100">
        <v>43.93</v>
      </c>
      <c r="F11100">
        <v>20140714</v>
      </c>
      <c r="G11100" t="s">
        <v>392</v>
      </c>
      <c r="H11100" t="s">
        <v>414</v>
      </c>
      <c r="I11100" t="s">
        <v>21</v>
      </c>
    </row>
    <row r="11101" spans="1:9" x14ac:dyDescent="0.25">
      <c r="A11101">
        <v>20140717</v>
      </c>
      <c r="B11101" t="str">
        <f>"116579"</f>
        <v>116579</v>
      </c>
      <c r="C11101" t="str">
        <f>"45605"</f>
        <v>45605</v>
      </c>
      <c r="D11101" t="s">
        <v>1474</v>
      </c>
      <c r="E11101">
        <v>68.64</v>
      </c>
      <c r="F11101">
        <v>20140714</v>
      </c>
      <c r="G11101" t="s">
        <v>3820</v>
      </c>
      <c r="H11101" t="s">
        <v>414</v>
      </c>
      <c r="I11101" t="s">
        <v>21</v>
      </c>
    </row>
    <row r="11102" spans="1:9" x14ac:dyDescent="0.25">
      <c r="A11102">
        <v>20140717</v>
      </c>
      <c r="B11102" t="str">
        <f>"116580"</f>
        <v>116580</v>
      </c>
      <c r="C11102" t="str">
        <f>"84516"</f>
        <v>84516</v>
      </c>
      <c r="D11102" t="s">
        <v>4796</v>
      </c>
      <c r="E11102">
        <v>272.13</v>
      </c>
      <c r="F11102">
        <v>20140714</v>
      </c>
      <c r="G11102" t="s">
        <v>442</v>
      </c>
      <c r="H11102" t="s">
        <v>365</v>
      </c>
      <c r="I11102" t="s">
        <v>66</v>
      </c>
    </row>
    <row r="11103" spans="1:9" x14ac:dyDescent="0.25">
      <c r="A11103">
        <v>20140717</v>
      </c>
      <c r="B11103" t="str">
        <f>"116581"</f>
        <v>116581</v>
      </c>
      <c r="C11103" t="str">
        <f>"49832"</f>
        <v>49832</v>
      </c>
      <c r="D11103" t="s">
        <v>1631</v>
      </c>
      <c r="E11103" s="1">
        <v>73840.38</v>
      </c>
      <c r="F11103">
        <v>20140715</v>
      </c>
      <c r="G11103" t="s">
        <v>568</v>
      </c>
      <c r="H11103" t="s">
        <v>569</v>
      </c>
      <c r="I11103" t="s">
        <v>21</v>
      </c>
    </row>
    <row r="11104" spans="1:9" x14ac:dyDescent="0.25">
      <c r="A11104">
        <v>20140717</v>
      </c>
      <c r="B11104" t="str">
        <f>"116582"</f>
        <v>116582</v>
      </c>
      <c r="C11104" t="str">
        <f>"49845"</f>
        <v>49845</v>
      </c>
      <c r="D11104" t="s">
        <v>644</v>
      </c>
      <c r="E11104">
        <v>60</v>
      </c>
      <c r="F11104">
        <v>20140715</v>
      </c>
      <c r="G11104" t="s">
        <v>3820</v>
      </c>
      <c r="H11104" t="s">
        <v>645</v>
      </c>
      <c r="I11104" t="s">
        <v>21</v>
      </c>
    </row>
    <row r="11105" spans="1:9" x14ac:dyDescent="0.25">
      <c r="A11105">
        <v>20140717</v>
      </c>
      <c r="B11105" t="str">
        <f>"116583"</f>
        <v>116583</v>
      </c>
      <c r="C11105" t="str">
        <f>"86598"</f>
        <v>86598</v>
      </c>
      <c r="D11105" t="s">
        <v>1633</v>
      </c>
      <c r="E11105">
        <v>32.130000000000003</v>
      </c>
      <c r="F11105">
        <v>20140714</v>
      </c>
      <c r="G11105" t="s">
        <v>982</v>
      </c>
      <c r="H11105" t="s">
        <v>365</v>
      </c>
      <c r="I11105" t="s">
        <v>21</v>
      </c>
    </row>
    <row r="11106" spans="1:9" x14ac:dyDescent="0.25">
      <c r="A11106">
        <v>20140717</v>
      </c>
      <c r="B11106" t="str">
        <f>"116584"</f>
        <v>116584</v>
      </c>
      <c r="C11106" t="str">
        <f>"85984"</f>
        <v>85984</v>
      </c>
      <c r="D11106" t="s">
        <v>2013</v>
      </c>
      <c r="E11106">
        <v>5.08</v>
      </c>
      <c r="F11106">
        <v>20140715</v>
      </c>
      <c r="G11106" t="s">
        <v>426</v>
      </c>
      <c r="H11106" t="s">
        <v>968</v>
      </c>
      <c r="I11106" t="s">
        <v>21</v>
      </c>
    </row>
    <row r="11107" spans="1:9" x14ac:dyDescent="0.25">
      <c r="A11107">
        <v>20140717</v>
      </c>
      <c r="B11107" t="str">
        <f>"116585"</f>
        <v>116585</v>
      </c>
      <c r="C11107" t="str">
        <f>"87626"</f>
        <v>87626</v>
      </c>
      <c r="D11107" t="s">
        <v>2864</v>
      </c>
      <c r="E11107" s="1">
        <v>3476.74</v>
      </c>
      <c r="F11107">
        <v>20140716</v>
      </c>
      <c r="G11107" t="s">
        <v>1806</v>
      </c>
      <c r="H11107" t="s">
        <v>839</v>
      </c>
      <c r="I11107" t="s">
        <v>21</v>
      </c>
    </row>
    <row r="11108" spans="1:9" x14ac:dyDescent="0.25">
      <c r="A11108">
        <v>20140717</v>
      </c>
      <c r="B11108" t="str">
        <f>"116586"</f>
        <v>116586</v>
      </c>
      <c r="C11108" t="str">
        <f>"87913"</f>
        <v>87913</v>
      </c>
      <c r="D11108" t="s">
        <v>4797</v>
      </c>
      <c r="E11108">
        <v>394.77</v>
      </c>
      <c r="F11108">
        <v>20140716</v>
      </c>
      <c r="G11108" t="s">
        <v>496</v>
      </c>
      <c r="H11108" t="s">
        <v>414</v>
      </c>
      <c r="I11108" t="s">
        <v>21</v>
      </c>
    </row>
    <row r="11109" spans="1:9" x14ac:dyDescent="0.25">
      <c r="A11109">
        <v>20140717</v>
      </c>
      <c r="B11109" t="str">
        <f>"116587"</f>
        <v>116587</v>
      </c>
      <c r="C11109" t="str">
        <f>"85467"</f>
        <v>85467</v>
      </c>
      <c r="D11109" t="s">
        <v>2965</v>
      </c>
      <c r="E11109" s="1">
        <v>5000</v>
      </c>
      <c r="F11109">
        <v>20140714</v>
      </c>
      <c r="G11109" t="s">
        <v>4798</v>
      </c>
      <c r="H11109" t="s">
        <v>4799</v>
      </c>
      <c r="I11109" t="s">
        <v>73</v>
      </c>
    </row>
    <row r="11110" spans="1:9" x14ac:dyDescent="0.25">
      <c r="A11110">
        <v>20140717</v>
      </c>
      <c r="B11110" t="str">
        <f>"116588"</f>
        <v>116588</v>
      </c>
      <c r="C11110" t="str">
        <f>"86964"</f>
        <v>86964</v>
      </c>
      <c r="D11110" t="s">
        <v>1280</v>
      </c>
      <c r="E11110" s="1">
        <v>126213.3</v>
      </c>
      <c r="F11110">
        <v>20140715</v>
      </c>
      <c r="G11110" t="s">
        <v>2147</v>
      </c>
      <c r="H11110" t="s">
        <v>4800</v>
      </c>
      <c r="I11110" t="s">
        <v>21</v>
      </c>
    </row>
    <row r="11111" spans="1:9" x14ac:dyDescent="0.25">
      <c r="A11111">
        <v>20140717</v>
      </c>
      <c r="B11111" t="str">
        <f>"116589"</f>
        <v>116589</v>
      </c>
      <c r="C11111" t="str">
        <f>"59190"</f>
        <v>59190</v>
      </c>
      <c r="D11111" t="s">
        <v>1499</v>
      </c>
      <c r="E11111">
        <v>8.98</v>
      </c>
      <c r="F11111">
        <v>20140714</v>
      </c>
      <c r="G11111" t="s">
        <v>413</v>
      </c>
      <c r="H11111" t="s">
        <v>414</v>
      </c>
      <c r="I11111" t="s">
        <v>21</v>
      </c>
    </row>
    <row r="11112" spans="1:9" x14ac:dyDescent="0.25">
      <c r="A11112">
        <v>20140717</v>
      </c>
      <c r="B11112" t="str">
        <f>"116590"</f>
        <v>116590</v>
      </c>
      <c r="C11112" t="str">
        <f>"84891"</f>
        <v>84891</v>
      </c>
      <c r="D11112" t="s">
        <v>2747</v>
      </c>
      <c r="E11112">
        <v>14.4</v>
      </c>
      <c r="F11112">
        <v>20140715</v>
      </c>
      <c r="G11112" t="s">
        <v>410</v>
      </c>
      <c r="H11112" t="s">
        <v>411</v>
      </c>
      <c r="I11112" t="s">
        <v>12</v>
      </c>
    </row>
    <row r="11113" spans="1:9" x14ac:dyDescent="0.25">
      <c r="A11113">
        <v>20140717</v>
      </c>
      <c r="B11113" t="str">
        <f>"116591"</f>
        <v>116591</v>
      </c>
      <c r="C11113" t="str">
        <f>"87468"</f>
        <v>87468</v>
      </c>
      <c r="D11113" t="s">
        <v>4801</v>
      </c>
      <c r="E11113">
        <v>323</v>
      </c>
      <c r="F11113">
        <v>20140714</v>
      </c>
      <c r="G11113" t="s">
        <v>837</v>
      </c>
      <c r="H11113" t="s">
        <v>4802</v>
      </c>
      <c r="I11113" t="s">
        <v>21</v>
      </c>
    </row>
    <row r="11114" spans="1:9" x14ac:dyDescent="0.25">
      <c r="A11114">
        <v>20140717</v>
      </c>
      <c r="B11114" t="str">
        <f>"116592"</f>
        <v>116592</v>
      </c>
      <c r="C11114" t="str">
        <f>"81933"</f>
        <v>81933</v>
      </c>
      <c r="D11114" t="s">
        <v>432</v>
      </c>
      <c r="E11114">
        <v>26.1</v>
      </c>
      <c r="F11114">
        <v>20140715</v>
      </c>
      <c r="G11114" t="s">
        <v>410</v>
      </c>
      <c r="H11114" t="s">
        <v>411</v>
      </c>
      <c r="I11114" t="s">
        <v>12</v>
      </c>
    </row>
    <row r="11115" spans="1:9" x14ac:dyDescent="0.25">
      <c r="A11115">
        <v>20140717</v>
      </c>
      <c r="B11115" t="str">
        <f>"116592"</f>
        <v>116592</v>
      </c>
      <c r="C11115" t="str">
        <f>"81933"</f>
        <v>81933</v>
      </c>
      <c r="D11115" t="s">
        <v>432</v>
      </c>
      <c r="E11115">
        <v>28.35</v>
      </c>
      <c r="F11115">
        <v>20140715</v>
      </c>
      <c r="G11115" t="s">
        <v>4776</v>
      </c>
      <c r="H11115" t="s">
        <v>411</v>
      </c>
      <c r="I11115" t="s">
        <v>218</v>
      </c>
    </row>
    <row r="11116" spans="1:9" x14ac:dyDescent="0.25">
      <c r="A11116">
        <v>20140717</v>
      </c>
      <c r="B11116" t="str">
        <f>"116593"</f>
        <v>116593</v>
      </c>
      <c r="C11116" t="str">
        <f>"82957"</f>
        <v>82957</v>
      </c>
      <c r="D11116" t="s">
        <v>1927</v>
      </c>
      <c r="E11116">
        <v>530.75</v>
      </c>
      <c r="F11116">
        <v>20140716</v>
      </c>
      <c r="G11116" t="s">
        <v>3214</v>
      </c>
      <c r="H11116" t="s">
        <v>4803</v>
      </c>
      <c r="I11116" t="s">
        <v>61</v>
      </c>
    </row>
    <row r="11117" spans="1:9" x14ac:dyDescent="0.25">
      <c r="A11117">
        <v>20140717</v>
      </c>
      <c r="B11117" t="str">
        <f>"116594"</f>
        <v>116594</v>
      </c>
      <c r="C11117" t="str">
        <f>"82243"</f>
        <v>82243</v>
      </c>
      <c r="D11117" t="s">
        <v>1517</v>
      </c>
      <c r="E11117">
        <v>160.86000000000001</v>
      </c>
      <c r="F11117">
        <v>20140714</v>
      </c>
      <c r="G11117" t="s">
        <v>392</v>
      </c>
      <c r="H11117" t="s">
        <v>414</v>
      </c>
      <c r="I11117" t="s">
        <v>21</v>
      </c>
    </row>
    <row r="11118" spans="1:9" x14ac:dyDescent="0.25">
      <c r="A11118">
        <v>20140717</v>
      </c>
      <c r="B11118" t="str">
        <f>"116595"</f>
        <v>116595</v>
      </c>
      <c r="C11118" t="str">
        <f>"83322"</f>
        <v>83322</v>
      </c>
      <c r="D11118" t="s">
        <v>1935</v>
      </c>
      <c r="E11118">
        <v>85.77</v>
      </c>
      <c r="F11118">
        <v>20140715</v>
      </c>
      <c r="G11118" t="s">
        <v>808</v>
      </c>
      <c r="H11118" t="s">
        <v>365</v>
      </c>
      <c r="I11118" t="s">
        <v>21</v>
      </c>
    </row>
    <row r="11119" spans="1:9" x14ac:dyDescent="0.25">
      <c r="A11119">
        <v>20140717</v>
      </c>
      <c r="B11119" t="str">
        <f>"116596"</f>
        <v>116596</v>
      </c>
      <c r="C11119" t="str">
        <f>"80951"</f>
        <v>80951</v>
      </c>
      <c r="D11119" t="s">
        <v>1528</v>
      </c>
      <c r="E11119" s="1">
        <v>2517</v>
      </c>
      <c r="F11119">
        <v>20140716</v>
      </c>
      <c r="G11119" t="s">
        <v>48</v>
      </c>
      <c r="H11119" t="s">
        <v>2374</v>
      </c>
      <c r="I11119" t="s">
        <v>25</v>
      </c>
    </row>
    <row r="11120" spans="1:9" x14ac:dyDescent="0.25">
      <c r="A11120">
        <v>20140717</v>
      </c>
      <c r="B11120" t="str">
        <f>"116596"</f>
        <v>116596</v>
      </c>
      <c r="C11120" t="str">
        <f>"80951"</f>
        <v>80951</v>
      </c>
      <c r="D11120" t="s">
        <v>1528</v>
      </c>
      <c r="E11120">
        <v>847</v>
      </c>
      <c r="F11120">
        <v>20140716</v>
      </c>
      <c r="G11120" t="s">
        <v>48</v>
      </c>
      <c r="H11120" t="s">
        <v>2374</v>
      </c>
      <c r="I11120" t="s">
        <v>25</v>
      </c>
    </row>
    <row r="11121" spans="1:9" x14ac:dyDescent="0.25">
      <c r="A11121">
        <v>20140717</v>
      </c>
      <c r="B11121" t="str">
        <f>"116597"</f>
        <v>116597</v>
      </c>
      <c r="C11121" t="str">
        <f>"86616"</f>
        <v>86616</v>
      </c>
      <c r="D11121" t="s">
        <v>1942</v>
      </c>
      <c r="E11121" s="1">
        <v>1500</v>
      </c>
      <c r="F11121">
        <v>20140715</v>
      </c>
      <c r="G11121" t="s">
        <v>4804</v>
      </c>
      <c r="H11121" t="s">
        <v>4805</v>
      </c>
      <c r="I11121" t="s">
        <v>66</v>
      </c>
    </row>
    <row r="11122" spans="1:9" x14ac:dyDescent="0.25">
      <c r="A11122">
        <v>20140717</v>
      </c>
      <c r="B11122" t="str">
        <f>"116598"</f>
        <v>116598</v>
      </c>
      <c r="C11122" t="str">
        <f>"00692"</f>
        <v>00692</v>
      </c>
      <c r="D11122" t="s">
        <v>1945</v>
      </c>
      <c r="E11122">
        <v>450</v>
      </c>
      <c r="F11122">
        <v>20140716</v>
      </c>
      <c r="G11122" t="s">
        <v>327</v>
      </c>
      <c r="H11122" t="s">
        <v>4806</v>
      </c>
      <c r="I11122" t="s">
        <v>25</v>
      </c>
    </row>
    <row r="11123" spans="1:9" x14ac:dyDescent="0.25">
      <c r="A11123">
        <v>20140717</v>
      </c>
      <c r="B11123" t="str">
        <f>"116599"</f>
        <v>116599</v>
      </c>
      <c r="C11123" t="str">
        <f>"82502"</f>
        <v>82502</v>
      </c>
      <c r="D11123" t="s">
        <v>706</v>
      </c>
      <c r="E11123">
        <v>7.5</v>
      </c>
      <c r="F11123">
        <v>20140714</v>
      </c>
      <c r="G11123" t="s">
        <v>340</v>
      </c>
      <c r="H11123" t="s">
        <v>707</v>
      </c>
      <c r="I11123" t="s">
        <v>21</v>
      </c>
    </row>
    <row r="11124" spans="1:9" x14ac:dyDescent="0.25">
      <c r="A11124">
        <v>20140717</v>
      </c>
      <c r="B11124" t="str">
        <f>"116599"</f>
        <v>116599</v>
      </c>
      <c r="C11124" t="str">
        <f>"82502"</f>
        <v>82502</v>
      </c>
      <c r="D11124" t="s">
        <v>706</v>
      </c>
      <c r="E11124">
        <v>75</v>
      </c>
      <c r="F11124">
        <v>20140714</v>
      </c>
      <c r="G11124" t="s">
        <v>340</v>
      </c>
      <c r="H11124" t="s">
        <v>2610</v>
      </c>
      <c r="I11124" t="s">
        <v>21</v>
      </c>
    </row>
    <row r="11125" spans="1:9" x14ac:dyDescent="0.25">
      <c r="A11125">
        <v>20140717</v>
      </c>
      <c r="B11125" t="str">
        <f>"116600"</f>
        <v>116600</v>
      </c>
      <c r="C11125" t="str">
        <f>"86951"</f>
        <v>86951</v>
      </c>
      <c r="D11125" t="s">
        <v>394</v>
      </c>
      <c r="E11125">
        <v>772.32</v>
      </c>
      <c r="F11125">
        <v>20140715</v>
      </c>
      <c r="G11125" t="s">
        <v>337</v>
      </c>
      <c r="H11125" t="s">
        <v>2166</v>
      </c>
      <c r="I11125" t="s">
        <v>21</v>
      </c>
    </row>
    <row r="11126" spans="1:9" x14ac:dyDescent="0.25">
      <c r="A11126">
        <v>20140717</v>
      </c>
      <c r="B11126" t="str">
        <f t="shared" ref="B11126:B11133" si="640">"116601"</f>
        <v>116601</v>
      </c>
      <c r="C11126" t="str">
        <f t="shared" ref="C11126:C11133" si="641">"87189"</f>
        <v>87189</v>
      </c>
      <c r="D11126" t="s">
        <v>730</v>
      </c>
      <c r="E11126">
        <v>816.96</v>
      </c>
      <c r="F11126">
        <v>20140714</v>
      </c>
      <c r="G11126" t="s">
        <v>482</v>
      </c>
      <c r="H11126" t="s">
        <v>414</v>
      </c>
      <c r="I11126" t="s">
        <v>21</v>
      </c>
    </row>
    <row r="11127" spans="1:9" x14ac:dyDescent="0.25">
      <c r="A11127">
        <v>20140717</v>
      </c>
      <c r="B11127" t="str">
        <f t="shared" si="640"/>
        <v>116601</v>
      </c>
      <c r="C11127" t="str">
        <f t="shared" si="641"/>
        <v>87189</v>
      </c>
      <c r="D11127" t="s">
        <v>730</v>
      </c>
      <c r="E11127" s="1">
        <v>2668.11</v>
      </c>
      <c r="F11127">
        <v>20140714</v>
      </c>
      <c r="G11127" t="s">
        <v>3820</v>
      </c>
      <c r="H11127" t="s">
        <v>414</v>
      </c>
      <c r="I11127" t="s">
        <v>21</v>
      </c>
    </row>
    <row r="11128" spans="1:9" x14ac:dyDescent="0.25">
      <c r="A11128">
        <v>20140717</v>
      </c>
      <c r="B11128" t="str">
        <f t="shared" si="640"/>
        <v>116601</v>
      </c>
      <c r="C11128" t="str">
        <f t="shared" si="641"/>
        <v>87189</v>
      </c>
      <c r="D11128" t="s">
        <v>730</v>
      </c>
      <c r="E11128">
        <v>596</v>
      </c>
      <c r="F11128">
        <v>20140714</v>
      </c>
      <c r="G11128" t="s">
        <v>3820</v>
      </c>
      <c r="H11128" t="s">
        <v>414</v>
      </c>
      <c r="I11128" t="s">
        <v>21</v>
      </c>
    </row>
    <row r="11129" spans="1:9" x14ac:dyDescent="0.25">
      <c r="A11129">
        <v>20140717</v>
      </c>
      <c r="B11129" t="str">
        <f t="shared" si="640"/>
        <v>116601</v>
      </c>
      <c r="C11129" t="str">
        <f t="shared" si="641"/>
        <v>87189</v>
      </c>
      <c r="D11129" t="s">
        <v>730</v>
      </c>
      <c r="E11129" s="1">
        <v>2092.37</v>
      </c>
      <c r="F11129">
        <v>20140714</v>
      </c>
      <c r="G11129" t="s">
        <v>3820</v>
      </c>
      <c r="H11129" t="s">
        <v>414</v>
      </c>
      <c r="I11129" t="s">
        <v>21</v>
      </c>
    </row>
    <row r="11130" spans="1:9" x14ac:dyDescent="0.25">
      <c r="A11130">
        <v>20140717</v>
      </c>
      <c r="B11130" t="str">
        <f t="shared" si="640"/>
        <v>116601</v>
      </c>
      <c r="C11130" t="str">
        <f t="shared" si="641"/>
        <v>87189</v>
      </c>
      <c r="D11130" t="s">
        <v>730</v>
      </c>
      <c r="E11130">
        <v>758</v>
      </c>
      <c r="F11130">
        <v>20140714</v>
      </c>
      <c r="G11130" t="s">
        <v>3820</v>
      </c>
      <c r="H11130" t="s">
        <v>414</v>
      </c>
      <c r="I11130" t="s">
        <v>21</v>
      </c>
    </row>
    <row r="11131" spans="1:9" x14ac:dyDescent="0.25">
      <c r="A11131">
        <v>20140717</v>
      </c>
      <c r="B11131" t="str">
        <f t="shared" si="640"/>
        <v>116601</v>
      </c>
      <c r="C11131" t="str">
        <f t="shared" si="641"/>
        <v>87189</v>
      </c>
      <c r="D11131" t="s">
        <v>730</v>
      </c>
      <c r="E11131" s="1">
        <v>1475.19</v>
      </c>
      <c r="F11131">
        <v>20140714</v>
      </c>
      <c r="G11131" t="s">
        <v>3820</v>
      </c>
      <c r="H11131" t="s">
        <v>414</v>
      </c>
      <c r="I11131" t="s">
        <v>21</v>
      </c>
    </row>
    <row r="11132" spans="1:9" x14ac:dyDescent="0.25">
      <c r="A11132">
        <v>20140717</v>
      </c>
      <c r="B11132" t="str">
        <f t="shared" si="640"/>
        <v>116601</v>
      </c>
      <c r="C11132" t="str">
        <f t="shared" si="641"/>
        <v>87189</v>
      </c>
      <c r="D11132" t="s">
        <v>730</v>
      </c>
      <c r="E11132">
        <v>700.65</v>
      </c>
      <c r="F11132">
        <v>20140714</v>
      </c>
      <c r="G11132" t="s">
        <v>3820</v>
      </c>
      <c r="H11132" t="s">
        <v>414</v>
      </c>
      <c r="I11132" t="s">
        <v>21</v>
      </c>
    </row>
    <row r="11133" spans="1:9" x14ac:dyDescent="0.25">
      <c r="A11133">
        <v>20140717</v>
      </c>
      <c r="B11133" t="str">
        <f t="shared" si="640"/>
        <v>116601</v>
      </c>
      <c r="C11133" t="str">
        <f t="shared" si="641"/>
        <v>87189</v>
      </c>
      <c r="D11133" t="s">
        <v>730</v>
      </c>
      <c r="E11133">
        <v>970.84</v>
      </c>
      <c r="F11133">
        <v>20140714</v>
      </c>
      <c r="G11133" t="s">
        <v>3820</v>
      </c>
      <c r="H11133" t="s">
        <v>414</v>
      </c>
      <c r="I11133" t="s">
        <v>21</v>
      </c>
    </row>
    <row r="11134" spans="1:9" x14ac:dyDescent="0.25">
      <c r="A11134">
        <v>20140717</v>
      </c>
      <c r="B11134" t="str">
        <f>"116602"</f>
        <v>116602</v>
      </c>
      <c r="C11134" t="str">
        <f>"81358"</f>
        <v>81358</v>
      </c>
      <c r="D11134" t="s">
        <v>736</v>
      </c>
      <c r="E11134" s="1">
        <v>2312.36</v>
      </c>
      <c r="F11134">
        <v>20140714</v>
      </c>
      <c r="G11134" t="s">
        <v>1543</v>
      </c>
      <c r="H11134" t="s">
        <v>738</v>
      </c>
      <c r="I11134" t="s">
        <v>21</v>
      </c>
    </row>
    <row r="11135" spans="1:9" x14ac:dyDescent="0.25">
      <c r="A11135">
        <v>20140717</v>
      </c>
      <c r="B11135" t="str">
        <f>"116602"</f>
        <v>116602</v>
      </c>
      <c r="C11135" t="str">
        <f>"81358"</f>
        <v>81358</v>
      </c>
      <c r="D11135" t="s">
        <v>736</v>
      </c>
      <c r="E11135" s="1">
        <v>6143.64</v>
      </c>
      <c r="F11135">
        <v>20140714</v>
      </c>
      <c r="G11135" t="s">
        <v>737</v>
      </c>
      <c r="H11135" t="s">
        <v>738</v>
      </c>
      <c r="I11135" t="s">
        <v>21</v>
      </c>
    </row>
    <row r="11136" spans="1:9" x14ac:dyDescent="0.25">
      <c r="A11136">
        <v>20140717</v>
      </c>
      <c r="B11136" t="str">
        <f>"116603"</f>
        <v>116603</v>
      </c>
      <c r="C11136" t="str">
        <f>"81358"</f>
        <v>81358</v>
      </c>
      <c r="D11136" t="s">
        <v>736</v>
      </c>
      <c r="E11136">
        <v>371.04</v>
      </c>
      <c r="F11136">
        <v>20140714</v>
      </c>
      <c r="G11136" t="s">
        <v>737</v>
      </c>
      <c r="H11136" t="s">
        <v>738</v>
      </c>
      <c r="I11136" t="s">
        <v>21</v>
      </c>
    </row>
    <row r="11137" spans="1:9" x14ac:dyDescent="0.25">
      <c r="A11137">
        <v>20140717</v>
      </c>
      <c r="B11137" t="str">
        <f>"116604"</f>
        <v>116604</v>
      </c>
      <c r="C11137" t="str">
        <f>"81358"</f>
        <v>81358</v>
      </c>
      <c r="D11137" t="s">
        <v>736</v>
      </c>
      <c r="E11137">
        <v>78.760000000000005</v>
      </c>
      <c r="F11137">
        <v>20140714</v>
      </c>
      <c r="G11137" t="s">
        <v>737</v>
      </c>
      <c r="H11137" t="s">
        <v>738</v>
      </c>
      <c r="I11137" t="s">
        <v>21</v>
      </c>
    </row>
    <row r="11138" spans="1:9" x14ac:dyDescent="0.25">
      <c r="A11138">
        <v>20140717</v>
      </c>
      <c r="B11138" t="str">
        <f>"116605"</f>
        <v>116605</v>
      </c>
      <c r="C11138" t="str">
        <f>"76690"</f>
        <v>76690</v>
      </c>
      <c r="D11138" t="s">
        <v>1544</v>
      </c>
      <c r="E11138">
        <v>59.9</v>
      </c>
      <c r="F11138">
        <v>20140714</v>
      </c>
      <c r="G11138" t="s">
        <v>392</v>
      </c>
      <c r="H11138" t="s">
        <v>4807</v>
      </c>
      <c r="I11138" t="s">
        <v>21</v>
      </c>
    </row>
    <row r="11139" spans="1:9" x14ac:dyDescent="0.25">
      <c r="A11139">
        <v>20140717</v>
      </c>
      <c r="B11139" t="str">
        <f>"116605"</f>
        <v>116605</v>
      </c>
      <c r="C11139" t="str">
        <f>"76690"</f>
        <v>76690</v>
      </c>
      <c r="D11139" t="s">
        <v>1544</v>
      </c>
      <c r="E11139" s="1">
        <v>1049.96</v>
      </c>
      <c r="F11139">
        <v>20140714</v>
      </c>
      <c r="G11139" t="s">
        <v>3820</v>
      </c>
      <c r="H11139" t="s">
        <v>4808</v>
      </c>
      <c r="I11139" t="s">
        <v>21</v>
      </c>
    </row>
    <row r="11140" spans="1:9" x14ac:dyDescent="0.25">
      <c r="A11140">
        <v>20140717</v>
      </c>
      <c r="B11140" t="str">
        <f>"116605"</f>
        <v>116605</v>
      </c>
      <c r="C11140" t="str">
        <f>"76690"</f>
        <v>76690</v>
      </c>
      <c r="D11140" t="s">
        <v>1544</v>
      </c>
      <c r="E11140">
        <v>83.6</v>
      </c>
      <c r="F11140">
        <v>20140714</v>
      </c>
      <c r="G11140" t="s">
        <v>3820</v>
      </c>
      <c r="H11140" t="s">
        <v>3974</v>
      </c>
      <c r="I11140" t="s">
        <v>21</v>
      </c>
    </row>
    <row r="11141" spans="1:9" x14ac:dyDescent="0.25">
      <c r="A11141">
        <v>20140717</v>
      </c>
      <c r="B11141" t="str">
        <f>"116605"</f>
        <v>116605</v>
      </c>
      <c r="C11141" t="str">
        <f>"76690"</f>
        <v>76690</v>
      </c>
      <c r="D11141" t="s">
        <v>1544</v>
      </c>
      <c r="E11141">
        <v>524.72</v>
      </c>
      <c r="F11141">
        <v>20140715</v>
      </c>
      <c r="G11141" t="s">
        <v>3820</v>
      </c>
      <c r="H11141" t="s">
        <v>4809</v>
      </c>
      <c r="I11141" t="s">
        <v>21</v>
      </c>
    </row>
    <row r="11142" spans="1:9" x14ac:dyDescent="0.25">
      <c r="A11142">
        <v>20140717</v>
      </c>
      <c r="B11142" t="str">
        <f>"116606"</f>
        <v>116606</v>
      </c>
      <c r="C11142" t="str">
        <f>"86467"</f>
        <v>86467</v>
      </c>
      <c r="D11142" t="s">
        <v>4306</v>
      </c>
      <c r="E11142">
        <v>8.5500000000000007</v>
      </c>
      <c r="F11142">
        <v>20140715</v>
      </c>
      <c r="G11142" t="s">
        <v>410</v>
      </c>
      <c r="H11142" t="s">
        <v>411</v>
      </c>
      <c r="I11142" t="s">
        <v>12</v>
      </c>
    </row>
    <row r="11143" spans="1:9" x14ac:dyDescent="0.25">
      <c r="A11143">
        <v>20140717</v>
      </c>
      <c r="B11143" t="str">
        <f>"116607"</f>
        <v>116607</v>
      </c>
      <c r="C11143" t="str">
        <f>"84721"</f>
        <v>84721</v>
      </c>
      <c r="D11143" t="s">
        <v>4810</v>
      </c>
      <c r="E11143">
        <v>158.74</v>
      </c>
      <c r="F11143">
        <v>20140714</v>
      </c>
      <c r="G11143" t="s">
        <v>440</v>
      </c>
      <c r="H11143" t="s">
        <v>365</v>
      </c>
      <c r="I11143" t="s">
        <v>66</v>
      </c>
    </row>
    <row r="11144" spans="1:9" x14ac:dyDescent="0.25">
      <c r="A11144">
        <v>20140717</v>
      </c>
      <c r="B11144" t="str">
        <f>"116608"</f>
        <v>116608</v>
      </c>
      <c r="C11144" t="str">
        <f>"85605"</f>
        <v>85605</v>
      </c>
      <c r="D11144" t="s">
        <v>1949</v>
      </c>
      <c r="E11144">
        <v>41.98</v>
      </c>
      <c r="F11144">
        <v>20140716</v>
      </c>
      <c r="G11144" t="s">
        <v>837</v>
      </c>
      <c r="H11144" t="s">
        <v>414</v>
      </c>
      <c r="I11144" t="s">
        <v>21</v>
      </c>
    </row>
    <row r="11145" spans="1:9" x14ac:dyDescent="0.25">
      <c r="A11145">
        <v>20140717</v>
      </c>
      <c r="B11145" t="str">
        <f>"116608"</f>
        <v>116608</v>
      </c>
      <c r="C11145" t="str">
        <f>"85605"</f>
        <v>85605</v>
      </c>
      <c r="D11145" t="s">
        <v>1949</v>
      </c>
      <c r="E11145">
        <v>85.7</v>
      </c>
      <c r="F11145">
        <v>20140716</v>
      </c>
      <c r="G11145" t="s">
        <v>837</v>
      </c>
      <c r="H11145" t="s">
        <v>414</v>
      </c>
      <c r="I11145" t="s">
        <v>21</v>
      </c>
    </row>
    <row r="11146" spans="1:9" x14ac:dyDescent="0.25">
      <c r="A11146">
        <v>20140717</v>
      </c>
      <c r="B11146" t="str">
        <f t="shared" ref="B11146:B11152" si="642">"116609"</f>
        <v>116609</v>
      </c>
      <c r="C11146" t="str">
        <f t="shared" ref="C11146:C11152" si="643">"77173"</f>
        <v>77173</v>
      </c>
      <c r="D11146" t="s">
        <v>741</v>
      </c>
      <c r="E11146" s="1">
        <v>2089.1799999999998</v>
      </c>
      <c r="F11146">
        <v>20140716</v>
      </c>
      <c r="G11146" t="s">
        <v>2309</v>
      </c>
      <c r="H11146" t="s">
        <v>743</v>
      </c>
      <c r="I11146" t="s">
        <v>21</v>
      </c>
    </row>
    <row r="11147" spans="1:9" x14ac:dyDescent="0.25">
      <c r="A11147">
        <v>20140717</v>
      </c>
      <c r="B11147" t="str">
        <f t="shared" si="642"/>
        <v>116609</v>
      </c>
      <c r="C11147" t="str">
        <f t="shared" si="643"/>
        <v>77173</v>
      </c>
      <c r="D11147" t="s">
        <v>741</v>
      </c>
      <c r="E11147">
        <v>55</v>
      </c>
      <c r="F11147">
        <v>20140716</v>
      </c>
      <c r="G11147" t="s">
        <v>742</v>
      </c>
      <c r="H11147" t="s">
        <v>743</v>
      </c>
      <c r="I11147" t="s">
        <v>21</v>
      </c>
    </row>
    <row r="11148" spans="1:9" x14ac:dyDescent="0.25">
      <c r="A11148">
        <v>20140717</v>
      </c>
      <c r="B11148" t="str">
        <f t="shared" si="642"/>
        <v>116609</v>
      </c>
      <c r="C11148" t="str">
        <f t="shared" si="643"/>
        <v>77173</v>
      </c>
      <c r="D11148" t="s">
        <v>741</v>
      </c>
      <c r="E11148" s="1">
        <v>3979.82</v>
      </c>
      <c r="F11148">
        <v>20140716</v>
      </c>
      <c r="G11148" t="s">
        <v>742</v>
      </c>
      <c r="H11148" t="s">
        <v>743</v>
      </c>
      <c r="I11148" t="s">
        <v>21</v>
      </c>
    </row>
    <row r="11149" spans="1:9" x14ac:dyDescent="0.25">
      <c r="A11149">
        <v>20140717</v>
      </c>
      <c r="B11149" t="str">
        <f t="shared" si="642"/>
        <v>116609</v>
      </c>
      <c r="C11149" t="str">
        <f t="shared" si="643"/>
        <v>77173</v>
      </c>
      <c r="D11149" t="s">
        <v>741</v>
      </c>
      <c r="E11149" s="1">
        <v>8754.69</v>
      </c>
      <c r="F11149">
        <v>20140716</v>
      </c>
      <c r="G11149" t="s">
        <v>742</v>
      </c>
      <c r="H11149" t="s">
        <v>743</v>
      </c>
      <c r="I11149" t="s">
        <v>21</v>
      </c>
    </row>
    <row r="11150" spans="1:9" x14ac:dyDescent="0.25">
      <c r="A11150">
        <v>20140717</v>
      </c>
      <c r="B11150" t="str">
        <f t="shared" si="642"/>
        <v>116609</v>
      </c>
      <c r="C11150" t="str">
        <f t="shared" si="643"/>
        <v>77173</v>
      </c>
      <c r="D11150" t="s">
        <v>741</v>
      </c>
      <c r="E11150">
        <v>990</v>
      </c>
      <c r="F11150">
        <v>20140716</v>
      </c>
      <c r="G11150" t="s">
        <v>742</v>
      </c>
      <c r="H11150" t="s">
        <v>743</v>
      </c>
      <c r="I11150" t="s">
        <v>21</v>
      </c>
    </row>
    <row r="11151" spans="1:9" x14ac:dyDescent="0.25">
      <c r="A11151">
        <v>20140717</v>
      </c>
      <c r="B11151" t="str">
        <f t="shared" si="642"/>
        <v>116609</v>
      </c>
      <c r="C11151" t="str">
        <f t="shared" si="643"/>
        <v>77173</v>
      </c>
      <c r="D11151" t="s">
        <v>741</v>
      </c>
      <c r="E11151">
        <v>605.38</v>
      </c>
      <c r="F11151">
        <v>20140716</v>
      </c>
      <c r="G11151" t="s">
        <v>742</v>
      </c>
      <c r="H11151" t="s">
        <v>743</v>
      </c>
      <c r="I11151" t="s">
        <v>21</v>
      </c>
    </row>
    <row r="11152" spans="1:9" x14ac:dyDescent="0.25">
      <c r="A11152">
        <v>20140717</v>
      </c>
      <c r="B11152" t="str">
        <f t="shared" si="642"/>
        <v>116609</v>
      </c>
      <c r="C11152" t="str">
        <f t="shared" si="643"/>
        <v>77173</v>
      </c>
      <c r="D11152" t="s">
        <v>741</v>
      </c>
      <c r="E11152">
        <v>440</v>
      </c>
      <c r="F11152">
        <v>20140716</v>
      </c>
      <c r="G11152" t="s">
        <v>742</v>
      </c>
      <c r="H11152" t="s">
        <v>743</v>
      </c>
      <c r="I11152" t="s">
        <v>21</v>
      </c>
    </row>
    <row r="11153" spans="1:9" x14ac:dyDescent="0.25">
      <c r="A11153">
        <v>20140717</v>
      </c>
      <c r="B11153" t="str">
        <f>"116610"</f>
        <v>116610</v>
      </c>
      <c r="C11153" t="str">
        <f>"85715"</f>
        <v>85715</v>
      </c>
      <c r="D11153" t="s">
        <v>4811</v>
      </c>
      <c r="E11153">
        <v>66.760000000000005</v>
      </c>
      <c r="F11153">
        <v>20140714</v>
      </c>
      <c r="G11153" t="s">
        <v>1120</v>
      </c>
      <c r="H11153" t="s">
        <v>365</v>
      </c>
      <c r="I11153" t="s">
        <v>66</v>
      </c>
    </row>
    <row r="11154" spans="1:9" x14ac:dyDescent="0.25">
      <c r="A11154">
        <v>20140717</v>
      </c>
      <c r="B11154" t="str">
        <f>"116611"</f>
        <v>116611</v>
      </c>
      <c r="C11154" t="str">
        <f>"19200"</f>
        <v>19200</v>
      </c>
      <c r="D11154" t="s">
        <v>436</v>
      </c>
      <c r="E11154">
        <v>33.299999999999997</v>
      </c>
      <c r="F11154">
        <v>20140715</v>
      </c>
      <c r="G11154" t="s">
        <v>410</v>
      </c>
      <c r="H11154" t="s">
        <v>411</v>
      </c>
      <c r="I11154" t="s">
        <v>12</v>
      </c>
    </row>
    <row r="11155" spans="1:9" x14ac:dyDescent="0.25">
      <c r="A11155">
        <v>20140717</v>
      </c>
      <c r="B11155" t="str">
        <f>"116612"</f>
        <v>116612</v>
      </c>
      <c r="C11155" t="str">
        <f>"80874"</f>
        <v>80874</v>
      </c>
      <c r="D11155" t="s">
        <v>1956</v>
      </c>
      <c r="E11155">
        <v>73.14</v>
      </c>
      <c r="F11155">
        <v>20140715</v>
      </c>
      <c r="G11155" t="s">
        <v>442</v>
      </c>
      <c r="H11155" t="s">
        <v>365</v>
      </c>
      <c r="I11155" t="s">
        <v>66</v>
      </c>
    </row>
    <row r="11156" spans="1:9" x14ac:dyDescent="0.25">
      <c r="A11156">
        <v>20140724</v>
      </c>
      <c r="B11156" t="str">
        <f>"116613"</f>
        <v>116613</v>
      </c>
      <c r="C11156" t="str">
        <f>"82910"</f>
        <v>82910</v>
      </c>
      <c r="D11156" t="s">
        <v>4812</v>
      </c>
      <c r="E11156" s="1">
        <v>2257.5</v>
      </c>
      <c r="F11156">
        <v>20140721</v>
      </c>
      <c r="G11156" t="s">
        <v>1943</v>
      </c>
      <c r="H11156" t="s">
        <v>4813</v>
      </c>
      <c r="I11156" t="s">
        <v>21</v>
      </c>
    </row>
    <row r="11157" spans="1:9" x14ac:dyDescent="0.25">
      <c r="A11157">
        <v>20140724</v>
      </c>
      <c r="B11157" t="str">
        <f>"116614"</f>
        <v>116614</v>
      </c>
      <c r="C11157" t="str">
        <f>"00120"</f>
        <v>00120</v>
      </c>
      <c r="D11157" t="s">
        <v>336</v>
      </c>
      <c r="E11157">
        <v>109.38</v>
      </c>
      <c r="F11157">
        <v>20140722</v>
      </c>
      <c r="G11157" t="s">
        <v>337</v>
      </c>
      <c r="H11157" t="s">
        <v>766</v>
      </c>
      <c r="I11157" t="s">
        <v>21</v>
      </c>
    </row>
    <row r="11158" spans="1:9" x14ac:dyDescent="0.25">
      <c r="A11158">
        <v>20140724</v>
      </c>
      <c r="B11158" t="str">
        <f>"116615"</f>
        <v>116615</v>
      </c>
      <c r="C11158" t="str">
        <f>"01840"</f>
        <v>01840</v>
      </c>
      <c r="D11158" t="s">
        <v>3096</v>
      </c>
      <c r="E11158">
        <v>475</v>
      </c>
      <c r="F11158">
        <v>20140721</v>
      </c>
      <c r="G11158" t="s">
        <v>367</v>
      </c>
      <c r="H11158" t="s">
        <v>4814</v>
      </c>
      <c r="I11158" t="s">
        <v>21</v>
      </c>
    </row>
    <row r="11159" spans="1:9" x14ac:dyDescent="0.25">
      <c r="A11159">
        <v>20140724</v>
      </c>
      <c r="B11159" t="str">
        <f>"116615"</f>
        <v>116615</v>
      </c>
      <c r="C11159" t="str">
        <f>"01840"</f>
        <v>01840</v>
      </c>
      <c r="D11159" t="s">
        <v>3096</v>
      </c>
      <c r="E11159">
        <v>72</v>
      </c>
      <c r="F11159">
        <v>20140721</v>
      </c>
      <c r="G11159" t="s">
        <v>704</v>
      </c>
      <c r="H11159" t="s">
        <v>705</v>
      </c>
      <c r="I11159" t="s">
        <v>21</v>
      </c>
    </row>
    <row r="11160" spans="1:9" x14ac:dyDescent="0.25">
      <c r="A11160">
        <v>20140724</v>
      </c>
      <c r="B11160" t="str">
        <f>"116616"</f>
        <v>116616</v>
      </c>
      <c r="C11160" t="str">
        <f>"52460"</f>
        <v>52460</v>
      </c>
      <c r="D11160" t="s">
        <v>452</v>
      </c>
      <c r="E11160">
        <v>36.36</v>
      </c>
      <c r="F11160">
        <v>20140722</v>
      </c>
      <c r="G11160" t="s">
        <v>145</v>
      </c>
      <c r="H11160" t="s">
        <v>997</v>
      </c>
      <c r="I11160" t="s">
        <v>38</v>
      </c>
    </row>
    <row r="11161" spans="1:9" x14ac:dyDescent="0.25">
      <c r="A11161">
        <v>20140724</v>
      </c>
      <c r="B11161" t="str">
        <f>"116617"</f>
        <v>116617</v>
      </c>
      <c r="C11161" t="str">
        <f>"87466"</f>
        <v>87466</v>
      </c>
      <c r="D11161" t="s">
        <v>468</v>
      </c>
      <c r="E11161">
        <v>80</v>
      </c>
      <c r="F11161">
        <v>20140723</v>
      </c>
      <c r="G11161" t="s">
        <v>469</v>
      </c>
      <c r="H11161" t="s">
        <v>501</v>
      </c>
      <c r="I11161" t="s">
        <v>21</v>
      </c>
    </row>
    <row r="11162" spans="1:9" x14ac:dyDescent="0.25">
      <c r="A11162">
        <v>20140724</v>
      </c>
      <c r="B11162" t="str">
        <f>"116618"</f>
        <v>116618</v>
      </c>
      <c r="C11162" t="str">
        <f>"00500"</f>
        <v>00500</v>
      </c>
      <c r="D11162" t="s">
        <v>486</v>
      </c>
      <c r="E11162" s="1">
        <v>14900.16</v>
      </c>
      <c r="F11162">
        <v>20140722</v>
      </c>
      <c r="G11162" t="s">
        <v>487</v>
      </c>
      <c r="H11162" t="s">
        <v>488</v>
      </c>
      <c r="I11162" t="s">
        <v>21</v>
      </c>
    </row>
    <row r="11163" spans="1:9" x14ac:dyDescent="0.25">
      <c r="A11163">
        <v>20140724</v>
      </c>
      <c r="B11163" t="str">
        <f>"116619"</f>
        <v>116619</v>
      </c>
      <c r="C11163" t="str">
        <f>"00500"</f>
        <v>00500</v>
      </c>
      <c r="D11163" t="s">
        <v>486</v>
      </c>
      <c r="E11163">
        <v>622.84</v>
      </c>
      <c r="F11163">
        <v>20140723</v>
      </c>
      <c r="G11163" t="s">
        <v>1705</v>
      </c>
      <c r="H11163" t="s">
        <v>488</v>
      </c>
      <c r="I11163" t="s">
        <v>21</v>
      </c>
    </row>
    <row r="11164" spans="1:9" x14ac:dyDescent="0.25">
      <c r="A11164">
        <v>20140724</v>
      </c>
      <c r="B11164" t="str">
        <f>"116620"</f>
        <v>116620</v>
      </c>
      <c r="C11164" t="str">
        <f>"00500"</f>
        <v>00500</v>
      </c>
      <c r="D11164" t="s">
        <v>486</v>
      </c>
      <c r="E11164">
        <v>61.9</v>
      </c>
      <c r="F11164">
        <v>20140722</v>
      </c>
      <c r="G11164" t="s">
        <v>1705</v>
      </c>
      <c r="H11164" t="s">
        <v>488</v>
      </c>
      <c r="I11164" t="s">
        <v>21</v>
      </c>
    </row>
    <row r="11165" spans="1:9" x14ac:dyDescent="0.25">
      <c r="A11165">
        <v>20140724</v>
      </c>
      <c r="B11165" t="str">
        <f>"116621"</f>
        <v>116621</v>
      </c>
      <c r="C11165" t="str">
        <f>"00255"</f>
        <v>00255</v>
      </c>
      <c r="D11165" t="s">
        <v>489</v>
      </c>
      <c r="E11165">
        <v>131.33000000000001</v>
      </c>
      <c r="F11165">
        <v>20140722</v>
      </c>
      <c r="G11165" t="s">
        <v>1186</v>
      </c>
      <c r="H11165" t="s">
        <v>488</v>
      </c>
      <c r="I11165" t="s">
        <v>21</v>
      </c>
    </row>
    <row r="11166" spans="1:9" x14ac:dyDescent="0.25">
      <c r="A11166">
        <v>20140724</v>
      </c>
      <c r="B11166" t="str">
        <f>"116622"</f>
        <v>116622</v>
      </c>
      <c r="C11166" t="str">
        <f>"87465"</f>
        <v>87465</v>
      </c>
      <c r="D11166" t="s">
        <v>500</v>
      </c>
      <c r="E11166">
        <v>190</v>
      </c>
      <c r="F11166">
        <v>20140723</v>
      </c>
      <c r="G11166" t="s">
        <v>469</v>
      </c>
      <c r="H11166" t="s">
        <v>501</v>
      </c>
      <c r="I11166" t="s">
        <v>21</v>
      </c>
    </row>
    <row r="11167" spans="1:9" x14ac:dyDescent="0.25">
      <c r="A11167">
        <v>20140724</v>
      </c>
      <c r="B11167" t="str">
        <f>"116623"</f>
        <v>116623</v>
      </c>
      <c r="C11167" t="str">
        <f>"10075"</f>
        <v>10075</v>
      </c>
      <c r="D11167" t="s">
        <v>1199</v>
      </c>
      <c r="E11167">
        <v>327.58999999999997</v>
      </c>
      <c r="F11167">
        <v>20140717</v>
      </c>
      <c r="G11167" t="s">
        <v>2733</v>
      </c>
      <c r="H11167" t="s">
        <v>4815</v>
      </c>
      <c r="I11167" t="s">
        <v>1726</v>
      </c>
    </row>
    <row r="11168" spans="1:9" x14ac:dyDescent="0.25">
      <c r="A11168">
        <v>20140724</v>
      </c>
      <c r="B11168" t="str">
        <f>"116624"</f>
        <v>116624</v>
      </c>
      <c r="C11168" t="str">
        <f>"87481"</f>
        <v>87481</v>
      </c>
      <c r="D11168" t="s">
        <v>2487</v>
      </c>
      <c r="E11168">
        <v>486.43</v>
      </c>
      <c r="F11168">
        <v>20140723</v>
      </c>
      <c r="G11168" t="s">
        <v>1167</v>
      </c>
      <c r="H11168" t="s">
        <v>414</v>
      </c>
      <c r="I11168" t="s">
        <v>21</v>
      </c>
    </row>
    <row r="11169" spans="1:9" x14ac:dyDescent="0.25">
      <c r="A11169">
        <v>20140724</v>
      </c>
      <c r="B11169" t="str">
        <f>"116625"</f>
        <v>116625</v>
      </c>
      <c r="C11169" t="str">
        <f>"15897"</f>
        <v>15897</v>
      </c>
      <c r="D11169" t="s">
        <v>1012</v>
      </c>
      <c r="E11169">
        <v>47.96</v>
      </c>
      <c r="F11169">
        <v>20140721</v>
      </c>
      <c r="G11169" t="s">
        <v>186</v>
      </c>
      <c r="H11169" t="s">
        <v>354</v>
      </c>
      <c r="I11169" t="s">
        <v>61</v>
      </c>
    </row>
    <row r="11170" spans="1:9" x14ac:dyDescent="0.25">
      <c r="A11170">
        <v>20140724</v>
      </c>
      <c r="B11170" t="str">
        <f>"116626"</f>
        <v>116626</v>
      </c>
      <c r="C11170" t="str">
        <f>"16500"</f>
        <v>16500</v>
      </c>
      <c r="D11170" t="s">
        <v>798</v>
      </c>
      <c r="E11170">
        <v>518.9</v>
      </c>
      <c r="F11170">
        <v>20140722</v>
      </c>
      <c r="G11170" t="s">
        <v>39</v>
      </c>
      <c r="H11170" t="s">
        <v>784</v>
      </c>
      <c r="I11170" t="s">
        <v>38</v>
      </c>
    </row>
    <row r="11171" spans="1:9" x14ac:dyDescent="0.25">
      <c r="A11171">
        <v>20140724</v>
      </c>
      <c r="B11171" t="str">
        <f>"116627"</f>
        <v>116627</v>
      </c>
      <c r="C11171" t="str">
        <f>"85173"</f>
        <v>85173</v>
      </c>
      <c r="D11171" t="s">
        <v>4816</v>
      </c>
      <c r="E11171">
        <v>71.08</v>
      </c>
      <c r="F11171">
        <v>20140721</v>
      </c>
      <c r="G11171" t="s">
        <v>1120</v>
      </c>
      <c r="H11171" t="s">
        <v>365</v>
      </c>
      <c r="I11171" t="s">
        <v>66</v>
      </c>
    </row>
    <row r="11172" spans="1:9" x14ac:dyDescent="0.25">
      <c r="A11172">
        <v>20140724</v>
      </c>
      <c r="B11172" t="str">
        <f>"116628"</f>
        <v>116628</v>
      </c>
      <c r="C11172" t="str">
        <f>"87694"</f>
        <v>87694</v>
      </c>
      <c r="D11172" t="s">
        <v>2905</v>
      </c>
      <c r="E11172" s="1">
        <v>4725.42</v>
      </c>
      <c r="F11172">
        <v>20140722</v>
      </c>
      <c r="G11172" t="s">
        <v>340</v>
      </c>
      <c r="H11172" t="s">
        <v>525</v>
      </c>
      <c r="I11172" t="s">
        <v>21</v>
      </c>
    </row>
    <row r="11173" spans="1:9" x14ac:dyDescent="0.25">
      <c r="A11173">
        <v>20140724</v>
      </c>
      <c r="B11173" t="str">
        <f>"116629"</f>
        <v>116629</v>
      </c>
      <c r="C11173" t="str">
        <f>"19800"</f>
        <v>19800</v>
      </c>
      <c r="D11173" t="s">
        <v>1034</v>
      </c>
      <c r="E11173">
        <v>71.95</v>
      </c>
      <c r="F11173">
        <v>20140722</v>
      </c>
      <c r="G11173" t="s">
        <v>39</v>
      </c>
      <c r="H11173" t="s">
        <v>4055</v>
      </c>
      <c r="I11173" t="s">
        <v>38</v>
      </c>
    </row>
    <row r="11174" spans="1:9" x14ac:dyDescent="0.25">
      <c r="A11174">
        <v>20140724</v>
      </c>
      <c r="B11174" t="str">
        <f>"116630"</f>
        <v>116630</v>
      </c>
      <c r="C11174" t="str">
        <f>"87084"</f>
        <v>87084</v>
      </c>
      <c r="D11174" t="s">
        <v>1036</v>
      </c>
      <c r="E11174">
        <v>16.13</v>
      </c>
      <c r="F11174">
        <v>20140721</v>
      </c>
      <c r="G11174" t="s">
        <v>808</v>
      </c>
      <c r="H11174" t="s">
        <v>365</v>
      </c>
      <c r="I11174" t="s">
        <v>21</v>
      </c>
    </row>
    <row r="11175" spans="1:9" x14ac:dyDescent="0.25">
      <c r="A11175">
        <v>20140724</v>
      </c>
      <c r="B11175" t="str">
        <f>"116631"</f>
        <v>116631</v>
      </c>
      <c r="C11175" t="str">
        <f>"22200"</f>
        <v>22200</v>
      </c>
      <c r="D11175" t="s">
        <v>519</v>
      </c>
      <c r="E11175">
        <v>29.25</v>
      </c>
      <c r="F11175">
        <v>20140722</v>
      </c>
      <c r="G11175" t="s">
        <v>39</v>
      </c>
      <c r="H11175" t="s">
        <v>2635</v>
      </c>
      <c r="I11175" t="s">
        <v>38</v>
      </c>
    </row>
    <row r="11176" spans="1:9" x14ac:dyDescent="0.25">
      <c r="A11176">
        <v>20140724</v>
      </c>
      <c r="B11176" t="str">
        <f>"116632"</f>
        <v>116632</v>
      </c>
      <c r="C11176" t="str">
        <f>"85478"</f>
        <v>85478</v>
      </c>
      <c r="D11176" t="s">
        <v>4817</v>
      </c>
      <c r="E11176">
        <v>299.44</v>
      </c>
      <c r="F11176">
        <v>20140721</v>
      </c>
      <c r="G11176" t="s">
        <v>3743</v>
      </c>
      <c r="H11176" t="s">
        <v>4818</v>
      </c>
      <c r="I11176" t="s">
        <v>61</v>
      </c>
    </row>
    <row r="11177" spans="1:9" x14ac:dyDescent="0.25">
      <c r="A11177">
        <v>20140724</v>
      </c>
      <c r="B11177" t="str">
        <f>"116633"</f>
        <v>116633</v>
      </c>
      <c r="C11177" t="str">
        <f>"81026"</f>
        <v>81026</v>
      </c>
      <c r="D11177" t="s">
        <v>2923</v>
      </c>
      <c r="E11177" s="1">
        <v>1308.05</v>
      </c>
      <c r="F11177">
        <v>20140723</v>
      </c>
      <c r="G11177" t="s">
        <v>904</v>
      </c>
      <c r="H11177" t="s">
        <v>921</v>
      </c>
      <c r="I11177" t="s">
        <v>75</v>
      </c>
    </row>
    <row r="11178" spans="1:9" x14ac:dyDescent="0.25">
      <c r="A11178">
        <v>20140724</v>
      </c>
      <c r="B11178" t="str">
        <f>"116634"</f>
        <v>116634</v>
      </c>
      <c r="C11178" t="str">
        <f>"81871"</f>
        <v>81871</v>
      </c>
      <c r="D11178" t="s">
        <v>3914</v>
      </c>
      <c r="E11178">
        <v>147.53</v>
      </c>
      <c r="F11178">
        <v>20140723</v>
      </c>
      <c r="G11178" t="s">
        <v>1300</v>
      </c>
      <c r="H11178" t="s">
        <v>365</v>
      </c>
      <c r="I11178" t="s">
        <v>66</v>
      </c>
    </row>
    <row r="11179" spans="1:9" x14ac:dyDescent="0.25">
      <c r="A11179">
        <v>20140724</v>
      </c>
      <c r="B11179" t="str">
        <f>"116635"</f>
        <v>116635</v>
      </c>
      <c r="C11179" t="str">
        <f>"26990"</f>
        <v>26990</v>
      </c>
      <c r="D11179" t="s">
        <v>548</v>
      </c>
      <c r="E11179">
        <v>150</v>
      </c>
      <c r="F11179">
        <v>20140721</v>
      </c>
      <c r="G11179" t="s">
        <v>1033</v>
      </c>
      <c r="H11179" t="s">
        <v>1054</v>
      </c>
      <c r="I11179" t="s">
        <v>21</v>
      </c>
    </row>
    <row r="11180" spans="1:9" x14ac:dyDescent="0.25">
      <c r="A11180">
        <v>20140724</v>
      </c>
      <c r="B11180" t="str">
        <f>"116635"</f>
        <v>116635</v>
      </c>
      <c r="C11180" t="str">
        <f>"26990"</f>
        <v>26990</v>
      </c>
      <c r="D11180" t="s">
        <v>548</v>
      </c>
      <c r="E11180">
        <v>420</v>
      </c>
      <c r="F11180">
        <v>20140717</v>
      </c>
      <c r="G11180" t="s">
        <v>426</v>
      </c>
      <c r="H11180" t="s">
        <v>1054</v>
      </c>
      <c r="I11180" t="s">
        <v>21</v>
      </c>
    </row>
    <row r="11181" spans="1:9" x14ac:dyDescent="0.25">
      <c r="A11181">
        <v>20140724</v>
      </c>
      <c r="B11181" t="str">
        <f>"116635"</f>
        <v>116635</v>
      </c>
      <c r="C11181" t="str">
        <f>"26990"</f>
        <v>26990</v>
      </c>
      <c r="D11181" t="s">
        <v>548</v>
      </c>
      <c r="E11181">
        <v>720</v>
      </c>
      <c r="F11181">
        <v>20140717</v>
      </c>
      <c r="G11181" t="s">
        <v>426</v>
      </c>
      <c r="H11181" t="s">
        <v>1054</v>
      </c>
      <c r="I11181" t="s">
        <v>21</v>
      </c>
    </row>
    <row r="11182" spans="1:9" x14ac:dyDescent="0.25">
      <c r="A11182">
        <v>20140724</v>
      </c>
      <c r="B11182" t="str">
        <f>"116635"</f>
        <v>116635</v>
      </c>
      <c r="C11182" t="str">
        <f>"26990"</f>
        <v>26990</v>
      </c>
      <c r="D11182" t="s">
        <v>548</v>
      </c>
      <c r="E11182">
        <v>60</v>
      </c>
      <c r="F11182">
        <v>20140721</v>
      </c>
      <c r="G11182" t="s">
        <v>426</v>
      </c>
      <c r="H11182" t="s">
        <v>1054</v>
      </c>
      <c r="I11182" t="s">
        <v>21</v>
      </c>
    </row>
    <row r="11183" spans="1:9" x14ac:dyDescent="0.25">
      <c r="A11183">
        <v>20140724</v>
      </c>
      <c r="B11183" t="str">
        <f>"116636"</f>
        <v>116636</v>
      </c>
      <c r="C11183" t="str">
        <f>"81030"</f>
        <v>81030</v>
      </c>
      <c r="D11183" t="s">
        <v>4819</v>
      </c>
      <c r="E11183">
        <v>350</v>
      </c>
      <c r="F11183">
        <v>20140721</v>
      </c>
      <c r="G11183" t="s">
        <v>2354</v>
      </c>
      <c r="H11183" t="s">
        <v>954</v>
      </c>
      <c r="I11183" t="s">
        <v>21</v>
      </c>
    </row>
    <row r="11184" spans="1:9" x14ac:dyDescent="0.25">
      <c r="A11184">
        <v>20140724</v>
      </c>
      <c r="B11184" t="str">
        <f>"116636"</f>
        <v>116636</v>
      </c>
      <c r="C11184" t="str">
        <f>"81030"</f>
        <v>81030</v>
      </c>
      <c r="D11184" t="s">
        <v>4819</v>
      </c>
      <c r="E11184">
        <v>350</v>
      </c>
      <c r="F11184">
        <v>20140721</v>
      </c>
      <c r="G11184" t="s">
        <v>2354</v>
      </c>
      <c r="H11184" t="s">
        <v>954</v>
      </c>
      <c r="I11184" t="s">
        <v>21</v>
      </c>
    </row>
    <row r="11185" spans="1:9" x14ac:dyDescent="0.25">
      <c r="A11185">
        <v>20140724</v>
      </c>
      <c r="B11185" t="str">
        <f>"116636"</f>
        <v>116636</v>
      </c>
      <c r="C11185" t="str">
        <f>"81030"</f>
        <v>81030</v>
      </c>
      <c r="D11185" t="s">
        <v>4819</v>
      </c>
      <c r="E11185">
        <v>350</v>
      </c>
      <c r="F11185">
        <v>20140721</v>
      </c>
      <c r="G11185" t="s">
        <v>2354</v>
      </c>
      <c r="H11185" t="s">
        <v>954</v>
      </c>
      <c r="I11185" t="s">
        <v>21</v>
      </c>
    </row>
    <row r="11186" spans="1:9" x14ac:dyDescent="0.25">
      <c r="A11186">
        <v>20140724</v>
      </c>
      <c r="B11186" t="str">
        <f>"116637"</f>
        <v>116637</v>
      </c>
      <c r="C11186" t="str">
        <f>"86945"</f>
        <v>86945</v>
      </c>
      <c r="D11186" t="s">
        <v>1589</v>
      </c>
      <c r="E11186">
        <v>609.05999999999995</v>
      </c>
      <c r="F11186">
        <v>20140721</v>
      </c>
      <c r="G11186" t="s">
        <v>1145</v>
      </c>
      <c r="H11186" t="s">
        <v>365</v>
      </c>
      <c r="I11186" t="s">
        <v>73</v>
      </c>
    </row>
    <row r="11187" spans="1:9" x14ac:dyDescent="0.25">
      <c r="A11187">
        <v>20140724</v>
      </c>
      <c r="B11187" t="str">
        <f>"116638"</f>
        <v>116638</v>
      </c>
      <c r="C11187" t="str">
        <f>"30000"</f>
        <v>30000</v>
      </c>
      <c r="D11187" t="s">
        <v>556</v>
      </c>
      <c r="E11187">
        <v>674.73</v>
      </c>
      <c r="F11187">
        <v>20140723</v>
      </c>
      <c r="G11187" t="s">
        <v>935</v>
      </c>
      <c r="H11187" t="s">
        <v>414</v>
      </c>
      <c r="I11187" t="s">
        <v>21</v>
      </c>
    </row>
    <row r="11188" spans="1:9" x14ac:dyDescent="0.25">
      <c r="A11188">
        <v>20140724</v>
      </c>
      <c r="B11188" t="str">
        <f>"116638"</f>
        <v>116638</v>
      </c>
      <c r="C11188" t="str">
        <f>"30000"</f>
        <v>30000</v>
      </c>
      <c r="D11188" t="s">
        <v>556</v>
      </c>
      <c r="E11188">
        <v>192.61</v>
      </c>
      <c r="F11188">
        <v>20140722</v>
      </c>
      <c r="G11188" t="s">
        <v>840</v>
      </c>
      <c r="H11188" t="s">
        <v>839</v>
      </c>
      <c r="I11188" t="s">
        <v>21</v>
      </c>
    </row>
    <row r="11189" spans="1:9" x14ac:dyDescent="0.25">
      <c r="A11189">
        <v>20140724</v>
      </c>
      <c r="B11189" t="str">
        <f>"116638"</f>
        <v>116638</v>
      </c>
      <c r="C11189" t="str">
        <f>"30000"</f>
        <v>30000</v>
      </c>
      <c r="D11189" t="s">
        <v>556</v>
      </c>
      <c r="E11189">
        <v>131.19999999999999</v>
      </c>
      <c r="F11189">
        <v>20140723</v>
      </c>
      <c r="G11189" t="s">
        <v>119</v>
      </c>
      <c r="H11189" t="s">
        <v>839</v>
      </c>
      <c r="I11189" t="s">
        <v>38</v>
      </c>
    </row>
    <row r="11190" spans="1:9" x14ac:dyDescent="0.25">
      <c r="A11190">
        <v>20140724</v>
      </c>
      <c r="B11190" t="str">
        <f>"116639"</f>
        <v>116639</v>
      </c>
      <c r="C11190" t="str">
        <f>"87811"</f>
        <v>87811</v>
      </c>
      <c r="D11190" t="s">
        <v>4073</v>
      </c>
      <c r="E11190" s="1">
        <v>9043.09</v>
      </c>
      <c r="F11190">
        <v>20140717</v>
      </c>
      <c r="G11190" t="s">
        <v>4820</v>
      </c>
      <c r="H11190" t="s">
        <v>839</v>
      </c>
      <c r="I11190" t="s">
        <v>38</v>
      </c>
    </row>
    <row r="11191" spans="1:9" x14ac:dyDescent="0.25">
      <c r="A11191">
        <v>20140724</v>
      </c>
      <c r="B11191" t="str">
        <f>"116640"</f>
        <v>116640</v>
      </c>
      <c r="C11191" t="str">
        <f>"86118"</f>
        <v>86118</v>
      </c>
      <c r="D11191" t="s">
        <v>4821</v>
      </c>
      <c r="E11191">
        <v>303.37</v>
      </c>
      <c r="F11191">
        <v>20140721</v>
      </c>
      <c r="G11191" t="s">
        <v>1120</v>
      </c>
      <c r="H11191" t="s">
        <v>365</v>
      </c>
      <c r="I11191" t="s">
        <v>66</v>
      </c>
    </row>
    <row r="11192" spans="1:9" x14ac:dyDescent="0.25">
      <c r="A11192">
        <v>20140724</v>
      </c>
      <c r="B11192" t="str">
        <f>"116641"</f>
        <v>116641</v>
      </c>
      <c r="C11192" t="str">
        <f>"87380"</f>
        <v>87380</v>
      </c>
      <c r="D11192" t="s">
        <v>355</v>
      </c>
      <c r="E11192">
        <v>64.8</v>
      </c>
      <c r="F11192">
        <v>20140723</v>
      </c>
      <c r="G11192" t="s">
        <v>789</v>
      </c>
      <c r="H11192" t="s">
        <v>365</v>
      </c>
      <c r="I11192" t="s">
        <v>61</v>
      </c>
    </row>
    <row r="11193" spans="1:9" x14ac:dyDescent="0.25">
      <c r="A11193">
        <v>20140724</v>
      </c>
      <c r="B11193" t="str">
        <f>"116642"</f>
        <v>116642</v>
      </c>
      <c r="C11193" t="str">
        <f>"87914"</f>
        <v>87914</v>
      </c>
      <c r="D11193" t="s">
        <v>4822</v>
      </c>
      <c r="E11193" s="1">
        <v>6000</v>
      </c>
      <c r="F11193">
        <v>20140722</v>
      </c>
      <c r="G11193" t="s">
        <v>511</v>
      </c>
      <c r="H11193" t="s">
        <v>4823</v>
      </c>
      <c r="I11193" t="s">
        <v>21</v>
      </c>
    </row>
    <row r="11194" spans="1:9" x14ac:dyDescent="0.25">
      <c r="A11194">
        <v>20140724</v>
      </c>
      <c r="B11194" t="str">
        <f>"116642"</f>
        <v>116642</v>
      </c>
      <c r="C11194" t="str">
        <f>"87914"</f>
        <v>87914</v>
      </c>
      <c r="D11194" t="s">
        <v>4822</v>
      </c>
      <c r="E11194" s="1">
        <v>3000</v>
      </c>
      <c r="F11194">
        <v>20140722</v>
      </c>
      <c r="G11194" t="s">
        <v>621</v>
      </c>
      <c r="H11194" t="s">
        <v>4824</v>
      </c>
      <c r="I11194" t="s">
        <v>21</v>
      </c>
    </row>
    <row r="11195" spans="1:9" x14ac:dyDescent="0.25">
      <c r="A11195">
        <v>20140724</v>
      </c>
      <c r="B11195" t="str">
        <f>"116643"</f>
        <v>116643</v>
      </c>
      <c r="C11195" t="str">
        <f>"83692"</f>
        <v>83692</v>
      </c>
      <c r="D11195" t="s">
        <v>4825</v>
      </c>
      <c r="E11195">
        <v>50.58</v>
      </c>
      <c r="F11195">
        <v>20140723</v>
      </c>
      <c r="G11195" t="s">
        <v>1120</v>
      </c>
      <c r="H11195" t="s">
        <v>365</v>
      </c>
      <c r="I11195" t="s">
        <v>66</v>
      </c>
    </row>
    <row r="11196" spans="1:9" x14ac:dyDescent="0.25">
      <c r="A11196">
        <v>20140724</v>
      </c>
      <c r="B11196" t="str">
        <f>"116644"</f>
        <v>116644</v>
      </c>
      <c r="C11196" t="str">
        <f>"85866"</f>
        <v>85866</v>
      </c>
      <c r="D11196" t="s">
        <v>4826</v>
      </c>
      <c r="E11196">
        <v>125.22</v>
      </c>
      <c r="F11196">
        <v>20140721</v>
      </c>
      <c r="G11196" t="s">
        <v>926</v>
      </c>
      <c r="H11196" t="s">
        <v>354</v>
      </c>
      <c r="I11196" t="s">
        <v>21</v>
      </c>
    </row>
    <row r="11197" spans="1:9" x14ac:dyDescent="0.25">
      <c r="A11197">
        <v>20140724</v>
      </c>
      <c r="B11197" t="str">
        <f>"116645"</f>
        <v>116645</v>
      </c>
      <c r="C11197" t="str">
        <f>"40500"</f>
        <v>40500</v>
      </c>
      <c r="D11197" t="s">
        <v>4745</v>
      </c>
      <c r="E11197">
        <v>31.34</v>
      </c>
      <c r="F11197">
        <v>20140723</v>
      </c>
      <c r="G11197" t="s">
        <v>3250</v>
      </c>
      <c r="H11197" t="s">
        <v>365</v>
      </c>
      <c r="I11197" t="s">
        <v>21</v>
      </c>
    </row>
    <row r="11198" spans="1:9" x14ac:dyDescent="0.25">
      <c r="A11198">
        <v>20140724</v>
      </c>
      <c r="B11198" t="str">
        <f>"116646"</f>
        <v>116646</v>
      </c>
      <c r="C11198" t="str">
        <f>"85122"</f>
        <v>85122</v>
      </c>
      <c r="D11198" t="s">
        <v>1103</v>
      </c>
      <c r="E11198">
        <v>54.09</v>
      </c>
      <c r="F11198">
        <v>20140723</v>
      </c>
      <c r="G11198" t="s">
        <v>364</v>
      </c>
      <c r="H11198" t="s">
        <v>365</v>
      </c>
      <c r="I11198" t="s">
        <v>21</v>
      </c>
    </row>
    <row r="11199" spans="1:9" x14ac:dyDescent="0.25">
      <c r="A11199">
        <v>20140724</v>
      </c>
      <c r="B11199" t="str">
        <f>"116647"</f>
        <v>116647</v>
      </c>
      <c r="C11199" t="str">
        <f>"87312"</f>
        <v>87312</v>
      </c>
      <c r="D11199" t="s">
        <v>4827</v>
      </c>
      <c r="E11199" s="1">
        <v>5994</v>
      </c>
      <c r="F11199">
        <v>20140723</v>
      </c>
      <c r="G11199" t="s">
        <v>4828</v>
      </c>
      <c r="H11199" t="s">
        <v>4829</v>
      </c>
      <c r="I11199" t="s">
        <v>66</v>
      </c>
    </row>
    <row r="11200" spans="1:9" x14ac:dyDescent="0.25">
      <c r="A11200">
        <v>20140724</v>
      </c>
      <c r="B11200" t="str">
        <f>"116648"</f>
        <v>116648</v>
      </c>
      <c r="C11200" t="str">
        <f>"85789"</f>
        <v>85789</v>
      </c>
      <c r="D11200" t="s">
        <v>4478</v>
      </c>
      <c r="E11200">
        <v>302.08</v>
      </c>
      <c r="F11200">
        <v>20140722</v>
      </c>
      <c r="G11200" t="s">
        <v>442</v>
      </c>
      <c r="H11200" t="s">
        <v>365</v>
      </c>
      <c r="I11200" t="s">
        <v>66</v>
      </c>
    </row>
    <row r="11201" spans="1:9" x14ac:dyDescent="0.25">
      <c r="A11201">
        <v>20140724</v>
      </c>
      <c r="B11201" t="str">
        <f>"116649"</f>
        <v>116649</v>
      </c>
      <c r="C11201" t="str">
        <f>"87895"</f>
        <v>87895</v>
      </c>
      <c r="D11201" t="s">
        <v>4677</v>
      </c>
      <c r="E11201">
        <v>417</v>
      </c>
      <c r="F11201">
        <v>20140721</v>
      </c>
      <c r="G11201" t="s">
        <v>4425</v>
      </c>
      <c r="H11201" t="s">
        <v>1054</v>
      </c>
      <c r="I11201" t="s">
        <v>21</v>
      </c>
    </row>
    <row r="11202" spans="1:9" x14ac:dyDescent="0.25">
      <c r="A11202">
        <v>20140724</v>
      </c>
      <c r="B11202" t="str">
        <f>"116650"</f>
        <v>116650</v>
      </c>
      <c r="C11202" t="str">
        <f>"85984"</f>
        <v>85984</v>
      </c>
      <c r="D11202" t="s">
        <v>2013</v>
      </c>
      <c r="E11202">
        <v>5.12</v>
      </c>
      <c r="F11202">
        <v>20140722</v>
      </c>
      <c r="G11202" t="s">
        <v>426</v>
      </c>
      <c r="H11202" t="s">
        <v>968</v>
      </c>
      <c r="I11202" t="s">
        <v>21</v>
      </c>
    </row>
    <row r="11203" spans="1:9" x14ac:dyDescent="0.25">
      <c r="A11203">
        <v>20140724</v>
      </c>
      <c r="B11203" t="str">
        <f>"116651"</f>
        <v>116651</v>
      </c>
      <c r="C11203" t="str">
        <f>"85984"</f>
        <v>85984</v>
      </c>
      <c r="D11203" t="s">
        <v>2013</v>
      </c>
      <c r="E11203">
        <v>4.84</v>
      </c>
      <c r="F11203">
        <v>20140722</v>
      </c>
      <c r="G11203" t="s">
        <v>426</v>
      </c>
      <c r="H11203" t="s">
        <v>968</v>
      </c>
      <c r="I11203" t="s">
        <v>21</v>
      </c>
    </row>
    <row r="11204" spans="1:9" x14ac:dyDescent="0.25">
      <c r="A11204">
        <v>20140724</v>
      </c>
      <c r="B11204" t="str">
        <f>"116652"</f>
        <v>116652</v>
      </c>
      <c r="C11204" t="str">
        <f>"85984"</f>
        <v>85984</v>
      </c>
      <c r="D11204" t="s">
        <v>2013</v>
      </c>
      <c r="E11204">
        <v>3.48</v>
      </c>
      <c r="F11204">
        <v>20140722</v>
      </c>
      <c r="G11204" t="s">
        <v>426</v>
      </c>
      <c r="H11204" t="s">
        <v>968</v>
      </c>
      <c r="I11204" t="s">
        <v>21</v>
      </c>
    </row>
    <row r="11205" spans="1:9" x14ac:dyDescent="0.25">
      <c r="A11205">
        <v>20140724</v>
      </c>
      <c r="B11205" t="str">
        <f>"116653"</f>
        <v>116653</v>
      </c>
      <c r="C11205" t="str">
        <f>"82978"</f>
        <v>82978</v>
      </c>
      <c r="D11205" t="s">
        <v>4830</v>
      </c>
      <c r="E11205">
        <v>48.78</v>
      </c>
      <c r="F11205">
        <v>20140723</v>
      </c>
      <c r="G11205" t="s">
        <v>840</v>
      </c>
      <c r="H11205" t="s">
        <v>839</v>
      </c>
      <c r="I11205" t="s">
        <v>21</v>
      </c>
    </row>
    <row r="11206" spans="1:9" x14ac:dyDescent="0.25">
      <c r="A11206">
        <v>20140724</v>
      </c>
      <c r="B11206" t="str">
        <f>"116654"</f>
        <v>116654</v>
      </c>
      <c r="C11206" t="str">
        <f>"55795"</f>
        <v>55795</v>
      </c>
      <c r="D11206" t="s">
        <v>931</v>
      </c>
      <c r="E11206">
        <v>83.38</v>
      </c>
      <c r="F11206">
        <v>20140721</v>
      </c>
      <c r="G11206" t="s">
        <v>810</v>
      </c>
      <c r="H11206" t="s">
        <v>365</v>
      </c>
      <c r="I11206" t="s">
        <v>66</v>
      </c>
    </row>
    <row r="11207" spans="1:9" x14ac:dyDescent="0.25">
      <c r="A11207">
        <v>20140724</v>
      </c>
      <c r="B11207" t="str">
        <f>"116654"</f>
        <v>116654</v>
      </c>
      <c r="C11207" t="str">
        <f>"55795"</f>
        <v>55795</v>
      </c>
      <c r="D11207" t="s">
        <v>931</v>
      </c>
      <c r="E11207">
        <v>290.45999999999998</v>
      </c>
      <c r="F11207">
        <v>20140723</v>
      </c>
      <c r="G11207" t="s">
        <v>1145</v>
      </c>
      <c r="H11207" t="s">
        <v>365</v>
      </c>
      <c r="I11207" t="s">
        <v>73</v>
      </c>
    </row>
    <row r="11208" spans="1:9" x14ac:dyDescent="0.25">
      <c r="A11208">
        <v>20140724</v>
      </c>
      <c r="B11208" t="str">
        <f>"116655"</f>
        <v>116655</v>
      </c>
      <c r="C11208" t="str">
        <f>"81079"</f>
        <v>81079</v>
      </c>
      <c r="D11208" t="s">
        <v>4831</v>
      </c>
      <c r="E11208">
        <v>145</v>
      </c>
      <c r="F11208">
        <v>20140721</v>
      </c>
      <c r="G11208" t="s">
        <v>2145</v>
      </c>
      <c r="H11208" t="s">
        <v>4832</v>
      </c>
      <c r="I11208" t="s">
        <v>21</v>
      </c>
    </row>
    <row r="11209" spans="1:9" x14ac:dyDescent="0.25">
      <c r="A11209">
        <v>20140724</v>
      </c>
      <c r="B11209" t="str">
        <f>"116656"</f>
        <v>116656</v>
      </c>
      <c r="C11209" t="str">
        <f>"82957"</f>
        <v>82957</v>
      </c>
      <c r="D11209" t="s">
        <v>1927</v>
      </c>
      <c r="E11209">
        <v>94.5</v>
      </c>
      <c r="F11209">
        <v>20140723</v>
      </c>
      <c r="G11209" t="s">
        <v>3771</v>
      </c>
      <c r="H11209" t="s">
        <v>1928</v>
      </c>
      <c r="I11209" t="s">
        <v>21</v>
      </c>
    </row>
    <row r="11210" spans="1:9" x14ac:dyDescent="0.25">
      <c r="A11210">
        <v>20140724</v>
      </c>
      <c r="B11210" t="str">
        <f>"116657"</f>
        <v>116657</v>
      </c>
      <c r="C11210" t="str">
        <f>"65430"</f>
        <v>65430</v>
      </c>
      <c r="D11210" t="s">
        <v>1518</v>
      </c>
      <c r="E11210">
        <v>89.24</v>
      </c>
      <c r="F11210">
        <v>20140722</v>
      </c>
      <c r="G11210" t="s">
        <v>413</v>
      </c>
      <c r="H11210" t="s">
        <v>414</v>
      </c>
      <c r="I11210" t="s">
        <v>21</v>
      </c>
    </row>
    <row r="11211" spans="1:9" x14ac:dyDescent="0.25">
      <c r="A11211">
        <v>20140724</v>
      </c>
      <c r="B11211" t="str">
        <f>"116657"</f>
        <v>116657</v>
      </c>
      <c r="C11211" t="str">
        <f>"65430"</f>
        <v>65430</v>
      </c>
      <c r="D11211" t="s">
        <v>1518</v>
      </c>
      <c r="E11211">
        <v>35.39</v>
      </c>
      <c r="F11211">
        <v>20140722</v>
      </c>
      <c r="G11211" t="s">
        <v>413</v>
      </c>
      <c r="H11211" t="s">
        <v>414</v>
      </c>
      <c r="I11211" t="s">
        <v>21</v>
      </c>
    </row>
    <row r="11212" spans="1:9" x14ac:dyDescent="0.25">
      <c r="A11212">
        <v>20140724</v>
      </c>
      <c r="B11212" t="str">
        <f>"116658"</f>
        <v>116658</v>
      </c>
      <c r="C11212" t="str">
        <f>"70665"</f>
        <v>70665</v>
      </c>
      <c r="D11212" t="s">
        <v>693</v>
      </c>
      <c r="E11212">
        <v>400</v>
      </c>
      <c r="F11212">
        <v>20140721</v>
      </c>
      <c r="G11212" t="s">
        <v>364</v>
      </c>
      <c r="H11212" t="s">
        <v>4167</v>
      </c>
      <c r="I11212" t="s">
        <v>21</v>
      </c>
    </row>
    <row r="11213" spans="1:9" x14ac:dyDescent="0.25">
      <c r="A11213">
        <v>20140724</v>
      </c>
      <c r="B11213" t="str">
        <f>"116659"</f>
        <v>116659</v>
      </c>
      <c r="C11213" t="str">
        <f>"70681"</f>
        <v>70681</v>
      </c>
      <c r="D11213" t="s">
        <v>3191</v>
      </c>
      <c r="E11213">
        <v>627</v>
      </c>
      <c r="F11213">
        <v>20140721</v>
      </c>
      <c r="G11213" t="s">
        <v>1145</v>
      </c>
      <c r="H11213" t="s">
        <v>1228</v>
      </c>
      <c r="I11213" t="s">
        <v>73</v>
      </c>
    </row>
    <row r="11214" spans="1:9" x14ac:dyDescent="0.25">
      <c r="A11214">
        <v>20140724</v>
      </c>
      <c r="B11214" t="str">
        <f>"116660"</f>
        <v>116660</v>
      </c>
      <c r="C11214" t="str">
        <f>"70680"</f>
        <v>70680</v>
      </c>
      <c r="D11214" t="s">
        <v>1314</v>
      </c>
      <c r="E11214">
        <v>80</v>
      </c>
      <c r="F11214">
        <v>20140722</v>
      </c>
      <c r="G11214" t="s">
        <v>145</v>
      </c>
      <c r="H11214" t="s">
        <v>388</v>
      </c>
      <c r="I11214" t="s">
        <v>38</v>
      </c>
    </row>
    <row r="11215" spans="1:9" x14ac:dyDescent="0.25">
      <c r="A11215">
        <v>20140724</v>
      </c>
      <c r="B11215" t="str">
        <f>"116661"</f>
        <v>116661</v>
      </c>
      <c r="C11215" t="str">
        <f>"70660"</f>
        <v>70660</v>
      </c>
      <c r="D11215" t="s">
        <v>1670</v>
      </c>
      <c r="E11215">
        <v>418.13</v>
      </c>
      <c r="F11215">
        <v>20140721</v>
      </c>
      <c r="G11215" t="s">
        <v>4833</v>
      </c>
      <c r="H11215" t="s">
        <v>4834</v>
      </c>
      <c r="I11215" t="s">
        <v>21</v>
      </c>
    </row>
    <row r="11216" spans="1:9" x14ac:dyDescent="0.25">
      <c r="A11216">
        <v>20140724</v>
      </c>
      <c r="B11216" t="str">
        <f>"116662"</f>
        <v>116662</v>
      </c>
      <c r="C11216" t="str">
        <f>"00332"</f>
        <v>00332</v>
      </c>
      <c r="D11216" t="s">
        <v>1160</v>
      </c>
      <c r="E11216">
        <v>35</v>
      </c>
      <c r="F11216">
        <v>20140721</v>
      </c>
      <c r="G11216" t="s">
        <v>367</v>
      </c>
      <c r="H11216" t="s">
        <v>1161</v>
      </c>
      <c r="I11216" t="s">
        <v>21</v>
      </c>
    </row>
    <row r="11217" spans="1:9" x14ac:dyDescent="0.25">
      <c r="A11217">
        <v>20140724</v>
      </c>
      <c r="B11217" t="str">
        <f>"116663"</f>
        <v>116663</v>
      </c>
      <c r="C11217" t="str">
        <f>"70765"</f>
        <v>70765</v>
      </c>
      <c r="D11217" t="s">
        <v>4036</v>
      </c>
      <c r="E11217" s="1">
        <v>1050</v>
      </c>
      <c r="F11217">
        <v>20140722</v>
      </c>
      <c r="G11217" t="s">
        <v>145</v>
      </c>
      <c r="H11217" t="s">
        <v>679</v>
      </c>
      <c r="I11217" t="s">
        <v>38</v>
      </c>
    </row>
    <row r="11218" spans="1:9" x14ac:dyDescent="0.25">
      <c r="A11218">
        <v>20140724</v>
      </c>
      <c r="B11218" t="str">
        <f>"116664"</f>
        <v>116664</v>
      </c>
      <c r="C11218" t="str">
        <f>"73500"</f>
        <v>73500</v>
      </c>
      <c r="D11218" t="s">
        <v>1822</v>
      </c>
      <c r="E11218" s="1">
        <v>5377.38</v>
      </c>
      <c r="F11218">
        <v>20140722</v>
      </c>
      <c r="G11218" t="s">
        <v>1823</v>
      </c>
      <c r="H11218" t="s">
        <v>1824</v>
      </c>
      <c r="I11218" t="s">
        <v>21</v>
      </c>
    </row>
    <row r="11219" spans="1:9" x14ac:dyDescent="0.25">
      <c r="A11219">
        <v>20140724</v>
      </c>
      <c r="B11219" t="str">
        <f>"116664"</f>
        <v>116664</v>
      </c>
      <c r="C11219" t="str">
        <f>"73500"</f>
        <v>73500</v>
      </c>
      <c r="D11219" t="s">
        <v>1822</v>
      </c>
      <c r="E11219">
        <v>29.45</v>
      </c>
      <c r="F11219">
        <v>20140722</v>
      </c>
      <c r="G11219" t="s">
        <v>1825</v>
      </c>
      <c r="H11219" t="s">
        <v>1824</v>
      </c>
      <c r="I11219" t="s">
        <v>12</v>
      </c>
    </row>
    <row r="11220" spans="1:9" x14ac:dyDescent="0.25">
      <c r="A11220">
        <v>20140724</v>
      </c>
      <c r="B11220" t="str">
        <f>"116665"</f>
        <v>116665</v>
      </c>
      <c r="C11220" t="str">
        <f>"87616"</f>
        <v>87616</v>
      </c>
      <c r="D11220" t="s">
        <v>711</v>
      </c>
      <c r="E11220">
        <v>810</v>
      </c>
      <c r="F11220">
        <v>20140721</v>
      </c>
      <c r="G11220" t="s">
        <v>367</v>
      </c>
      <c r="H11220" t="s">
        <v>3085</v>
      </c>
      <c r="I11220" t="s">
        <v>21</v>
      </c>
    </row>
    <row r="11221" spans="1:9" x14ac:dyDescent="0.25">
      <c r="A11221">
        <v>20140724</v>
      </c>
      <c r="B11221" t="str">
        <f>"116666"</f>
        <v>116666</v>
      </c>
      <c r="C11221" t="str">
        <f>"75581"</f>
        <v>75581</v>
      </c>
      <c r="D11221" t="s">
        <v>391</v>
      </c>
      <c r="E11221">
        <v>656.5</v>
      </c>
      <c r="F11221">
        <v>20140722</v>
      </c>
      <c r="G11221" t="s">
        <v>392</v>
      </c>
      <c r="H11221" t="s">
        <v>393</v>
      </c>
      <c r="I11221" t="s">
        <v>21</v>
      </c>
    </row>
    <row r="11222" spans="1:9" x14ac:dyDescent="0.25">
      <c r="A11222">
        <v>20140724</v>
      </c>
      <c r="B11222" t="str">
        <f>"116667"</f>
        <v>116667</v>
      </c>
      <c r="C11222" t="str">
        <f>"87602"</f>
        <v>87602</v>
      </c>
      <c r="D11222" t="s">
        <v>1691</v>
      </c>
      <c r="E11222" s="1">
        <v>6125</v>
      </c>
      <c r="F11222">
        <v>20140721</v>
      </c>
      <c r="G11222" t="s">
        <v>840</v>
      </c>
      <c r="H11222" t="s">
        <v>2782</v>
      </c>
      <c r="I11222" t="s">
        <v>21</v>
      </c>
    </row>
    <row r="11223" spans="1:9" x14ac:dyDescent="0.25">
      <c r="A11223">
        <v>20140724</v>
      </c>
      <c r="B11223" t="str">
        <f>"116667"</f>
        <v>116667</v>
      </c>
      <c r="C11223" t="str">
        <f>"87602"</f>
        <v>87602</v>
      </c>
      <c r="D11223" t="s">
        <v>1691</v>
      </c>
      <c r="E11223" s="1">
        <v>3250</v>
      </c>
      <c r="F11223">
        <v>20140722</v>
      </c>
      <c r="G11223" t="s">
        <v>1806</v>
      </c>
      <c r="H11223" t="s">
        <v>4835</v>
      </c>
      <c r="I11223" t="s">
        <v>21</v>
      </c>
    </row>
    <row r="11224" spans="1:9" x14ac:dyDescent="0.25">
      <c r="A11224">
        <v>20140724</v>
      </c>
      <c r="B11224" t="str">
        <f>"116668"</f>
        <v>116668</v>
      </c>
      <c r="C11224" t="str">
        <f>"87560"</f>
        <v>87560</v>
      </c>
      <c r="D11224" t="s">
        <v>2304</v>
      </c>
      <c r="E11224" s="1">
        <v>3000</v>
      </c>
      <c r="F11224">
        <v>20140723</v>
      </c>
      <c r="G11224" t="s">
        <v>1504</v>
      </c>
      <c r="H11224" t="s">
        <v>1692</v>
      </c>
      <c r="I11224" t="s">
        <v>21</v>
      </c>
    </row>
    <row r="11225" spans="1:9" x14ac:dyDescent="0.25">
      <c r="A11225">
        <v>20140724</v>
      </c>
      <c r="B11225" t="str">
        <f>"116669"</f>
        <v>116669</v>
      </c>
      <c r="C11225" t="str">
        <f>"76914"</f>
        <v>76914</v>
      </c>
      <c r="D11225" t="s">
        <v>2580</v>
      </c>
      <c r="E11225">
        <v>169</v>
      </c>
      <c r="F11225">
        <v>20140723</v>
      </c>
      <c r="G11225" t="s">
        <v>2495</v>
      </c>
      <c r="H11225" t="s">
        <v>365</v>
      </c>
      <c r="I11225" t="s">
        <v>21</v>
      </c>
    </row>
    <row r="11226" spans="1:9" x14ac:dyDescent="0.25">
      <c r="A11226">
        <v>20140724</v>
      </c>
      <c r="B11226" t="str">
        <f>"116670"</f>
        <v>116670</v>
      </c>
      <c r="C11226" t="str">
        <f>"83814"</f>
        <v>83814</v>
      </c>
      <c r="D11226" t="s">
        <v>3457</v>
      </c>
      <c r="E11226" s="1">
        <v>1190.28</v>
      </c>
      <c r="F11226">
        <v>20140722</v>
      </c>
      <c r="G11226" t="s">
        <v>4039</v>
      </c>
      <c r="H11226" t="s">
        <v>4106</v>
      </c>
      <c r="I11226" t="s">
        <v>608</v>
      </c>
    </row>
    <row r="11227" spans="1:9" x14ac:dyDescent="0.25">
      <c r="A11227">
        <v>20140724</v>
      </c>
      <c r="B11227" t="str">
        <f>"116670"</f>
        <v>116670</v>
      </c>
      <c r="C11227" t="str">
        <f>"83814"</f>
        <v>83814</v>
      </c>
      <c r="D11227" t="s">
        <v>3457</v>
      </c>
      <c r="E11227" s="1">
        <v>1190.28</v>
      </c>
      <c r="F11227">
        <v>20140722</v>
      </c>
      <c r="G11227" t="s">
        <v>4039</v>
      </c>
      <c r="H11227" t="s">
        <v>4106</v>
      </c>
      <c r="I11227" t="s">
        <v>608</v>
      </c>
    </row>
    <row r="11228" spans="1:9" x14ac:dyDescent="0.25">
      <c r="A11228">
        <v>20140724</v>
      </c>
      <c r="B11228" t="str">
        <f>"116671"</f>
        <v>116671</v>
      </c>
      <c r="C11228" t="str">
        <f>"79625"</f>
        <v>79625</v>
      </c>
      <c r="D11228" t="s">
        <v>1331</v>
      </c>
      <c r="E11228">
        <v>18.57</v>
      </c>
      <c r="F11228">
        <v>20140723</v>
      </c>
      <c r="G11228" t="s">
        <v>39</v>
      </c>
      <c r="H11228" t="s">
        <v>354</v>
      </c>
      <c r="I11228" t="s">
        <v>38</v>
      </c>
    </row>
    <row r="11229" spans="1:9" x14ac:dyDescent="0.25">
      <c r="A11229">
        <v>20140724</v>
      </c>
      <c r="B11229" t="str">
        <f>"116672"</f>
        <v>116672</v>
      </c>
      <c r="C11229" t="str">
        <f>"87915"</f>
        <v>87915</v>
      </c>
      <c r="D11229" t="s">
        <v>4836</v>
      </c>
      <c r="E11229">
        <v>858.86</v>
      </c>
      <c r="F11229">
        <v>20140723</v>
      </c>
      <c r="G11229" t="s">
        <v>4621</v>
      </c>
      <c r="H11229" t="s">
        <v>365</v>
      </c>
      <c r="I11229" t="s">
        <v>21</v>
      </c>
    </row>
    <row r="11230" spans="1:9" x14ac:dyDescent="0.25">
      <c r="A11230">
        <v>20140724</v>
      </c>
      <c r="B11230" t="str">
        <f>"116672"</f>
        <v>116672</v>
      </c>
      <c r="C11230" t="str">
        <f>"87915"</f>
        <v>87915</v>
      </c>
      <c r="D11230" t="s">
        <v>4836</v>
      </c>
      <c r="E11230">
        <v>-858.86</v>
      </c>
      <c r="F11230">
        <v>20140814</v>
      </c>
      <c r="G11230" t="s">
        <v>4621</v>
      </c>
      <c r="H11230" t="s">
        <v>4837</v>
      </c>
      <c r="I11230" t="s">
        <v>21</v>
      </c>
    </row>
    <row r="11231" spans="1:9" x14ac:dyDescent="0.25">
      <c r="A11231">
        <v>20140724</v>
      </c>
      <c r="B11231" t="str">
        <f>"116673"</f>
        <v>116673</v>
      </c>
      <c r="C11231" t="str">
        <f>"80825"</f>
        <v>80825</v>
      </c>
      <c r="D11231" t="s">
        <v>747</v>
      </c>
      <c r="E11231">
        <v>276.89999999999998</v>
      </c>
      <c r="F11231">
        <v>20140722</v>
      </c>
      <c r="G11231" t="s">
        <v>748</v>
      </c>
      <c r="H11231" t="s">
        <v>749</v>
      </c>
      <c r="I11231" t="s">
        <v>21</v>
      </c>
    </row>
    <row r="11232" spans="1:9" x14ac:dyDescent="0.25">
      <c r="A11232">
        <v>20140724</v>
      </c>
      <c r="B11232" t="str">
        <f>"116674"</f>
        <v>116674</v>
      </c>
      <c r="C11232" t="str">
        <f>"80835"</f>
        <v>80835</v>
      </c>
      <c r="D11232" t="s">
        <v>4838</v>
      </c>
      <c r="E11232">
        <v>300</v>
      </c>
      <c r="F11232">
        <v>20140723</v>
      </c>
      <c r="G11232" t="s">
        <v>200</v>
      </c>
      <c r="H11232" t="s">
        <v>553</v>
      </c>
      <c r="I11232" t="s">
        <v>38</v>
      </c>
    </row>
    <row r="11233" spans="1:9" x14ac:dyDescent="0.25">
      <c r="A11233">
        <v>20140724</v>
      </c>
      <c r="B11233" t="str">
        <f>"116675"</f>
        <v>116675</v>
      </c>
      <c r="C11233" t="str">
        <f>"80874"</f>
        <v>80874</v>
      </c>
      <c r="D11233" t="s">
        <v>1956</v>
      </c>
      <c r="E11233">
        <v>62.19</v>
      </c>
      <c r="F11233">
        <v>20140722</v>
      </c>
      <c r="G11233" t="s">
        <v>442</v>
      </c>
      <c r="H11233" t="s">
        <v>365</v>
      </c>
      <c r="I11233" t="s">
        <v>66</v>
      </c>
    </row>
    <row r="11234" spans="1:9" x14ac:dyDescent="0.25">
      <c r="A11234">
        <v>20140729</v>
      </c>
      <c r="B11234" t="str">
        <f t="shared" ref="B11234:B11265" si="644">"116676"</f>
        <v>116676</v>
      </c>
      <c r="C11234" t="str">
        <f t="shared" ref="C11234:C11265" si="645">"83878"</f>
        <v>83878</v>
      </c>
      <c r="D11234" t="s">
        <v>1016</v>
      </c>
      <c r="E11234">
        <v>238.13</v>
      </c>
      <c r="F11234">
        <v>20140728</v>
      </c>
      <c r="G11234" t="s">
        <v>1019</v>
      </c>
      <c r="H11234" t="s">
        <v>1018</v>
      </c>
      <c r="I11234" t="s">
        <v>131</v>
      </c>
    </row>
    <row r="11235" spans="1:9" x14ac:dyDescent="0.25">
      <c r="A11235">
        <v>20140729</v>
      </c>
      <c r="B11235" t="str">
        <f t="shared" si="644"/>
        <v>116676</v>
      </c>
      <c r="C11235" t="str">
        <f t="shared" si="645"/>
        <v>83878</v>
      </c>
      <c r="D11235" t="s">
        <v>1016</v>
      </c>
      <c r="E11235">
        <v>45.72</v>
      </c>
      <c r="F11235">
        <v>20140728</v>
      </c>
      <c r="G11235" t="s">
        <v>579</v>
      </c>
      <c r="H11235" t="s">
        <v>1018</v>
      </c>
      <c r="I11235" t="s">
        <v>21</v>
      </c>
    </row>
    <row r="11236" spans="1:9" x14ac:dyDescent="0.25">
      <c r="A11236">
        <v>20140729</v>
      </c>
      <c r="B11236" t="str">
        <f t="shared" si="644"/>
        <v>116676</v>
      </c>
      <c r="C11236" t="str">
        <f t="shared" si="645"/>
        <v>83878</v>
      </c>
      <c r="D11236" t="s">
        <v>1016</v>
      </c>
      <c r="E11236">
        <v>73.62</v>
      </c>
      <c r="F11236">
        <v>20140728</v>
      </c>
      <c r="G11236" t="s">
        <v>935</v>
      </c>
      <c r="H11236" t="s">
        <v>1018</v>
      </c>
      <c r="I11236" t="s">
        <v>21</v>
      </c>
    </row>
    <row r="11237" spans="1:9" x14ac:dyDescent="0.25">
      <c r="A11237">
        <v>20140729</v>
      </c>
      <c r="B11237" t="str">
        <f t="shared" si="644"/>
        <v>116676</v>
      </c>
      <c r="C11237" t="str">
        <f t="shared" si="645"/>
        <v>83878</v>
      </c>
      <c r="D11237" t="s">
        <v>1016</v>
      </c>
      <c r="E11237">
        <v>47.9</v>
      </c>
      <c r="F11237">
        <v>20140728</v>
      </c>
      <c r="G11237" t="s">
        <v>808</v>
      </c>
      <c r="H11237" t="s">
        <v>1018</v>
      </c>
      <c r="I11237" t="s">
        <v>21</v>
      </c>
    </row>
    <row r="11238" spans="1:9" x14ac:dyDescent="0.25">
      <c r="A11238">
        <v>20140729</v>
      </c>
      <c r="B11238" t="str">
        <f t="shared" si="644"/>
        <v>116676</v>
      </c>
      <c r="C11238" t="str">
        <f t="shared" si="645"/>
        <v>83878</v>
      </c>
      <c r="D11238" t="s">
        <v>1016</v>
      </c>
      <c r="E11238">
        <v>48.16</v>
      </c>
      <c r="F11238">
        <v>20140728</v>
      </c>
      <c r="G11238" t="s">
        <v>584</v>
      </c>
      <c r="H11238" t="s">
        <v>1018</v>
      </c>
      <c r="I11238" t="s">
        <v>21</v>
      </c>
    </row>
    <row r="11239" spans="1:9" x14ac:dyDescent="0.25">
      <c r="A11239">
        <v>20140729</v>
      </c>
      <c r="B11239" t="str">
        <f t="shared" si="644"/>
        <v>116676</v>
      </c>
      <c r="C11239" t="str">
        <f t="shared" si="645"/>
        <v>83878</v>
      </c>
      <c r="D11239" t="s">
        <v>1016</v>
      </c>
      <c r="E11239">
        <v>19</v>
      </c>
      <c r="F11239">
        <v>20140728</v>
      </c>
      <c r="G11239" t="s">
        <v>1165</v>
      </c>
      <c r="H11239" t="s">
        <v>1018</v>
      </c>
      <c r="I11239" t="s">
        <v>21</v>
      </c>
    </row>
    <row r="11240" spans="1:9" x14ac:dyDescent="0.25">
      <c r="A11240">
        <v>20140729</v>
      </c>
      <c r="B11240" t="str">
        <f t="shared" si="644"/>
        <v>116676</v>
      </c>
      <c r="C11240" t="str">
        <f t="shared" si="645"/>
        <v>83878</v>
      </c>
      <c r="D11240" t="s">
        <v>1016</v>
      </c>
      <c r="E11240" s="1">
        <v>1381.9</v>
      </c>
      <c r="F11240">
        <v>20140728</v>
      </c>
      <c r="G11240" t="s">
        <v>1329</v>
      </c>
      <c r="H11240" t="s">
        <v>1018</v>
      </c>
      <c r="I11240" t="s">
        <v>21</v>
      </c>
    </row>
    <row r="11241" spans="1:9" x14ac:dyDescent="0.25">
      <c r="A11241">
        <v>20140729</v>
      </c>
      <c r="B11241" t="str">
        <f t="shared" si="644"/>
        <v>116676</v>
      </c>
      <c r="C11241" t="str">
        <f t="shared" si="645"/>
        <v>83878</v>
      </c>
      <c r="D11241" t="s">
        <v>1016</v>
      </c>
      <c r="E11241">
        <v>108.79</v>
      </c>
      <c r="F11241">
        <v>20140728</v>
      </c>
      <c r="G11241" t="s">
        <v>496</v>
      </c>
      <c r="H11241" t="s">
        <v>1018</v>
      </c>
      <c r="I11241" t="s">
        <v>21</v>
      </c>
    </row>
    <row r="11242" spans="1:9" x14ac:dyDescent="0.25">
      <c r="A11242">
        <v>20140729</v>
      </c>
      <c r="B11242" t="str">
        <f t="shared" si="644"/>
        <v>116676</v>
      </c>
      <c r="C11242" t="str">
        <f t="shared" si="645"/>
        <v>83878</v>
      </c>
      <c r="D11242" t="s">
        <v>1016</v>
      </c>
      <c r="E11242">
        <v>242.36</v>
      </c>
      <c r="F11242">
        <v>20140728</v>
      </c>
      <c r="G11242" t="s">
        <v>585</v>
      </c>
      <c r="H11242" t="s">
        <v>1018</v>
      </c>
      <c r="I11242" t="s">
        <v>21</v>
      </c>
    </row>
    <row r="11243" spans="1:9" x14ac:dyDescent="0.25">
      <c r="A11243">
        <v>20140729</v>
      </c>
      <c r="B11243" t="str">
        <f t="shared" si="644"/>
        <v>116676</v>
      </c>
      <c r="C11243" t="str">
        <f t="shared" si="645"/>
        <v>83878</v>
      </c>
      <c r="D11243" t="s">
        <v>1016</v>
      </c>
      <c r="E11243">
        <v>147.63999999999999</v>
      </c>
      <c r="F11243">
        <v>20140728</v>
      </c>
      <c r="G11243" t="s">
        <v>837</v>
      </c>
      <c r="H11243" t="s">
        <v>1018</v>
      </c>
      <c r="I11243" t="s">
        <v>21</v>
      </c>
    </row>
    <row r="11244" spans="1:9" x14ac:dyDescent="0.25">
      <c r="A11244">
        <v>20140729</v>
      </c>
      <c r="B11244" t="str">
        <f t="shared" si="644"/>
        <v>116676</v>
      </c>
      <c r="C11244" t="str">
        <f t="shared" si="645"/>
        <v>83878</v>
      </c>
      <c r="D11244" t="s">
        <v>1016</v>
      </c>
      <c r="E11244">
        <v>325</v>
      </c>
      <c r="F11244">
        <v>20140728</v>
      </c>
      <c r="G11244" t="s">
        <v>1026</v>
      </c>
      <c r="H11244" t="s">
        <v>1018</v>
      </c>
      <c r="I11244" t="s">
        <v>21</v>
      </c>
    </row>
    <row r="11245" spans="1:9" x14ac:dyDescent="0.25">
      <c r="A11245">
        <v>20140729</v>
      </c>
      <c r="B11245" t="str">
        <f t="shared" si="644"/>
        <v>116676</v>
      </c>
      <c r="C11245" t="str">
        <f t="shared" si="645"/>
        <v>83878</v>
      </c>
      <c r="D11245" t="s">
        <v>1016</v>
      </c>
      <c r="E11245" s="1">
        <v>2275</v>
      </c>
      <c r="F11245">
        <v>20140728</v>
      </c>
      <c r="G11245" t="s">
        <v>926</v>
      </c>
      <c r="H11245" t="s">
        <v>1018</v>
      </c>
      <c r="I11245" t="s">
        <v>21</v>
      </c>
    </row>
    <row r="11246" spans="1:9" x14ac:dyDescent="0.25">
      <c r="A11246">
        <v>20140729</v>
      </c>
      <c r="B11246" t="str">
        <f t="shared" si="644"/>
        <v>116676</v>
      </c>
      <c r="C11246" t="str">
        <f t="shared" si="645"/>
        <v>83878</v>
      </c>
      <c r="D11246" t="s">
        <v>1016</v>
      </c>
      <c r="E11246">
        <v>9.99</v>
      </c>
      <c r="F11246">
        <v>20140728</v>
      </c>
      <c r="G11246" t="s">
        <v>975</v>
      </c>
      <c r="H11246" t="s">
        <v>1018</v>
      </c>
      <c r="I11246" t="s">
        <v>21</v>
      </c>
    </row>
    <row r="11247" spans="1:9" x14ac:dyDescent="0.25">
      <c r="A11247">
        <v>20140729</v>
      </c>
      <c r="B11247" t="str">
        <f t="shared" si="644"/>
        <v>116676</v>
      </c>
      <c r="C11247" t="str">
        <f t="shared" si="645"/>
        <v>83878</v>
      </c>
      <c r="D11247" t="s">
        <v>1016</v>
      </c>
      <c r="E11247">
        <v>54.58</v>
      </c>
      <c r="F11247">
        <v>20140728</v>
      </c>
      <c r="G11247" t="s">
        <v>367</v>
      </c>
      <c r="H11247" t="s">
        <v>1018</v>
      </c>
      <c r="I11247" t="s">
        <v>21</v>
      </c>
    </row>
    <row r="11248" spans="1:9" x14ac:dyDescent="0.25">
      <c r="A11248">
        <v>20140729</v>
      </c>
      <c r="B11248" t="str">
        <f t="shared" si="644"/>
        <v>116676</v>
      </c>
      <c r="C11248" t="str">
        <f t="shared" si="645"/>
        <v>83878</v>
      </c>
      <c r="D11248" t="s">
        <v>1016</v>
      </c>
      <c r="E11248">
        <v>47.01</v>
      </c>
      <c r="F11248">
        <v>20140728</v>
      </c>
      <c r="G11248" t="s">
        <v>367</v>
      </c>
      <c r="H11248" t="s">
        <v>1018</v>
      </c>
      <c r="I11248" t="s">
        <v>21</v>
      </c>
    </row>
    <row r="11249" spans="1:9" x14ac:dyDescent="0.25">
      <c r="A11249">
        <v>20140729</v>
      </c>
      <c r="B11249" t="str">
        <f t="shared" si="644"/>
        <v>116676</v>
      </c>
      <c r="C11249" t="str">
        <f t="shared" si="645"/>
        <v>83878</v>
      </c>
      <c r="D11249" t="s">
        <v>1016</v>
      </c>
      <c r="E11249">
        <v>349.8</v>
      </c>
      <c r="F11249">
        <v>20140728</v>
      </c>
      <c r="G11249" t="s">
        <v>413</v>
      </c>
      <c r="H11249" t="s">
        <v>1018</v>
      </c>
      <c r="I11249" t="s">
        <v>21</v>
      </c>
    </row>
    <row r="11250" spans="1:9" x14ac:dyDescent="0.25">
      <c r="A11250">
        <v>20140729</v>
      </c>
      <c r="B11250" t="str">
        <f t="shared" si="644"/>
        <v>116676</v>
      </c>
      <c r="C11250" t="str">
        <f t="shared" si="645"/>
        <v>83878</v>
      </c>
      <c r="D11250" t="s">
        <v>1016</v>
      </c>
      <c r="E11250">
        <v>862.7</v>
      </c>
      <c r="F11250">
        <v>20140728</v>
      </c>
      <c r="G11250" t="s">
        <v>1222</v>
      </c>
      <c r="H11250" t="s">
        <v>1018</v>
      </c>
      <c r="I11250" t="s">
        <v>21</v>
      </c>
    </row>
    <row r="11251" spans="1:9" x14ac:dyDescent="0.25">
      <c r="A11251">
        <v>20140729</v>
      </c>
      <c r="B11251" t="str">
        <f t="shared" si="644"/>
        <v>116676</v>
      </c>
      <c r="C11251" t="str">
        <f t="shared" si="645"/>
        <v>83878</v>
      </c>
      <c r="D11251" t="s">
        <v>1016</v>
      </c>
      <c r="E11251">
        <v>256</v>
      </c>
      <c r="F11251">
        <v>20140728</v>
      </c>
      <c r="G11251" t="s">
        <v>387</v>
      </c>
      <c r="H11251" t="s">
        <v>1018</v>
      </c>
      <c r="I11251" t="s">
        <v>21</v>
      </c>
    </row>
    <row r="11252" spans="1:9" x14ac:dyDescent="0.25">
      <c r="A11252">
        <v>20140729</v>
      </c>
      <c r="B11252" t="str">
        <f t="shared" si="644"/>
        <v>116676</v>
      </c>
      <c r="C11252" t="str">
        <f t="shared" si="645"/>
        <v>83878</v>
      </c>
      <c r="D11252" t="s">
        <v>1016</v>
      </c>
      <c r="E11252" s="1">
        <v>2860.42</v>
      </c>
      <c r="F11252">
        <v>20140728</v>
      </c>
      <c r="G11252" t="s">
        <v>840</v>
      </c>
      <c r="H11252" t="s">
        <v>1018</v>
      </c>
      <c r="I11252" t="s">
        <v>21</v>
      </c>
    </row>
    <row r="11253" spans="1:9" x14ac:dyDescent="0.25">
      <c r="A11253">
        <v>20140729</v>
      </c>
      <c r="B11253" t="str">
        <f t="shared" si="644"/>
        <v>116676</v>
      </c>
      <c r="C11253" t="str">
        <f t="shared" si="645"/>
        <v>83878</v>
      </c>
      <c r="D11253" t="s">
        <v>1016</v>
      </c>
      <c r="E11253">
        <v>260.64999999999998</v>
      </c>
      <c r="F11253">
        <v>20140728</v>
      </c>
      <c r="G11253" t="s">
        <v>1806</v>
      </c>
      <c r="H11253" t="s">
        <v>1018</v>
      </c>
      <c r="I11253" t="s">
        <v>21</v>
      </c>
    </row>
    <row r="11254" spans="1:9" x14ac:dyDescent="0.25">
      <c r="A11254">
        <v>20140729</v>
      </c>
      <c r="B11254" t="str">
        <f t="shared" si="644"/>
        <v>116676</v>
      </c>
      <c r="C11254" t="str">
        <f t="shared" si="645"/>
        <v>83878</v>
      </c>
      <c r="D11254" t="s">
        <v>1016</v>
      </c>
      <c r="E11254" s="1">
        <v>1792.8</v>
      </c>
      <c r="F11254">
        <v>20140728</v>
      </c>
      <c r="G11254" t="s">
        <v>1720</v>
      </c>
      <c r="H11254" t="s">
        <v>1018</v>
      </c>
      <c r="I11254" t="s">
        <v>21</v>
      </c>
    </row>
    <row r="11255" spans="1:9" x14ac:dyDescent="0.25">
      <c r="A11255">
        <v>20140729</v>
      </c>
      <c r="B11255" t="str">
        <f t="shared" si="644"/>
        <v>116676</v>
      </c>
      <c r="C11255" t="str">
        <f t="shared" si="645"/>
        <v>83878</v>
      </c>
      <c r="D11255" t="s">
        <v>1016</v>
      </c>
      <c r="E11255">
        <v>49.84</v>
      </c>
      <c r="F11255">
        <v>20140728</v>
      </c>
      <c r="G11255" t="s">
        <v>3820</v>
      </c>
      <c r="H11255" t="s">
        <v>1018</v>
      </c>
      <c r="I11255" t="s">
        <v>21</v>
      </c>
    </row>
    <row r="11256" spans="1:9" x14ac:dyDescent="0.25">
      <c r="A11256">
        <v>20140729</v>
      </c>
      <c r="B11256" t="str">
        <f t="shared" si="644"/>
        <v>116676</v>
      </c>
      <c r="C11256" t="str">
        <f t="shared" si="645"/>
        <v>83878</v>
      </c>
      <c r="D11256" t="s">
        <v>1016</v>
      </c>
      <c r="E11256">
        <v>99.44</v>
      </c>
      <c r="F11256">
        <v>20140728</v>
      </c>
      <c r="G11256" t="s">
        <v>1247</v>
      </c>
      <c r="H11256" t="s">
        <v>1018</v>
      </c>
      <c r="I11256" t="s">
        <v>66</v>
      </c>
    </row>
    <row r="11257" spans="1:9" x14ac:dyDescent="0.25">
      <c r="A11257">
        <v>20140729</v>
      </c>
      <c r="B11257" t="str">
        <f t="shared" si="644"/>
        <v>116676</v>
      </c>
      <c r="C11257" t="str">
        <f t="shared" si="645"/>
        <v>83878</v>
      </c>
      <c r="D11257" t="s">
        <v>1016</v>
      </c>
      <c r="E11257">
        <v>91.95</v>
      </c>
      <c r="F11257">
        <v>20140728</v>
      </c>
      <c r="G11257" t="s">
        <v>1247</v>
      </c>
      <c r="H11257" t="s">
        <v>1018</v>
      </c>
      <c r="I11257" t="s">
        <v>66</v>
      </c>
    </row>
    <row r="11258" spans="1:9" x14ac:dyDescent="0.25">
      <c r="A11258">
        <v>20140729</v>
      </c>
      <c r="B11258" t="str">
        <f t="shared" si="644"/>
        <v>116676</v>
      </c>
      <c r="C11258" t="str">
        <f t="shared" si="645"/>
        <v>83878</v>
      </c>
      <c r="D11258" t="s">
        <v>1016</v>
      </c>
      <c r="E11258">
        <v>555</v>
      </c>
      <c r="F11258">
        <v>20140728</v>
      </c>
      <c r="G11258" t="s">
        <v>1722</v>
      </c>
      <c r="H11258" t="s">
        <v>1018</v>
      </c>
      <c r="I11258" t="s">
        <v>66</v>
      </c>
    </row>
    <row r="11259" spans="1:9" x14ac:dyDescent="0.25">
      <c r="A11259">
        <v>20140729</v>
      </c>
      <c r="B11259" t="str">
        <f t="shared" si="644"/>
        <v>116676</v>
      </c>
      <c r="C11259" t="str">
        <f t="shared" si="645"/>
        <v>83878</v>
      </c>
      <c r="D11259" t="s">
        <v>1016</v>
      </c>
      <c r="E11259">
        <v>277.07</v>
      </c>
      <c r="F11259">
        <v>20140728</v>
      </c>
      <c r="G11259" t="s">
        <v>810</v>
      </c>
      <c r="H11259" t="s">
        <v>1018</v>
      </c>
      <c r="I11259" t="s">
        <v>66</v>
      </c>
    </row>
    <row r="11260" spans="1:9" x14ac:dyDescent="0.25">
      <c r="A11260">
        <v>20140729</v>
      </c>
      <c r="B11260" t="str">
        <f t="shared" si="644"/>
        <v>116676</v>
      </c>
      <c r="C11260" t="str">
        <f t="shared" si="645"/>
        <v>83878</v>
      </c>
      <c r="D11260" t="s">
        <v>1016</v>
      </c>
      <c r="E11260">
        <v>366.09</v>
      </c>
      <c r="F11260">
        <v>20140728</v>
      </c>
      <c r="G11260" t="s">
        <v>1300</v>
      </c>
      <c r="H11260" t="s">
        <v>1018</v>
      </c>
      <c r="I11260" t="s">
        <v>66</v>
      </c>
    </row>
    <row r="11261" spans="1:9" x14ac:dyDescent="0.25">
      <c r="A11261">
        <v>20140729</v>
      </c>
      <c r="B11261" t="str">
        <f t="shared" si="644"/>
        <v>116676</v>
      </c>
      <c r="C11261" t="str">
        <f t="shared" si="645"/>
        <v>83878</v>
      </c>
      <c r="D11261" t="s">
        <v>1016</v>
      </c>
      <c r="E11261">
        <v>467.04</v>
      </c>
      <c r="F11261">
        <v>20140728</v>
      </c>
      <c r="G11261" t="s">
        <v>1145</v>
      </c>
      <c r="H11261" t="s">
        <v>1018</v>
      </c>
      <c r="I11261" t="s">
        <v>73</v>
      </c>
    </row>
    <row r="11262" spans="1:9" x14ac:dyDescent="0.25">
      <c r="A11262">
        <v>20140729</v>
      </c>
      <c r="B11262" t="str">
        <f t="shared" si="644"/>
        <v>116676</v>
      </c>
      <c r="C11262" t="str">
        <f t="shared" si="645"/>
        <v>83878</v>
      </c>
      <c r="D11262" t="s">
        <v>1016</v>
      </c>
      <c r="E11262">
        <v>175.84</v>
      </c>
      <c r="F11262">
        <v>20140728</v>
      </c>
      <c r="G11262" t="s">
        <v>3849</v>
      </c>
      <c r="H11262" t="s">
        <v>1018</v>
      </c>
      <c r="I11262" t="s">
        <v>233</v>
      </c>
    </row>
    <row r="11263" spans="1:9" x14ac:dyDescent="0.25">
      <c r="A11263">
        <v>20140729</v>
      </c>
      <c r="B11263" t="str">
        <f t="shared" si="644"/>
        <v>116676</v>
      </c>
      <c r="C11263" t="str">
        <f t="shared" si="645"/>
        <v>83878</v>
      </c>
      <c r="D11263" t="s">
        <v>1016</v>
      </c>
      <c r="E11263">
        <v>129.26</v>
      </c>
      <c r="F11263">
        <v>20140728</v>
      </c>
      <c r="G11263" t="s">
        <v>240</v>
      </c>
      <c r="H11263" t="s">
        <v>1018</v>
      </c>
      <c r="I11263" t="s">
        <v>38</v>
      </c>
    </row>
    <row r="11264" spans="1:9" x14ac:dyDescent="0.25">
      <c r="A11264">
        <v>20140729</v>
      </c>
      <c r="B11264" t="str">
        <f t="shared" si="644"/>
        <v>116676</v>
      </c>
      <c r="C11264" t="str">
        <f t="shared" si="645"/>
        <v>83878</v>
      </c>
      <c r="D11264" t="s">
        <v>1016</v>
      </c>
      <c r="E11264">
        <v>838.21</v>
      </c>
      <c r="F11264">
        <v>20140728</v>
      </c>
      <c r="G11264" t="s">
        <v>150</v>
      </c>
      <c r="H11264" t="s">
        <v>1018</v>
      </c>
      <c r="I11264" t="s">
        <v>25</v>
      </c>
    </row>
    <row r="11265" spans="1:9" x14ac:dyDescent="0.25">
      <c r="A11265">
        <v>20140729</v>
      </c>
      <c r="B11265" t="str">
        <f t="shared" si="644"/>
        <v>116676</v>
      </c>
      <c r="C11265" t="str">
        <f t="shared" si="645"/>
        <v>83878</v>
      </c>
      <c r="D11265" t="s">
        <v>1016</v>
      </c>
      <c r="E11265" s="1">
        <v>1742.01</v>
      </c>
      <c r="F11265">
        <v>20140728</v>
      </c>
      <c r="G11265" t="s">
        <v>150</v>
      </c>
      <c r="H11265" t="s">
        <v>1018</v>
      </c>
      <c r="I11265" t="s">
        <v>25</v>
      </c>
    </row>
    <row r="11266" spans="1:9" x14ac:dyDescent="0.25">
      <c r="A11266">
        <v>20140731</v>
      </c>
      <c r="B11266" t="str">
        <f>"116677"</f>
        <v>116677</v>
      </c>
      <c r="C11266" t="str">
        <f>"01840"</f>
        <v>01840</v>
      </c>
      <c r="D11266" t="s">
        <v>3096</v>
      </c>
      <c r="E11266">
        <v>420</v>
      </c>
      <c r="F11266">
        <v>20140729</v>
      </c>
      <c r="G11266" t="s">
        <v>367</v>
      </c>
      <c r="H11266" t="s">
        <v>357</v>
      </c>
      <c r="I11266" t="s">
        <v>21</v>
      </c>
    </row>
    <row r="11267" spans="1:9" x14ac:dyDescent="0.25">
      <c r="A11267">
        <v>20140731</v>
      </c>
      <c r="B11267" t="str">
        <f>"116678"</f>
        <v>116678</v>
      </c>
      <c r="C11267" t="str">
        <f>"87921"</f>
        <v>87921</v>
      </c>
      <c r="D11267" t="s">
        <v>4839</v>
      </c>
      <c r="E11267">
        <v>31.51</v>
      </c>
      <c r="F11267">
        <v>20140729</v>
      </c>
      <c r="G11267" t="s">
        <v>442</v>
      </c>
      <c r="H11267" t="s">
        <v>365</v>
      </c>
      <c r="I11267" t="s">
        <v>66</v>
      </c>
    </row>
    <row r="11268" spans="1:9" x14ac:dyDescent="0.25">
      <c r="A11268">
        <v>20140731</v>
      </c>
      <c r="B11268" t="str">
        <f>"116679"</f>
        <v>116679</v>
      </c>
      <c r="C11268" t="str">
        <f>"85029"</f>
        <v>85029</v>
      </c>
      <c r="D11268" t="s">
        <v>4840</v>
      </c>
      <c r="E11268">
        <v>96.81</v>
      </c>
      <c r="F11268">
        <v>20140729</v>
      </c>
      <c r="G11268" t="s">
        <v>4117</v>
      </c>
      <c r="H11268" t="s">
        <v>365</v>
      </c>
      <c r="I11268" t="s">
        <v>66</v>
      </c>
    </row>
    <row r="11269" spans="1:9" x14ac:dyDescent="0.25">
      <c r="A11269">
        <v>20140731</v>
      </c>
      <c r="B11269" t="str">
        <f>"116680"</f>
        <v>116680</v>
      </c>
      <c r="C11269" t="str">
        <f>"86961"</f>
        <v>86961</v>
      </c>
      <c r="D11269" t="s">
        <v>1349</v>
      </c>
      <c r="E11269">
        <v>245</v>
      </c>
      <c r="F11269">
        <v>20140729</v>
      </c>
      <c r="G11269" t="s">
        <v>367</v>
      </c>
      <c r="H11269" t="s">
        <v>799</v>
      </c>
      <c r="I11269" t="s">
        <v>21</v>
      </c>
    </row>
    <row r="11270" spans="1:9" x14ac:dyDescent="0.25">
      <c r="A11270">
        <v>20140731</v>
      </c>
      <c r="B11270" t="str">
        <f>"116681"</f>
        <v>116681</v>
      </c>
      <c r="C11270" t="str">
        <f>"81301"</f>
        <v>81301</v>
      </c>
      <c r="D11270" t="s">
        <v>779</v>
      </c>
      <c r="E11270">
        <v>71.13</v>
      </c>
      <c r="F11270">
        <v>20140729</v>
      </c>
      <c r="G11270" t="s">
        <v>3962</v>
      </c>
      <c r="H11270" t="s">
        <v>365</v>
      </c>
      <c r="I11270" t="s">
        <v>79</v>
      </c>
    </row>
    <row r="11271" spans="1:9" x14ac:dyDescent="0.25">
      <c r="A11271">
        <v>20140731</v>
      </c>
      <c r="B11271" t="str">
        <f>"116682"</f>
        <v>116682</v>
      </c>
      <c r="C11271" t="str">
        <f>"11851"</f>
        <v>11851</v>
      </c>
      <c r="D11271" t="s">
        <v>342</v>
      </c>
      <c r="E11271">
        <v>52</v>
      </c>
      <c r="F11271">
        <v>20140729</v>
      </c>
      <c r="G11271" t="s">
        <v>181</v>
      </c>
      <c r="H11271" t="s">
        <v>783</v>
      </c>
      <c r="I11271" t="s">
        <v>38</v>
      </c>
    </row>
    <row r="11272" spans="1:9" x14ac:dyDescent="0.25">
      <c r="A11272">
        <v>20140731</v>
      </c>
      <c r="B11272" t="str">
        <f>"116682"</f>
        <v>116682</v>
      </c>
      <c r="C11272" t="str">
        <f>"11851"</f>
        <v>11851</v>
      </c>
      <c r="D11272" t="s">
        <v>342</v>
      </c>
      <c r="E11272">
        <v>45</v>
      </c>
      <c r="F11272">
        <v>20140729</v>
      </c>
      <c r="G11272" t="s">
        <v>181</v>
      </c>
      <c r="H11272" t="s">
        <v>783</v>
      </c>
      <c r="I11272" t="s">
        <v>38</v>
      </c>
    </row>
    <row r="11273" spans="1:9" x14ac:dyDescent="0.25">
      <c r="A11273">
        <v>20140731</v>
      </c>
      <c r="B11273" t="str">
        <f>"116682"</f>
        <v>116682</v>
      </c>
      <c r="C11273" t="str">
        <f>"11851"</f>
        <v>11851</v>
      </c>
      <c r="D11273" t="s">
        <v>342</v>
      </c>
      <c r="E11273">
        <v>45</v>
      </c>
      <c r="F11273">
        <v>20140729</v>
      </c>
      <c r="G11273" t="s">
        <v>181</v>
      </c>
      <c r="H11273" t="s">
        <v>783</v>
      </c>
      <c r="I11273" t="s">
        <v>38</v>
      </c>
    </row>
    <row r="11274" spans="1:9" x14ac:dyDescent="0.25">
      <c r="A11274">
        <v>20140731</v>
      </c>
      <c r="B11274" t="str">
        <f>"116683"</f>
        <v>116683</v>
      </c>
      <c r="C11274" t="str">
        <f>"84999"</f>
        <v>84999</v>
      </c>
      <c r="D11274" t="s">
        <v>4841</v>
      </c>
      <c r="E11274">
        <v>172.63</v>
      </c>
      <c r="F11274">
        <v>20140724</v>
      </c>
      <c r="G11274" t="s">
        <v>4117</v>
      </c>
      <c r="H11274" t="s">
        <v>365</v>
      </c>
      <c r="I11274" t="s">
        <v>66</v>
      </c>
    </row>
    <row r="11275" spans="1:9" x14ac:dyDescent="0.25">
      <c r="A11275">
        <v>20140731</v>
      </c>
      <c r="B11275" t="str">
        <f>"116684"</f>
        <v>116684</v>
      </c>
      <c r="C11275" t="str">
        <f>"10075"</f>
        <v>10075</v>
      </c>
      <c r="D11275" t="s">
        <v>1199</v>
      </c>
      <c r="E11275">
        <v>328.5</v>
      </c>
      <c r="F11275">
        <v>20140729</v>
      </c>
      <c r="G11275" t="s">
        <v>1200</v>
      </c>
      <c r="H11275" t="s">
        <v>839</v>
      </c>
      <c r="I11275" t="s">
        <v>61</v>
      </c>
    </row>
    <row r="11276" spans="1:9" x14ac:dyDescent="0.25">
      <c r="A11276">
        <v>20140731</v>
      </c>
      <c r="B11276" t="str">
        <f>"116684"</f>
        <v>116684</v>
      </c>
      <c r="C11276" t="str">
        <f>"10075"</f>
        <v>10075</v>
      </c>
      <c r="D11276" t="s">
        <v>1199</v>
      </c>
      <c r="E11276" s="1">
        <v>3296.5</v>
      </c>
      <c r="F11276">
        <v>20140729</v>
      </c>
      <c r="G11276" t="s">
        <v>1030</v>
      </c>
      <c r="H11276" t="s">
        <v>839</v>
      </c>
      <c r="I11276" t="s">
        <v>63</v>
      </c>
    </row>
    <row r="11277" spans="1:9" x14ac:dyDescent="0.25">
      <c r="A11277">
        <v>20140731</v>
      </c>
      <c r="B11277" t="str">
        <f>"116685"</f>
        <v>116685</v>
      </c>
      <c r="C11277" t="str">
        <f>"85759"</f>
        <v>85759</v>
      </c>
      <c r="D11277" t="s">
        <v>4409</v>
      </c>
      <c r="E11277" s="1">
        <v>32112</v>
      </c>
      <c r="F11277">
        <v>20140729</v>
      </c>
      <c r="G11277" t="s">
        <v>840</v>
      </c>
      <c r="H11277" t="s">
        <v>839</v>
      </c>
      <c r="I11277" t="s">
        <v>21</v>
      </c>
    </row>
    <row r="11278" spans="1:9" x14ac:dyDescent="0.25">
      <c r="A11278">
        <v>20140731</v>
      </c>
      <c r="B11278" t="str">
        <f>"116685"</f>
        <v>116685</v>
      </c>
      <c r="C11278" t="str">
        <f>"85759"</f>
        <v>85759</v>
      </c>
      <c r="D11278" t="s">
        <v>4409</v>
      </c>
      <c r="E11278" s="1">
        <v>1908</v>
      </c>
      <c r="F11278">
        <v>20140729</v>
      </c>
      <c r="G11278" t="s">
        <v>845</v>
      </c>
      <c r="H11278" t="s">
        <v>839</v>
      </c>
      <c r="I11278" t="s">
        <v>73</v>
      </c>
    </row>
    <row r="11279" spans="1:9" x14ac:dyDescent="0.25">
      <c r="A11279">
        <v>20140731</v>
      </c>
      <c r="B11279" t="str">
        <f>"116686"</f>
        <v>116686</v>
      </c>
      <c r="C11279" t="str">
        <f>"83967"</f>
        <v>83967</v>
      </c>
      <c r="D11279" t="s">
        <v>1569</v>
      </c>
      <c r="E11279" s="1">
        <v>4207.5</v>
      </c>
      <c r="F11279">
        <v>20140729</v>
      </c>
      <c r="G11279" t="s">
        <v>606</v>
      </c>
      <c r="H11279" t="s">
        <v>839</v>
      </c>
      <c r="I11279" t="s">
        <v>608</v>
      </c>
    </row>
    <row r="11280" spans="1:9" x14ac:dyDescent="0.25">
      <c r="A11280">
        <v>20140731</v>
      </c>
      <c r="B11280" t="str">
        <f>"116687"</f>
        <v>116687</v>
      </c>
      <c r="C11280" t="str">
        <f>"80919"</f>
        <v>80919</v>
      </c>
      <c r="D11280" t="s">
        <v>4842</v>
      </c>
      <c r="E11280" s="1">
        <v>1400</v>
      </c>
      <c r="F11280">
        <v>20140729</v>
      </c>
      <c r="G11280" t="s">
        <v>191</v>
      </c>
      <c r="H11280" t="s">
        <v>802</v>
      </c>
      <c r="I11280" t="s">
        <v>25</v>
      </c>
    </row>
    <row r="11281" spans="1:9" x14ac:dyDescent="0.25">
      <c r="A11281">
        <v>20140731</v>
      </c>
      <c r="B11281" t="str">
        <f>"116688"</f>
        <v>116688</v>
      </c>
      <c r="C11281" t="str">
        <f>"87918"</f>
        <v>87918</v>
      </c>
      <c r="D11281" t="s">
        <v>4843</v>
      </c>
      <c r="E11281">
        <v>143.03</v>
      </c>
      <c r="F11281">
        <v>20140728</v>
      </c>
      <c r="G11281" t="s">
        <v>4117</v>
      </c>
      <c r="H11281" t="s">
        <v>365</v>
      </c>
      <c r="I11281" t="s">
        <v>66</v>
      </c>
    </row>
    <row r="11282" spans="1:9" x14ac:dyDescent="0.25">
      <c r="A11282">
        <v>20140731</v>
      </c>
      <c r="B11282" t="str">
        <f>"116689"</f>
        <v>116689</v>
      </c>
      <c r="C11282" t="str">
        <f>"85939"</f>
        <v>85939</v>
      </c>
      <c r="D11282" t="s">
        <v>4844</v>
      </c>
      <c r="E11282">
        <v>4.99</v>
      </c>
      <c r="F11282">
        <v>20140729</v>
      </c>
      <c r="G11282" t="s">
        <v>39</v>
      </c>
      <c r="H11282" t="s">
        <v>354</v>
      </c>
      <c r="I11282" t="s">
        <v>38</v>
      </c>
    </row>
    <row r="11283" spans="1:9" x14ac:dyDescent="0.25">
      <c r="A11283">
        <v>20140731</v>
      </c>
      <c r="B11283" t="str">
        <f>"116690"</f>
        <v>116690</v>
      </c>
      <c r="C11283" t="str">
        <f>"20000"</f>
        <v>20000</v>
      </c>
      <c r="D11283" t="s">
        <v>2634</v>
      </c>
      <c r="E11283">
        <v>272.58</v>
      </c>
      <c r="F11283">
        <v>20140729</v>
      </c>
      <c r="G11283" t="s">
        <v>910</v>
      </c>
      <c r="H11283" t="s">
        <v>4845</v>
      </c>
      <c r="I11283" t="s">
        <v>25</v>
      </c>
    </row>
    <row r="11284" spans="1:9" x14ac:dyDescent="0.25">
      <c r="A11284">
        <v>20140731</v>
      </c>
      <c r="B11284" t="str">
        <f>"116691"</f>
        <v>116691</v>
      </c>
      <c r="C11284" t="str">
        <f>"23827"</f>
        <v>23827</v>
      </c>
      <c r="D11284" t="s">
        <v>528</v>
      </c>
      <c r="E11284">
        <v>504.96</v>
      </c>
      <c r="F11284">
        <v>20140729</v>
      </c>
      <c r="G11284" t="s">
        <v>119</v>
      </c>
      <c r="H11284" t="s">
        <v>513</v>
      </c>
      <c r="I11284" t="s">
        <v>38</v>
      </c>
    </row>
    <row r="11285" spans="1:9" x14ac:dyDescent="0.25">
      <c r="A11285">
        <v>20140731</v>
      </c>
      <c r="B11285" t="str">
        <f>"116692"</f>
        <v>116692</v>
      </c>
      <c r="C11285" t="str">
        <f>"85034"</f>
        <v>85034</v>
      </c>
      <c r="D11285" t="s">
        <v>4846</v>
      </c>
      <c r="E11285">
        <v>254.51</v>
      </c>
      <c r="F11285">
        <v>20140729</v>
      </c>
      <c r="G11285" t="s">
        <v>4117</v>
      </c>
      <c r="H11285" t="s">
        <v>365</v>
      </c>
      <c r="I11285" t="s">
        <v>66</v>
      </c>
    </row>
    <row r="11286" spans="1:9" x14ac:dyDescent="0.25">
      <c r="A11286">
        <v>20140731</v>
      </c>
      <c r="B11286" t="str">
        <f>"116693"</f>
        <v>116693</v>
      </c>
      <c r="C11286" t="str">
        <f>"87469"</f>
        <v>87469</v>
      </c>
      <c r="D11286" t="s">
        <v>4847</v>
      </c>
      <c r="E11286">
        <v>73.400000000000006</v>
      </c>
      <c r="F11286">
        <v>20140729</v>
      </c>
      <c r="G11286" t="s">
        <v>636</v>
      </c>
      <c r="H11286" t="s">
        <v>365</v>
      </c>
      <c r="I11286" t="s">
        <v>21</v>
      </c>
    </row>
    <row r="11287" spans="1:9" x14ac:dyDescent="0.25">
      <c r="A11287">
        <v>20140731</v>
      </c>
      <c r="B11287" t="str">
        <f>"116693"</f>
        <v>116693</v>
      </c>
      <c r="C11287" t="str">
        <f>"87469"</f>
        <v>87469</v>
      </c>
      <c r="D11287" t="s">
        <v>4847</v>
      </c>
      <c r="E11287">
        <v>56.11</v>
      </c>
      <c r="F11287">
        <v>20140729</v>
      </c>
      <c r="G11287" t="s">
        <v>1723</v>
      </c>
      <c r="H11287" t="s">
        <v>4848</v>
      </c>
      <c r="I11287" t="s">
        <v>66</v>
      </c>
    </row>
    <row r="11288" spans="1:9" x14ac:dyDescent="0.25">
      <c r="A11288">
        <v>20140731</v>
      </c>
      <c r="B11288" t="str">
        <f t="shared" ref="B11288:B11299" si="646">"116694"</f>
        <v>116694</v>
      </c>
      <c r="C11288" t="str">
        <f t="shared" ref="C11288:C11299" si="647">"82286"</f>
        <v>82286</v>
      </c>
      <c r="D11288" t="s">
        <v>532</v>
      </c>
      <c r="E11288" s="1">
        <v>1808.87</v>
      </c>
      <c r="F11288">
        <v>20140730</v>
      </c>
      <c r="G11288" t="s">
        <v>533</v>
      </c>
      <c r="H11288" t="s">
        <v>534</v>
      </c>
      <c r="I11288" t="s">
        <v>21</v>
      </c>
    </row>
    <row r="11289" spans="1:9" x14ac:dyDescent="0.25">
      <c r="A11289">
        <v>20140731</v>
      </c>
      <c r="B11289" t="str">
        <f t="shared" si="646"/>
        <v>116694</v>
      </c>
      <c r="C11289" t="str">
        <f t="shared" si="647"/>
        <v>82286</v>
      </c>
      <c r="D11289" t="s">
        <v>532</v>
      </c>
      <c r="E11289">
        <v>48.89</v>
      </c>
      <c r="F11289">
        <v>20140730</v>
      </c>
      <c r="G11289" t="s">
        <v>535</v>
      </c>
      <c r="H11289" t="s">
        <v>534</v>
      </c>
      <c r="I11289" t="s">
        <v>21</v>
      </c>
    </row>
    <row r="11290" spans="1:9" x14ac:dyDescent="0.25">
      <c r="A11290">
        <v>20140731</v>
      </c>
      <c r="B11290" t="str">
        <f t="shared" si="646"/>
        <v>116694</v>
      </c>
      <c r="C11290" t="str">
        <f t="shared" si="647"/>
        <v>82286</v>
      </c>
      <c r="D11290" t="s">
        <v>532</v>
      </c>
      <c r="E11290">
        <v>733.32</v>
      </c>
      <c r="F11290">
        <v>20140730</v>
      </c>
      <c r="G11290" t="s">
        <v>536</v>
      </c>
      <c r="H11290" t="s">
        <v>534</v>
      </c>
      <c r="I11290" t="s">
        <v>21</v>
      </c>
    </row>
    <row r="11291" spans="1:9" x14ac:dyDescent="0.25">
      <c r="A11291">
        <v>20140731</v>
      </c>
      <c r="B11291" t="str">
        <f t="shared" si="646"/>
        <v>116694</v>
      </c>
      <c r="C11291" t="str">
        <f t="shared" si="647"/>
        <v>82286</v>
      </c>
      <c r="D11291" t="s">
        <v>532</v>
      </c>
      <c r="E11291">
        <v>244.44</v>
      </c>
      <c r="F11291">
        <v>20140730</v>
      </c>
      <c r="G11291" t="s">
        <v>537</v>
      </c>
      <c r="H11291" t="s">
        <v>534</v>
      </c>
      <c r="I11291" t="s">
        <v>21</v>
      </c>
    </row>
    <row r="11292" spans="1:9" x14ac:dyDescent="0.25">
      <c r="A11292">
        <v>20140731</v>
      </c>
      <c r="B11292" t="str">
        <f t="shared" si="646"/>
        <v>116694</v>
      </c>
      <c r="C11292" t="str">
        <f t="shared" si="647"/>
        <v>82286</v>
      </c>
      <c r="D11292" t="s">
        <v>532</v>
      </c>
      <c r="E11292">
        <v>293.39</v>
      </c>
      <c r="F11292">
        <v>20140730</v>
      </c>
      <c r="G11292" t="s">
        <v>538</v>
      </c>
      <c r="H11292" t="s">
        <v>534</v>
      </c>
      <c r="I11292" t="s">
        <v>21</v>
      </c>
    </row>
    <row r="11293" spans="1:9" x14ac:dyDescent="0.25">
      <c r="A11293">
        <v>20140731</v>
      </c>
      <c r="B11293" t="str">
        <f t="shared" si="646"/>
        <v>116694</v>
      </c>
      <c r="C11293" t="str">
        <f t="shared" si="647"/>
        <v>82286</v>
      </c>
      <c r="D11293" t="s">
        <v>532</v>
      </c>
      <c r="E11293">
        <v>342.21</v>
      </c>
      <c r="F11293">
        <v>20140730</v>
      </c>
      <c r="G11293" t="s">
        <v>539</v>
      </c>
      <c r="H11293" t="s">
        <v>534</v>
      </c>
      <c r="I11293" t="s">
        <v>21</v>
      </c>
    </row>
    <row r="11294" spans="1:9" x14ac:dyDescent="0.25">
      <c r="A11294">
        <v>20140731</v>
      </c>
      <c r="B11294" t="str">
        <f t="shared" si="646"/>
        <v>116694</v>
      </c>
      <c r="C11294" t="str">
        <f t="shared" si="647"/>
        <v>82286</v>
      </c>
      <c r="D11294" t="s">
        <v>532</v>
      </c>
      <c r="E11294">
        <v>180.52</v>
      </c>
      <c r="F11294">
        <v>20140730</v>
      </c>
      <c r="G11294" t="s">
        <v>540</v>
      </c>
      <c r="H11294" t="s">
        <v>534</v>
      </c>
      <c r="I11294" t="s">
        <v>21</v>
      </c>
    </row>
    <row r="11295" spans="1:9" x14ac:dyDescent="0.25">
      <c r="A11295">
        <v>20140731</v>
      </c>
      <c r="B11295" t="str">
        <f t="shared" si="646"/>
        <v>116694</v>
      </c>
      <c r="C11295" t="str">
        <f t="shared" si="647"/>
        <v>82286</v>
      </c>
      <c r="D11295" t="s">
        <v>532</v>
      </c>
      <c r="E11295">
        <v>180.51</v>
      </c>
      <c r="F11295">
        <v>20140730</v>
      </c>
      <c r="G11295" t="s">
        <v>541</v>
      </c>
      <c r="H11295" t="s">
        <v>534</v>
      </c>
      <c r="I11295" t="s">
        <v>21</v>
      </c>
    </row>
    <row r="11296" spans="1:9" x14ac:dyDescent="0.25">
      <c r="A11296">
        <v>20140731</v>
      </c>
      <c r="B11296" t="str">
        <f t="shared" si="646"/>
        <v>116694</v>
      </c>
      <c r="C11296" t="str">
        <f t="shared" si="647"/>
        <v>82286</v>
      </c>
      <c r="D11296" t="s">
        <v>532</v>
      </c>
      <c r="E11296">
        <v>782.21</v>
      </c>
      <c r="F11296">
        <v>20140730</v>
      </c>
      <c r="G11296" t="s">
        <v>542</v>
      </c>
      <c r="H11296" t="s">
        <v>534</v>
      </c>
      <c r="I11296" t="s">
        <v>21</v>
      </c>
    </row>
    <row r="11297" spans="1:9" x14ac:dyDescent="0.25">
      <c r="A11297">
        <v>20140731</v>
      </c>
      <c r="B11297" t="str">
        <f t="shared" si="646"/>
        <v>116694</v>
      </c>
      <c r="C11297" t="str">
        <f t="shared" si="647"/>
        <v>82286</v>
      </c>
      <c r="D11297" t="s">
        <v>532</v>
      </c>
      <c r="E11297">
        <v>48.89</v>
      </c>
      <c r="F11297">
        <v>20140730</v>
      </c>
      <c r="G11297" t="s">
        <v>543</v>
      </c>
      <c r="H11297" t="s">
        <v>534</v>
      </c>
      <c r="I11297" t="s">
        <v>21</v>
      </c>
    </row>
    <row r="11298" spans="1:9" x14ac:dyDescent="0.25">
      <c r="A11298">
        <v>20140731</v>
      </c>
      <c r="B11298" t="str">
        <f t="shared" si="646"/>
        <v>116694</v>
      </c>
      <c r="C11298" t="str">
        <f t="shared" si="647"/>
        <v>82286</v>
      </c>
      <c r="D11298" t="s">
        <v>532</v>
      </c>
      <c r="E11298">
        <v>293.37</v>
      </c>
      <c r="F11298">
        <v>20140730</v>
      </c>
      <c r="G11298" t="s">
        <v>544</v>
      </c>
      <c r="H11298" t="s">
        <v>534</v>
      </c>
      <c r="I11298" t="s">
        <v>21</v>
      </c>
    </row>
    <row r="11299" spans="1:9" x14ac:dyDescent="0.25">
      <c r="A11299">
        <v>20140731</v>
      </c>
      <c r="B11299" t="str">
        <f t="shared" si="646"/>
        <v>116694</v>
      </c>
      <c r="C11299" t="str">
        <f t="shared" si="647"/>
        <v>82286</v>
      </c>
      <c r="D11299" t="s">
        <v>532</v>
      </c>
      <c r="E11299">
        <v>293.38</v>
      </c>
      <c r="F11299">
        <v>20140730</v>
      </c>
      <c r="G11299" t="s">
        <v>545</v>
      </c>
      <c r="H11299" t="s">
        <v>534</v>
      </c>
      <c r="I11299" t="s">
        <v>21</v>
      </c>
    </row>
    <row r="11300" spans="1:9" x14ac:dyDescent="0.25">
      <c r="A11300">
        <v>20140731</v>
      </c>
      <c r="B11300" t="str">
        <f>"116695"</f>
        <v>116695</v>
      </c>
      <c r="C11300" t="str">
        <f>"25680"</f>
        <v>25680</v>
      </c>
      <c r="D11300" t="s">
        <v>818</v>
      </c>
      <c r="E11300">
        <v>133.5</v>
      </c>
      <c r="F11300">
        <v>20140730</v>
      </c>
      <c r="G11300" t="s">
        <v>329</v>
      </c>
      <c r="H11300" t="s">
        <v>820</v>
      </c>
      <c r="I11300" t="s">
        <v>25</v>
      </c>
    </row>
    <row r="11301" spans="1:9" x14ac:dyDescent="0.25">
      <c r="A11301">
        <v>20140731</v>
      </c>
      <c r="B11301" t="str">
        <f>"116695"</f>
        <v>116695</v>
      </c>
      <c r="C11301" t="str">
        <f>"25680"</f>
        <v>25680</v>
      </c>
      <c r="D11301" t="s">
        <v>818</v>
      </c>
      <c r="E11301">
        <v>131</v>
      </c>
      <c r="F11301">
        <v>20140730</v>
      </c>
      <c r="G11301" t="s">
        <v>329</v>
      </c>
      <c r="H11301" t="s">
        <v>820</v>
      </c>
      <c r="I11301" t="s">
        <v>25</v>
      </c>
    </row>
    <row r="11302" spans="1:9" x14ac:dyDescent="0.25">
      <c r="A11302">
        <v>20140731</v>
      </c>
      <c r="B11302" t="str">
        <f>"116695"</f>
        <v>116695</v>
      </c>
      <c r="C11302" t="str">
        <f>"25680"</f>
        <v>25680</v>
      </c>
      <c r="D11302" t="s">
        <v>818</v>
      </c>
      <c r="E11302">
        <v>-1.5</v>
      </c>
      <c r="F11302">
        <v>20140731</v>
      </c>
      <c r="G11302" t="s">
        <v>329</v>
      </c>
      <c r="H11302" t="s">
        <v>820</v>
      </c>
      <c r="I11302" t="s">
        <v>25</v>
      </c>
    </row>
    <row r="11303" spans="1:9" x14ac:dyDescent="0.25">
      <c r="A11303">
        <v>20140731</v>
      </c>
      <c r="B11303" t="str">
        <f>"116696"</f>
        <v>116696</v>
      </c>
      <c r="C11303" t="str">
        <f>"26980"</f>
        <v>26980</v>
      </c>
      <c r="D11303" t="s">
        <v>1230</v>
      </c>
      <c r="E11303">
        <v>110</v>
      </c>
      <c r="F11303">
        <v>20140728</v>
      </c>
      <c r="G11303" t="s">
        <v>426</v>
      </c>
      <c r="H11303" t="s">
        <v>1054</v>
      </c>
      <c r="I11303" t="s">
        <v>21</v>
      </c>
    </row>
    <row r="11304" spans="1:9" x14ac:dyDescent="0.25">
      <c r="A11304">
        <v>20140731</v>
      </c>
      <c r="B11304" t="str">
        <f>"116697"</f>
        <v>116697</v>
      </c>
      <c r="C11304" t="str">
        <f>"87917"</f>
        <v>87917</v>
      </c>
      <c r="D11304" t="s">
        <v>4849</v>
      </c>
      <c r="E11304" s="1">
        <v>2224.21</v>
      </c>
      <c r="F11304">
        <v>20140728</v>
      </c>
      <c r="G11304" t="s">
        <v>1019</v>
      </c>
      <c r="H11304" t="s">
        <v>414</v>
      </c>
      <c r="I11304" t="s">
        <v>131</v>
      </c>
    </row>
    <row r="11305" spans="1:9" x14ac:dyDescent="0.25">
      <c r="A11305">
        <v>20140731</v>
      </c>
      <c r="B11305" t="str">
        <f>"116698"</f>
        <v>116698</v>
      </c>
      <c r="C11305" t="str">
        <f>"87922"</f>
        <v>87922</v>
      </c>
      <c r="D11305" t="s">
        <v>4850</v>
      </c>
      <c r="E11305">
        <v>90</v>
      </c>
      <c r="F11305">
        <v>20140730</v>
      </c>
      <c r="G11305" t="s">
        <v>1026</v>
      </c>
      <c r="H11305" t="s">
        <v>354</v>
      </c>
      <c r="I11305" t="s">
        <v>21</v>
      </c>
    </row>
    <row r="11306" spans="1:9" x14ac:dyDescent="0.25">
      <c r="A11306">
        <v>20140731</v>
      </c>
      <c r="B11306" t="str">
        <f>"116699"</f>
        <v>116699</v>
      </c>
      <c r="C11306" t="str">
        <f>"30668"</f>
        <v>30668</v>
      </c>
      <c r="D11306" t="s">
        <v>4851</v>
      </c>
      <c r="E11306">
        <v>36.99</v>
      </c>
      <c r="F11306">
        <v>20140730</v>
      </c>
      <c r="G11306" t="s">
        <v>3962</v>
      </c>
      <c r="H11306" t="s">
        <v>365</v>
      </c>
      <c r="I11306" t="s">
        <v>79</v>
      </c>
    </row>
    <row r="11307" spans="1:9" x14ac:dyDescent="0.25">
      <c r="A11307">
        <v>20140731</v>
      </c>
      <c r="B11307" t="str">
        <f>"116700"</f>
        <v>116700</v>
      </c>
      <c r="C11307" t="str">
        <f>"32794"</f>
        <v>32794</v>
      </c>
      <c r="D11307" t="s">
        <v>4743</v>
      </c>
      <c r="E11307">
        <v>71.28</v>
      </c>
      <c r="F11307">
        <v>20140729</v>
      </c>
      <c r="G11307" t="s">
        <v>4117</v>
      </c>
      <c r="H11307" t="s">
        <v>365</v>
      </c>
      <c r="I11307" t="s">
        <v>66</v>
      </c>
    </row>
    <row r="11308" spans="1:9" x14ac:dyDescent="0.25">
      <c r="A11308">
        <v>20140731</v>
      </c>
      <c r="B11308" t="str">
        <f>"116701"</f>
        <v>116701</v>
      </c>
      <c r="C11308" t="str">
        <f>"33590"</f>
        <v>33590</v>
      </c>
      <c r="D11308" t="s">
        <v>1754</v>
      </c>
      <c r="E11308" s="1">
        <v>2171.2800000000002</v>
      </c>
      <c r="F11308">
        <v>20140729</v>
      </c>
      <c r="G11308" t="s">
        <v>4852</v>
      </c>
      <c r="H11308" t="s">
        <v>921</v>
      </c>
      <c r="I11308" t="s">
        <v>75</v>
      </c>
    </row>
    <row r="11309" spans="1:9" x14ac:dyDescent="0.25">
      <c r="A11309">
        <v>20140731</v>
      </c>
      <c r="B11309" t="str">
        <f>"116702"</f>
        <v>116702</v>
      </c>
      <c r="C11309" t="str">
        <f>"87308"</f>
        <v>87308</v>
      </c>
      <c r="D11309" t="s">
        <v>4609</v>
      </c>
      <c r="E11309">
        <v>127.71</v>
      </c>
      <c r="F11309">
        <v>20140730</v>
      </c>
      <c r="G11309" t="s">
        <v>176</v>
      </c>
      <c r="H11309" t="s">
        <v>354</v>
      </c>
      <c r="I11309" t="s">
        <v>25</v>
      </c>
    </row>
    <row r="11310" spans="1:9" x14ac:dyDescent="0.25">
      <c r="A11310">
        <v>20140731</v>
      </c>
      <c r="B11310" t="str">
        <f>"116703"</f>
        <v>116703</v>
      </c>
      <c r="C11310" t="str">
        <f>"86683"</f>
        <v>86683</v>
      </c>
      <c r="D11310" t="s">
        <v>1249</v>
      </c>
      <c r="E11310">
        <v>287.02</v>
      </c>
      <c r="F11310">
        <v>20140730</v>
      </c>
      <c r="G11310" t="s">
        <v>4117</v>
      </c>
      <c r="H11310" t="s">
        <v>365</v>
      </c>
      <c r="I11310" t="s">
        <v>66</v>
      </c>
    </row>
    <row r="11311" spans="1:9" x14ac:dyDescent="0.25">
      <c r="A11311">
        <v>20140731</v>
      </c>
      <c r="B11311" t="str">
        <f>"116704"</f>
        <v>116704</v>
      </c>
      <c r="C11311" t="str">
        <f>"85689"</f>
        <v>85689</v>
      </c>
      <c r="D11311" t="s">
        <v>4853</v>
      </c>
      <c r="E11311">
        <v>11.58</v>
      </c>
      <c r="F11311">
        <v>20140730</v>
      </c>
      <c r="G11311" t="s">
        <v>4117</v>
      </c>
      <c r="H11311" t="s">
        <v>365</v>
      </c>
      <c r="I11311" t="s">
        <v>66</v>
      </c>
    </row>
    <row r="11312" spans="1:9" x14ac:dyDescent="0.25">
      <c r="A11312">
        <v>20140731</v>
      </c>
      <c r="B11312" t="str">
        <f>"116705"</f>
        <v>116705</v>
      </c>
      <c r="C11312" t="str">
        <f>"40448"</f>
        <v>40448</v>
      </c>
      <c r="D11312" t="s">
        <v>613</v>
      </c>
      <c r="E11312">
        <v>75</v>
      </c>
      <c r="F11312">
        <v>20140729</v>
      </c>
      <c r="G11312" t="s">
        <v>340</v>
      </c>
      <c r="H11312" t="s">
        <v>1452</v>
      </c>
      <c r="I11312" t="s">
        <v>21</v>
      </c>
    </row>
    <row r="11313" spans="1:9" x14ac:dyDescent="0.25">
      <c r="A11313">
        <v>20140731</v>
      </c>
      <c r="B11313" t="str">
        <f>"116705"</f>
        <v>116705</v>
      </c>
      <c r="C11313" t="str">
        <f>"40448"</f>
        <v>40448</v>
      </c>
      <c r="D11313" t="s">
        <v>613</v>
      </c>
      <c r="E11313" s="1">
        <v>1091.5</v>
      </c>
      <c r="F11313">
        <v>20140729</v>
      </c>
      <c r="G11313" t="s">
        <v>498</v>
      </c>
      <c r="H11313" t="s">
        <v>4617</v>
      </c>
      <c r="I11313" t="s">
        <v>21</v>
      </c>
    </row>
    <row r="11314" spans="1:9" x14ac:dyDescent="0.25">
      <c r="A11314">
        <v>20140731</v>
      </c>
      <c r="B11314" t="str">
        <f>"116706"</f>
        <v>116706</v>
      </c>
      <c r="C11314" t="str">
        <f>"87909"</f>
        <v>87909</v>
      </c>
      <c r="D11314" t="s">
        <v>4854</v>
      </c>
      <c r="E11314">
        <v>362.71</v>
      </c>
      <c r="F11314">
        <v>20140728</v>
      </c>
      <c r="G11314" t="s">
        <v>448</v>
      </c>
      <c r="H11314" t="s">
        <v>839</v>
      </c>
      <c r="I11314" t="s">
        <v>21</v>
      </c>
    </row>
    <row r="11315" spans="1:9" x14ac:dyDescent="0.25">
      <c r="A11315">
        <v>20140731</v>
      </c>
      <c r="B11315" t="str">
        <f>"116707"</f>
        <v>116707</v>
      </c>
      <c r="C11315" t="str">
        <f>"86794"</f>
        <v>86794</v>
      </c>
      <c r="D11315" t="s">
        <v>4855</v>
      </c>
      <c r="E11315">
        <v>94.5</v>
      </c>
      <c r="F11315">
        <v>20140728</v>
      </c>
      <c r="G11315" t="s">
        <v>1554</v>
      </c>
      <c r="H11315" t="s">
        <v>354</v>
      </c>
      <c r="I11315" t="s">
        <v>38</v>
      </c>
    </row>
    <row r="11316" spans="1:9" x14ac:dyDescent="0.25">
      <c r="A11316">
        <v>20140731</v>
      </c>
      <c r="B11316" t="str">
        <f>"116708"</f>
        <v>116708</v>
      </c>
      <c r="C11316" t="str">
        <f>"46225"</f>
        <v>46225</v>
      </c>
      <c r="D11316" t="s">
        <v>3566</v>
      </c>
      <c r="E11316" s="1">
        <v>12837.96</v>
      </c>
      <c r="F11316">
        <v>20140730</v>
      </c>
      <c r="G11316" t="s">
        <v>606</v>
      </c>
      <c r="H11316" t="s">
        <v>839</v>
      </c>
      <c r="I11316" t="s">
        <v>608</v>
      </c>
    </row>
    <row r="11317" spans="1:9" x14ac:dyDescent="0.25">
      <c r="A11317">
        <v>20140731</v>
      </c>
      <c r="B11317" t="str">
        <f>"116709"</f>
        <v>116709</v>
      </c>
      <c r="C11317" t="str">
        <f>"81137"</f>
        <v>81137</v>
      </c>
      <c r="D11317" t="s">
        <v>1266</v>
      </c>
      <c r="E11317" s="1">
        <v>1447</v>
      </c>
      <c r="F11317">
        <v>20140729</v>
      </c>
      <c r="G11317" t="s">
        <v>870</v>
      </c>
      <c r="H11317" t="s">
        <v>3054</v>
      </c>
      <c r="I11317" t="s">
        <v>21</v>
      </c>
    </row>
    <row r="11318" spans="1:9" x14ac:dyDescent="0.25">
      <c r="A11318">
        <v>20140731</v>
      </c>
      <c r="B11318" t="str">
        <f>"116710"</f>
        <v>116710</v>
      </c>
      <c r="C11318" t="str">
        <f>"52450"</f>
        <v>52450</v>
      </c>
      <c r="D11318" t="s">
        <v>2548</v>
      </c>
      <c r="E11318" s="1">
        <v>1850</v>
      </c>
      <c r="F11318">
        <v>20140728</v>
      </c>
      <c r="G11318" t="s">
        <v>417</v>
      </c>
      <c r="H11318" t="s">
        <v>3874</v>
      </c>
      <c r="I11318" t="s">
        <v>21</v>
      </c>
    </row>
    <row r="11319" spans="1:9" x14ac:dyDescent="0.25">
      <c r="A11319">
        <v>20140731</v>
      </c>
      <c r="B11319" t="str">
        <f>"116711"</f>
        <v>116711</v>
      </c>
      <c r="C11319" t="str">
        <f>"53302"</f>
        <v>53302</v>
      </c>
      <c r="D11319" t="s">
        <v>4856</v>
      </c>
      <c r="E11319">
        <v>84.93</v>
      </c>
      <c r="F11319">
        <v>20140724</v>
      </c>
      <c r="G11319" t="s">
        <v>4117</v>
      </c>
      <c r="H11319" t="s">
        <v>365</v>
      </c>
      <c r="I11319" t="s">
        <v>66</v>
      </c>
    </row>
    <row r="11320" spans="1:9" x14ac:dyDescent="0.25">
      <c r="A11320">
        <v>20140731</v>
      </c>
      <c r="B11320" t="str">
        <f>"116712"</f>
        <v>116712</v>
      </c>
      <c r="C11320" t="str">
        <f>"53301"</f>
        <v>53301</v>
      </c>
      <c r="D11320" t="s">
        <v>3941</v>
      </c>
      <c r="E11320">
        <v>108.94</v>
      </c>
      <c r="F11320">
        <v>20140728</v>
      </c>
      <c r="G11320" t="s">
        <v>4117</v>
      </c>
      <c r="H11320" t="s">
        <v>365</v>
      </c>
      <c r="I11320" t="s">
        <v>66</v>
      </c>
    </row>
    <row r="11321" spans="1:9" x14ac:dyDescent="0.25">
      <c r="A11321">
        <v>20140731</v>
      </c>
      <c r="B11321" t="str">
        <f>"116713"</f>
        <v>116713</v>
      </c>
      <c r="C11321" t="str">
        <f>"53650"</f>
        <v>53650</v>
      </c>
      <c r="D11321" t="s">
        <v>1492</v>
      </c>
      <c r="E11321">
        <v>79.900000000000006</v>
      </c>
      <c r="F11321">
        <v>20140729</v>
      </c>
      <c r="G11321" t="s">
        <v>1679</v>
      </c>
      <c r="H11321" t="s">
        <v>2506</v>
      </c>
      <c r="I11321" t="s">
        <v>25</v>
      </c>
    </row>
    <row r="11322" spans="1:9" x14ac:dyDescent="0.25">
      <c r="A11322">
        <v>20140731</v>
      </c>
      <c r="B11322" t="str">
        <f>"116714"</f>
        <v>116714</v>
      </c>
      <c r="C11322" t="str">
        <f>"55675"</f>
        <v>55675</v>
      </c>
      <c r="D11322" t="s">
        <v>1114</v>
      </c>
      <c r="E11322">
        <v>66.92</v>
      </c>
      <c r="F11322">
        <v>20140728</v>
      </c>
      <c r="G11322" t="s">
        <v>4436</v>
      </c>
      <c r="H11322" t="s">
        <v>414</v>
      </c>
      <c r="I11322" t="s">
        <v>21</v>
      </c>
    </row>
    <row r="11323" spans="1:9" x14ac:dyDescent="0.25">
      <c r="A11323">
        <v>20140731</v>
      </c>
      <c r="B11323" t="str">
        <f>"116715"</f>
        <v>116715</v>
      </c>
      <c r="C11323" t="str">
        <f>"58000"</f>
        <v>58000</v>
      </c>
      <c r="D11323" t="s">
        <v>3425</v>
      </c>
      <c r="E11323">
        <v>50</v>
      </c>
      <c r="F11323">
        <v>20140724</v>
      </c>
      <c r="G11323" t="s">
        <v>99</v>
      </c>
      <c r="H11323" t="s">
        <v>4857</v>
      </c>
      <c r="I11323" t="s">
        <v>21</v>
      </c>
    </row>
    <row r="11324" spans="1:9" x14ac:dyDescent="0.25">
      <c r="A11324">
        <v>20140731</v>
      </c>
      <c r="B11324" t="str">
        <f>"116716"</f>
        <v>116716</v>
      </c>
      <c r="C11324" t="str">
        <f>"87468"</f>
        <v>87468</v>
      </c>
      <c r="D11324" t="s">
        <v>4801</v>
      </c>
      <c r="E11324">
        <v>312</v>
      </c>
      <c r="F11324">
        <v>20140730</v>
      </c>
      <c r="G11324" t="s">
        <v>837</v>
      </c>
      <c r="H11324" t="s">
        <v>4858</v>
      </c>
      <c r="I11324" t="s">
        <v>21</v>
      </c>
    </row>
    <row r="11325" spans="1:9" x14ac:dyDescent="0.25">
      <c r="A11325">
        <v>20140731</v>
      </c>
      <c r="B11325" t="str">
        <f>"116717"</f>
        <v>116717</v>
      </c>
      <c r="C11325" t="str">
        <f>"83617"</f>
        <v>83617</v>
      </c>
      <c r="D11325" t="s">
        <v>1289</v>
      </c>
      <c r="E11325">
        <v>254.89</v>
      </c>
      <c r="F11325">
        <v>20140729</v>
      </c>
      <c r="G11325" t="s">
        <v>892</v>
      </c>
      <c r="H11325" t="s">
        <v>365</v>
      </c>
      <c r="I11325" t="s">
        <v>79</v>
      </c>
    </row>
    <row r="11326" spans="1:9" x14ac:dyDescent="0.25">
      <c r="A11326">
        <v>20140731</v>
      </c>
      <c r="B11326" t="str">
        <f>"116718"</f>
        <v>116718</v>
      </c>
      <c r="C11326" t="str">
        <f>"61920"</f>
        <v>61920</v>
      </c>
      <c r="D11326" t="s">
        <v>4020</v>
      </c>
      <c r="E11326">
        <v>60</v>
      </c>
      <c r="F11326">
        <v>20140729</v>
      </c>
      <c r="G11326" t="s">
        <v>367</v>
      </c>
      <c r="H11326" t="s">
        <v>4859</v>
      </c>
      <c r="I11326" t="s">
        <v>21</v>
      </c>
    </row>
    <row r="11327" spans="1:9" x14ac:dyDescent="0.25">
      <c r="A11327">
        <v>20140731</v>
      </c>
      <c r="B11327" t="str">
        <f>"116719"</f>
        <v>116719</v>
      </c>
      <c r="C11327" t="str">
        <f>"82957"</f>
        <v>82957</v>
      </c>
      <c r="D11327" t="s">
        <v>1927</v>
      </c>
      <c r="E11327" s="1">
        <v>2006</v>
      </c>
      <c r="F11327">
        <v>20140730</v>
      </c>
      <c r="G11327" t="s">
        <v>150</v>
      </c>
      <c r="H11327" t="s">
        <v>1928</v>
      </c>
      <c r="I11327" t="s">
        <v>25</v>
      </c>
    </row>
    <row r="11328" spans="1:9" x14ac:dyDescent="0.25">
      <c r="A11328">
        <v>20140731</v>
      </c>
      <c r="B11328" t="str">
        <f>"116720"</f>
        <v>116720</v>
      </c>
      <c r="C11328" t="str">
        <f>"62451"</f>
        <v>62451</v>
      </c>
      <c r="D11328" t="s">
        <v>1797</v>
      </c>
      <c r="E11328">
        <v>177.88</v>
      </c>
      <c r="F11328">
        <v>20140729</v>
      </c>
      <c r="G11328" t="s">
        <v>1774</v>
      </c>
      <c r="H11328" t="s">
        <v>930</v>
      </c>
      <c r="I11328" t="s">
        <v>21</v>
      </c>
    </row>
    <row r="11329" spans="1:9" x14ac:dyDescent="0.25">
      <c r="A11329">
        <v>20140731</v>
      </c>
      <c r="B11329" t="str">
        <f>"116721"</f>
        <v>116721</v>
      </c>
      <c r="C11329" t="str">
        <f>"87919"</f>
        <v>87919</v>
      </c>
      <c r="D11329" t="s">
        <v>4860</v>
      </c>
      <c r="E11329">
        <v>600</v>
      </c>
      <c r="F11329">
        <v>20140729</v>
      </c>
      <c r="G11329" t="s">
        <v>1522</v>
      </c>
      <c r="H11329" t="s">
        <v>4861</v>
      </c>
      <c r="I11329" t="s">
        <v>21</v>
      </c>
    </row>
    <row r="11330" spans="1:9" x14ac:dyDescent="0.25">
      <c r="A11330">
        <v>20140731</v>
      </c>
      <c r="B11330" t="str">
        <f>"116722"</f>
        <v>116722</v>
      </c>
      <c r="C11330" t="str">
        <f>"86376"</f>
        <v>86376</v>
      </c>
      <c r="D11330" t="s">
        <v>1661</v>
      </c>
      <c r="E11330" s="1">
        <v>28114</v>
      </c>
      <c r="F11330">
        <v>20140728</v>
      </c>
      <c r="G11330" t="s">
        <v>1900</v>
      </c>
      <c r="H11330" t="s">
        <v>4862</v>
      </c>
      <c r="I11330" t="s">
        <v>608</v>
      </c>
    </row>
    <row r="11331" spans="1:9" x14ac:dyDescent="0.25">
      <c r="A11331">
        <v>20140731</v>
      </c>
      <c r="B11331" t="str">
        <f>"116723"</f>
        <v>116723</v>
      </c>
      <c r="C11331" t="str">
        <f>"70760"</f>
        <v>70760</v>
      </c>
      <c r="D11331" t="s">
        <v>963</v>
      </c>
      <c r="E11331">
        <v>299</v>
      </c>
      <c r="F11331">
        <v>20140729</v>
      </c>
      <c r="G11331" t="s">
        <v>4425</v>
      </c>
      <c r="H11331" t="s">
        <v>2468</v>
      </c>
      <c r="I11331" t="s">
        <v>21</v>
      </c>
    </row>
    <row r="11332" spans="1:9" x14ac:dyDescent="0.25">
      <c r="A11332">
        <v>20140731</v>
      </c>
      <c r="B11332" t="str">
        <f>"116724"</f>
        <v>116724</v>
      </c>
      <c r="C11332" t="str">
        <f>"74090"</f>
        <v>74090</v>
      </c>
      <c r="D11332" t="s">
        <v>3196</v>
      </c>
      <c r="E11332">
        <v>75.989999999999995</v>
      </c>
      <c r="F11332">
        <v>20140729</v>
      </c>
      <c r="G11332" t="s">
        <v>3962</v>
      </c>
      <c r="H11332" t="s">
        <v>365</v>
      </c>
      <c r="I11332" t="s">
        <v>79</v>
      </c>
    </row>
    <row r="11333" spans="1:9" x14ac:dyDescent="0.25">
      <c r="A11333">
        <v>20140731</v>
      </c>
      <c r="B11333" t="str">
        <f>"116725"</f>
        <v>116725</v>
      </c>
      <c r="C11333" t="str">
        <f>"85627"</f>
        <v>85627</v>
      </c>
      <c r="D11333" t="s">
        <v>4652</v>
      </c>
      <c r="E11333" s="1">
        <v>7978.38</v>
      </c>
      <c r="F11333">
        <v>20140729</v>
      </c>
      <c r="G11333" t="s">
        <v>221</v>
      </c>
      <c r="H11333" t="s">
        <v>738</v>
      </c>
      <c r="I11333" t="s">
        <v>25</v>
      </c>
    </row>
    <row r="11334" spans="1:9" x14ac:dyDescent="0.25">
      <c r="A11334">
        <v>20140731</v>
      </c>
      <c r="B11334" t="str">
        <f>"116726"</f>
        <v>116726</v>
      </c>
      <c r="C11334" t="str">
        <f>"82068"</f>
        <v>82068</v>
      </c>
      <c r="D11334" t="s">
        <v>3197</v>
      </c>
      <c r="E11334">
        <v>192.92</v>
      </c>
      <c r="F11334">
        <v>20140728</v>
      </c>
      <c r="G11334" t="s">
        <v>448</v>
      </c>
      <c r="H11334" t="s">
        <v>839</v>
      </c>
      <c r="I11334" t="s">
        <v>21</v>
      </c>
    </row>
    <row r="11335" spans="1:9" x14ac:dyDescent="0.25">
      <c r="A11335">
        <v>20140731</v>
      </c>
      <c r="B11335" t="str">
        <f>"116727"</f>
        <v>116727</v>
      </c>
      <c r="C11335" t="str">
        <f>"78385"</f>
        <v>78385</v>
      </c>
      <c r="D11335" t="s">
        <v>985</v>
      </c>
      <c r="E11335">
        <v>314.24</v>
      </c>
      <c r="F11335">
        <v>20140730</v>
      </c>
      <c r="G11335" t="s">
        <v>1722</v>
      </c>
      <c r="H11335" t="s">
        <v>365</v>
      </c>
      <c r="I11335" t="s">
        <v>66</v>
      </c>
    </row>
    <row r="11336" spans="1:9" x14ac:dyDescent="0.25">
      <c r="A11336">
        <v>20140731</v>
      </c>
      <c r="B11336" t="str">
        <f t="shared" ref="B11336:B11360" si="648">"116728"</f>
        <v>116728</v>
      </c>
      <c r="C11336" t="str">
        <f t="shared" ref="C11336:C11360" si="649">"80825"</f>
        <v>80825</v>
      </c>
      <c r="D11336" t="s">
        <v>747</v>
      </c>
      <c r="E11336">
        <v>641.76</v>
      </c>
      <c r="F11336">
        <v>20140730</v>
      </c>
      <c r="G11336" t="s">
        <v>748</v>
      </c>
      <c r="H11336" t="s">
        <v>749</v>
      </c>
      <c r="I11336" t="s">
        <v>21</v>
      </c>
    </row>
    <row r="11337" spans="1:9" x14ac:dyDescent="0.25">
      <c r="A11337">
        <v>20140731</v>
      </c>
      <c r="B11337" t="str">
        <f t="shared" si="648"/>
        <v>116728</v>
      </c>
      <c r="C11337" t="str">
        <f t="shared" si="649"/>
        <v>80825</v>
      </c>
      <c r="D11337" t="s">
        <v>747</v>
      </c>
      <c r="E11337" s="1">
        <v>1211.33</v>
      </c>
      <c r="F11337">
        <v>20140730</v>
      </c>
      <c r="G11337" t="s">
        <v>748</v>
      </c>
      <c r="H11337" t="s">
        <v>4863</v>
      </c>
      <c r="I11337" t="s">
        <v>21</v>
      </c>
    </row>
    <row r="11338" spans="1:9" x14ac:dyDescent="0.25">
      <c r="A11338">
        <v>20140731</v>
      </c>
      <c r="B11338" t="str">
        <f t="shared" si="648"/>
        <v>116728</v>
      </c>
      <c r="C11338" t="str">
        <f t="shared" si="649"/>
        <v>80825</v>
      </c>
      <c r="D11338" t="s">
        <v>747</v>
      </c>
      <c r="E11338">
        <v>320.88</v>
      </c>
      <c r="F11338">
        <v>20140730</v>
      </c>
      <c r="G11338" t="s">
        <v>750</v>
      </c>
      <c r="H11338" t="s">
        <v>749</v>
      </c>
      <c r="I11338" t="s">
        <v>21</v>
      </c>
    </row>
    <row r="11339" spans="1:9" x14ac:dyDescent="0.25">
      <c r="A11339">
        <v>20140731</v>
      </c>
      <c r="B11339" t="str">
        <f t="shared" si="648"/>
        <v>116728</v>
      </c>
      <c r="C11339" t="str">
        <f t="shared" si="649"/>
        <v>80825</v>
      </c>
      <c r="D11339" t="s">
        <v>747</v>
      </c>
      <c r="E11339">
        <v>461.53</v>
      </c>
      <c r="F11339">
        <v>20140730</v>
      </c>
      <c r="G11339" t="s">
        <v>750</v>
      </c>
      <c r="H11339" t="s">
        <v>4863</v>
      </c>
      <c r="I11339" t="s">
        <v>21</v>
      </c>
    </row>
    <row r="11340" spans="1:9" x14ac:dyDescent="0.25">
      <c r="A11340">
        <v>20140731</v>
      </c>
      <c r="B11340" t="str">
        <f t="shared" si="648"/>
        <v>116728</v>
      </c>
      <c r="C11340" t="str">
        <f t="shared" si="649"/>
        <v>80825</v>
      </c>
      <c r="D11340" t="s">
        <v>747</v>
      </c>
      <c r="E11340">
        <v>320.88</v>
      </c>
      <c r="F11340">
        <v>20140730</v>
      </c>
      <c r="G11340" t="s">
        <v>752</v>
      </c>
      <c r="H11340" t="s">
        <v>749</v>
      </c>
      <c r="I11340" t="s">
        <v>21</v>
      </c>
    </row>
    <row r="11341" spans="1:9" x14ac:dyDescent="0.25">
      <c r="A11341">
        <v>20140731</v>
      </c>
      <c r="B11341" t="str">
        <f t="shared" si="648"/>
        <v>116728</v>
      </c>
      <c r="C11341" t="str">
        <f t="shared" si="649"/>
        <v>80825</v>
      </c>
      <c r="D11341" t="s">
        <v>747</v>
      </c>
      <c r="E11341">
        <v>228.06</v>
      </c>
      <c r="F11341">
        <v>20140730</v>
      </c>
      <c r="G11341" t="s">
        <v>752</v>
      </c>
      <c r="H11341" t="s">
        <v>4863</v>
      </c>
      <c r="I11341" t="s">
        <v>21</v>
      </c>
    </row>
    <row r="11342" spans="1:9" x14ac:dyDescent="0.25">
      <c r="A11342">
        <v>20140731</v>
      </c>
      <c r="B11342" t="str">
        <f t="shared" si="648"/>
        <v>116728</v>
      </c>
      <c r="C11342" t="str">
        <f t="shared" si="649"/>
        <v>80825</v>
      </c>
      <c r="D11342" t="s">
        <v>747</v>
      </c>
      <c r="E11342">
        <v>320.88</v>
      </c>
      <c r="F11342">
        <v>20140730</v>
      </c>
      <c r="G11342" t="s">
        <v>753</v>
      </c>
      <c r="H11342" t="s">
        <v>4768</v>
      </c>
      <c r="I11342" t="s">
        <v>21</v>
      </c>
    </row>
    <row r="11343" spans="1:9" x14ac:dyDescent="0.25">
      <c r="A11343">
        <v>20140731</v>
      </c>
      <c r="B11343" t="str">
        <f t="shared" si="648"/>
        <v>116728</v>
      </c>
      <c r="C11343" t="str">
        <f t="shared" si="649"/>
        <v>80825</v>
      </c>
      <c r="D11343" t="s">
        <v>747</v>
      </c>
      <c r="E11343">
        <v>493.77</v>
      </c>
      <c r="F11343">
        <v>20140730</v>
      </c>
      <c r="G11343" t="s">
        <v>753</v>
      </c>
      <c r="H11343" t="s">
        <v>4863</v>
      </c>
      <c r="I11343" t="s">
        <v>21</v>
      </c>
    </row>
    <row r="11344" spans="1:9" x14ac:dyDescent="0.25">
      <c r="A11344">
        <v>20140731</v>
      </c>
      <c r="B11344" t="str">
        <f t="shared" si="648"/>
        <v>116728</v>
      </c>
      <c r="C11344" t="str">
        <f t="shared" si="649"/>
        <v>80825</v>
      </c>
      <c r="D11344" t="s">
        <v>747</v>
      </c>
      <c r="E11344">
        <v>320.88</v>
      </c>
      <c r="F11344">
        <v>20140730</v>
      </c>
      <c r="G11344" t="s">
        <v>754</v>
      </c>
      <c r="H11344" t="s">
        <v>749</v>
      </c>
      <c r="I11344" t="s">
        <v>21</v>
      </c>
    </row>
    <row r="11345" spans="1:9" x14ac:dyDescent="0.25">
      <c r="A11345">
        <v>20140731</v>
      </c>
      <c r="B11345" t="str">
        <f t="shared" si="648"/>
        <v>116728</v>
      </c>
      <c r="C11345" t="str">
        <f t="shared" si="649"/>
        <v>80825</v>
      </c>
      <c r="D11345" t="s">
        <v>747</v>
      </c>
      <c r="E11345">
        <v>394.17</v>
      </c>
      <c r="F11345">
        <v>20140730</v>
      </c>
      <c r="G11345" t="s">
        <v>754</v>
      </c>
      <c r="H11345" t="s">
        <v>4863</v>
      </c>
      <c r="I11345" t="s">
        <v>21</v>
      </c>
    </row>
    <row r="11346" spans="1:9" x14ac:dyDescent="0.25">
      <c r="A11346">
        <v>20140731</v>
      </c>
      <c r="B11346" t="str">
        <f t="shared" si="648"/>
        <v>116728</v>
      </c>
      <c r="C11346" t="str">
        <f t="shared" si="649"/>
        <v>80825</v>
      </c>
      <c r="D11346" t="s">
        <v>747</v>
      </c>
      <c r="E11346">
        <v>320.88</v>
      </c>
      <c r="F11346">
        <v>20140730</v>
      </c>
      <c r="G11346" t="s">
        <v>990</v>
      </c>
      <c r="H11346" t="s">
        <v>749</v>
      </c>
      <c r="I11346" t="s">
        <v>21</v>
      </c>
    </row>
    <row r="11347" spans="1:9" x14ac:dyDescent="0.25">
      <c r="A11347">
        <v>20140731</v>
      </c>
      <c r="B11347" t="str">
        <f t="shared" si="648"/>
        <v>116728</v>
      </c>
      <c r="C11347" t="str">
        <f t="shared" si="649"/>
        <v>80825</v>
      </c>
      <c r="D11347" t="s">
        <v>747</v>
      </c>
      <c r="E11347">
        <v>317.33999999999997</v>
      </c>
      <c r="F11347">
        <v>20140730</v>
      </c>
      <c r="G11347" t="s">
        <v>990</v>
      </c>
      <c r="H11347" t="s">
        <v>4863</v>
      </c>
      <c r="I11347" t="s">
        <v>21</v>
      </c>
    </row>
    <row r="11348" spans="1:9" x14ac:dyDescent="0.25">
      <c r="A11348">
        <v>20140731</v>
      </c>
      <c r="B11348" t="str">
        <f t="shared" si="648"/>
        <v>116728</v>
      </c>
      <c r="C11348" t="str">
        <f t="shared" si="649"/>
        <v>80825</v>
      </c>
      <c r="D11348" t="s">
        <v>747</v>
      </c>
      <c r="E11348">
        <v>320.88</v>
      </c>
      <c r="F11348">
        <v>20140730</v>
      </c>
      <c r="G11348" t="s">
        <v>755</v>
      </c>
      <c r="H11348" t="s">
        <v>749</v>
      </c>
      <c r="I11348" t="s">
        <v>21</v>
      </c>
    </row>
    <row r="11349" spans="1:9" x14ac:dyDescent="0.25">
      <c r="A11349">
        <v>20140731</v>
      </c>
      <c r="B11349" t="str">
        <f t="shared" si="648"/>
        <v>116728</v>
      </c>
      <c r="C11349" t="str">
        <f t="shared" si="649"/>
        <v>80825</v>
      </c>
      <c r="D11349" t="s">
        <v>747</v>
      </c>
      <c r="E11349">
        <v>690.68</v>
      </c>
      <c r="F11349">
        <v>20140730</v>
      </c>
      <c r="G11349" t="s">
        <v>755</v>
      </c>
      <c r="H11349" t="s">
        <v>4863</v>
      </c>
      <c r="I11349" t="s">
        <v>21</v>
      </c>
    </row>
    <row r="11350" spans="1:9" x14ac:dyDescent="0.25">
      <c r="A11350">
        <v>20140731</v>
      </c>
      <c r="B11350" t="str">
        <f t="shared" si="648"/>
        <v>116728</v>
      </c>
      <c r="C11350" t="str">
        <f t="shared" si="649"/>
        <v>80825</v>
      </c>
      <c r="D11350" t="s">
        <v>747</v>
      </c>
      <c r="E11350">
        <v>320.88</v>
      </c>
      <c r="F11350">
        <v>20140730</v>
      </c>
      <c r="G11350" t="s">
        <v>756</v>
      </c>
      <c r="H11350" t="s">
        <v>749</v>
      </c>
      <c r="I11350" t="s">
        <v>21</v>
      </c>
    </row>
    <row r="11351" spans="1:9" x14ac:dyDescent="0.25">
      <c r="A11351">
        <v>20140731</v>
      </c>
      <c r="B11351" t="str">
        <f t="shared" si="648"/>
        <v>116728</v>
      </c>
      <c r="C11351" t="str">
        <f t="shared" si="649"/>
        <v>80825</v>
      </c>
      <c r="D11351" t="s">
        <v>747</v>
      </c>
      <c r="E11351">
        <v>195.77</v>
      </c>
      <c r="F11351">
        <v>20140730</v>
      </c>
      <c r="G11351" t="s">
        <v>756</v>
      </c>
      <c r="H11351" t="s">
        <v>4863</v>
      </c>
      <c r="I11351" t="s">
        <v>21</v>
      </c>
    </row>
    <row r="11352" spans="1:9" x14ac:dyDescent="0.25">
      <c r="A11352">
        <v>20140731</v>
      </c>
      <c r="B11352" t="str">
        <f t="shared" si="648"/>
        <v>116728</v>
      </c>
      <c r="C11352" t="str">
        <f t="shared" si="649"/>
        <v>80825</v>
      </c>
      <c r="D11352" t="s">
        <v>747</v>
      </c>
      <c r="E11352">
        <v>106.95</v>
      </c>
      <c r="F11352">
        <v>20140730</v>
      </c>
      <c r="G11352" t="s">
        <v>757</v>
      </c>
      <c r="H11352" t="s">
        <v>749</v>
      </c>
      <c r="I11352" t="s">
        <v>21</v>
      </c>
    </row>
    <row r="11353" spans="1:9" x14ac:dyDescent="0.25">
      <c r="A11353">
        <v>20140731</v>
      </c>
      <c r="B11353" t="str">
        <f t="shared" si="648"/>
        <v>116728</v>
      </c>
      <c r="C11353" t="str">
        <f t="shared" si="649"/>
        <v>80825</v>
      </c>
      <c r="D11353" t="s">
        <v>747</v>
      </c>
      <c r="E11353">
        <v>293.89</v>
      </c>
      <c r="F11353">
        <v>20140730</v>
      </c>
      <c r="G11353" t="s">
        <v>757</v>
      </c>
      <c r="H11353" t="s">
        <v>4863</v>
      </c>
      <c r="I11353" t="s">
        <v>21</v>
      </c>
    </row>
    <row r="11354" spans="1:9" x14ac:dyDescent="0.25">
      <c r="A11354">
        <v>20140731</v>
      </c>
      <c r="B11354" t="str">
        <f t="shared" si="648"/>
        <v>116728</v>
      </c>
      <c r="C11354" t="str">
        <f t="shared" si="649"/>
        <v>80825</v>
      </c>
      <c r="D11354" t="s">
        <v>747</v>
      </c>
      <c r="E11354">
        <v>424.58</v>
      </c>
      <c r="F11354">
        <v>20140730</v>
      </c>
      <c r="G11354" t="s">
        <v>1175</v>
      </c>
      <c r="H11354" t="s">
        <v>749</v>
      </c>
      <c r="I11354" t="s">
        <v>21</v>
      </c>
    </row>
    <row r="11355" spans="1:9" x14ac:dyDescent="0.25">
      <c r="A11355">
        <v>20140731</v>
      </c>
      <c r="B11355" t="str">
        <f t="shared" si="648"/>
        <v>116728</v>
      </c>
      <c r="C11355" t="str">
        <f t="shared" si="649"/>
        <v>80825</v>
      </c>
      <c r="D11355" t="s">
        <v>747</v>
      </c>
      <c r="E11355">
        <v>293.89999999999998</v>
      </c>
      <c r="F11355">
        <v>20140730</v>
      </c>
      <c r="G11355" t="s">
        <v>1175</v>
      </c>
      <c r="H11355" t="s">
        <v>4863</v>
      </c>
      <c r="I11355" t="s">
        <v>21</v>
      </c>
    </row>
    <row r="11356" spans="1:9" x14ac:dyDescent="0.25">
      <c r="A11356">
        <v>20140731</v>
      </c>
      <c r="B11356" t="str">
        <f t="shared" si="648"/>
        <v>116728</v>
      </c>
      <c r="C11356" t="str">
        <f t="shared" si="649"/>
        <v>80825</v>
      </c>
      <c r="D11356" t="s">
        <v>747</v>
      </c>
      <c r="E11356">
        <v>106.95</v>
      </c>
      <c r="F11356">
        <v>20140730</v>
      </c>
      <c r="G11356" t="s">
        <v>544</v>
      </c>
      <c r="H11356" t="s">
        <v>749</v>
      </c>
      <c r="I11356" t="s">
        <v>21</v>
      </c>
    </row>
    <row r="11357" spans="1:9" x14ac:dyDescent="0.25">
      <c r="A11357">
        <v>20140731</v>
      </c>
      <c r="B11357" t="str">
        <f t="shared" si="648"/>
        <v>116728</v>
      </c>
      <c r="C11357" t="str">
        <f t="shared" si="649"/>
        <v>80825</v>
      </c>
      <c r="D11357" t="s">
        <v>747</v>
      </c>
      <c r="E11357" s="1">
        <v>2993.66</v>
      </c>
      <c r="F11357">
        <v>20140730</v>
      </c>
      <c r="G11357" t="s">
        <v>544</v>
      </c>
      <c r="H11357" t="s">
        <v>4863</v>
      </c>
      <c r="I11357" t="s">
        <v>21</v>
      </c>
    </row>
    <row r="11358" spans="1:9" x14ac:dyDescent="0.25">
      <c r="A11358">
        <v>20140731</v>
      </c>
      <c r="B11358" t="str">
        <f t="shared" si="648"/>
        <v>116728</v>
      </c>
      <c r="C11358" t="str">
        <f t="shared" si="649"/>
        <v>80825</v>
      </c>
      <c r="D11358" t="s">
        <v>747</v>
      </c>
      <c r="E11358">
        <v>106.95</v>
      </c>
      <c r="F11358">
        <v>20140730</v>
      </c>
      <c r="G11358" t="s">
        <v>545</v>
      </c>
      <c r="H11358" t="s">
        <v>749</v>
      </c>
      <c r="I11358" t="s">
        <v>21</v>
      </c>
    </row>
    <row r="11359" spans="1:9" x14ac:dyDescent="0.25">
      <c r="A11359">
        <v>20140731</v>
      </c>
      <c r="B11359" t="str">
        <f t="shared" si="648"/>
        <v>116728</v>
      </c>
      <c r="C11359" t="str">
        <f t="shared" si="649"/>
        <v>80825</v>
      </c>
      <c r="D11359" t="s">
        <v>747</v>
      </c>
      <c r="E11359">
        <v>345.9</v>
      </c>
      <c r="F11359">
        <v>20140730</v>
      </c>
      <c r="G11359" t="s">
        <v>1176</v>
      </c>
      <c r="H11359" t="s">
        <v>749</v>
      </c>
      <c r="I11359" t="s">
        <v>21</v>
      </c>
    </row>
    <row r="11360" spans="1:9" x14ac:dyDescent="0.25">
      <c r="A11360">
        <v>20140731</v>
      </c>
      <c r="B11360" t="str">
        <f t="shared" si="648"/>
        <v>116728</v>
      </c>
      <c r="C11360" t="str">
        <f t="shared" si="649"/>
        <v>80825</v>
      </c>
      <c r="D11360" t="s">
        <v>747</v>
      </c>
      <c r="E11360">
        <v>723.49</v>
      </c>
      <c r="F11360">
        <v>20140730</v>
      </c>
      <c r="G11360" t="s">
        <v>1176</v>
      </c>
      <c r="H11360" t="s">
        <v>4863</v>
      </c>
      <c r="I11360" t="s">
        <v>21</v>
      </c>
    </row>
    <row r="11361" spans="1:9" x14ac:dyDescent="0.25">
      <c r="A11361">
        <v>20140807</v>
      </c>
      <c r="B11361" t="str">
        <f>"116729"</f>
        <v>116729</v>
      </c>
      <c r="C11361" t="str">
        <f>"00155"</f>
        <v>00155</v>
      </c>
      <c r="D11361" t="s">
        <v>443</v>
      </c>
      <c r="E11361" s="1">
        <v>4750</v>
      </c>
      <c r="F11361">
        <v>20140806</v>
      </c>
      <c r="G11361" t="s">
        <v>1271</v>
      </c>
      <c r="H11361" t="s">
        <v>4864</v>
      </c>
      <c r="I11361" t="s">
        <v>21</v>
      </c>
    </row>
    <row r="11362" spans="1:9" x14ac:dyDescent="0.25">
      <c r="A11362">
        <v>20140807</v>
      </c>
      <c r="B11362" t="str">
        <f>"116730"</f>
        <v>116730</v>
      </c>
      <c r="C11362" t="str">
        <f>"87466"</f>
        <v>87466</v>
      </c>
      <c r="D11362" t="s">
        <v>468</v>
      </c>
      <c r="E11362">
        <v>330</v>
      </c>
      <c r="F11362">
        <v>20140806</v>
      </c>
      <c r="G11362" t="s">
        <v>469</v>
      </c>
      <c r="H11362" t="s">
        <v>501</v>
      </c>
      <c r="I11362" t="s">
        <v>21</v>
      </c>
    </row>
    <row r="11363" spans="1:9" x14ac:dyDescent="0.25">
      <c r="A11363">
        <v>20140807</v>
      </c>
      <c r="B11363" t="str">
        <f>"116731"</f>
        <v>116731</v>
      </c>
      <c r="C11363" t="str">
        <f>"05800"</f>
        <v>05800</v>
      </c>
      <c r="D11363" t="s">
        <v>998</v>
      </c>
      <c r="E11363">
        <v>637</v>
      </c>
      <c r="F11363">
        <v>20140805</v>
      </c>
      <c r="G11363" t="s">
        <v>4393</v>
      </c>
      <c r="H11363" t="s">
        <v>656</v>
      </c>
      <c r="I11363" t="s">
        <v>131</v>
      </c>
    </row>
    <row r="11364" spans="1:9" x14ac:dyDescent="0.25">
      <c r="A11364">
        <v>20140807</v>
      </c>
      <c r="B11364" t="str">
        <f>"116731"</f>
        <v>116731</v>
      </c>
      <c r="C11364" t="str">
        <f>"05800"</f>
        <v>05800</v>
      </c>
      <c r="D11364" t="s">
        <v>998</v>
      </c>
      <c r="E11364">
        <v>252</v>
      </c>
      <c r="F11364">
        <v>20140806</v>
      </c>
      <c r="G11364" t="s">
        <v>2591</v>
      </c>
      <c r="H11364" t="s">
        <v>4865</v>
      </c>
      <c r="I11364" t="s">
        <v>21</v>
      </c>
    </row>
    <row r="11365" spans="1:9" x14ac:dyDescent="0.25">
      <c r="A11365">
        <v>20140807</v>
      </c>
      <c r="B11365" t="str">
        <f>"116732"</f>
        <v>116732</v>
      </c>
      <c r="C11365" t="str">
        <f>"00500"</f>
        <v>00500</v>
      </c>
      <c r="D11365" t="s">
        <v>486</v>
      </c>
      <c r="E11365" s="1">
        <v>2852.97</v>
      </c>
      <c r="F11365">
        <v>20140804</v>
      </c>
      <c r="G11365" t="s">
        <v>1705</v>
      </c>
      <c r="H11365" t="s">
        <v>488</v>
      </c>
      <c r="I11365" t="s">
        <v>21</v>
      </c>
    </row>
    <row r="11366" spans="1:9" x14ac:dyDescent="0.25">
      <c r="A11366">
        <v>20140807</v>
      </c>
      <c r="B11366" t="str">
        <f>"116733"</f>
        <v>116733</v>
      </c>
      <c r="C11366" t="str">
        <f>"00500"</f>
        <v>00500</v>
      </c>
      <c r="D11366" t="s">
        <v>486</v>
      </c>
      <c r="E11366">
        <v>67.62</v>
      </c>
      <c r="F11366">
        <v>20140806</v>
      </c>
      <c r="G11366" t="s">
        <v>1705</v>
      </c>
      <c r="H11366" t="s">
        <v>488</v>
      </c>
      <c r="I11366" t="s">
        <v>21</v>
      </c>
    </row>
    <row r="11367" spans="1:9" x14ac:dyDescent="0.25">
      <c r="A11367">
        <v>20140807</v>
      </c>
      <c r="B11367" t="str">
        <f>"116734"</f>
        <v>116734</v>
      </c>
      <c r="C11367" t="str">
        <f>"87384"</f>
        <v>87384</v>
      </c>
      <c r="D11367" t="s">
        <v>768</v>
      </c>
      <c r="E11367">
        <v>295</v>
      </c>
      <c r="F11367">
        <v>20140804</v>
      </c>
      <c r="G11367" t="s">
        <v>3630</v>
      </c>
      <c r="H11367" t="s">
        <v>4866</v>
      </c>
      <c r="I11367" t="s">
        <v>63</v>
      </c>
    </row>
    <row r="11368" spans="1:9" x14ac:dyDescent="0.25">
      <c r="A11368">
        <v>20140807</v>
      </c>
      <c r="B11368" t="str">
        <f>"116734"</f>
        <v>116734</v>
      </c>
      <c r="C11368" t="str">
        <f>"87384"</f>
        <v>87384</v>
      </c>
      <c r="D11368" t="s">
        <v>768</v>
      </c>
      <c r="E11368" s="1">
        <v>4340</v>
      </c>
      <c r="F11368">
        <v>20140804</v>
      </c>
      <c r="G11368" t="s">
        <v>4867</v>
      </c>
      <c r="H11368" t="s">
        <v>4868</v>
      </c>
      <c r="I11368" t="s">
        <v>63</v>
      </c>
    </row>
    <row r="11369" spans="1:9" x14ac:dyDescent="0.25">
      <c r="A11369">
        <v>20140807</v>
      </c>
      <c r="B11369" t="str">
        <f>"116734"</f>
        <v>116734</v>
      </c>
      <c r="C11369" t="str">
        <f>"87384"</f>
        <v>87384</v>
      </c>
      <c r="D11369" t="s">
        <v>768</v>
      </c>
      <c r="E11369" s="1">
        <v>4420</v>
      </c>
      <c r="F11369">
        <v>20140804</v>
      </c>
      <c r="G11369" t="s">
        <v>4867</v>
      </c>
      <c r="H11369" t="s">
        <v>4869</v>
      </c>
      <c r="I11369" t="s">
        <v>63</v>
      </c>
    </row>
    <row r="11370" spans="1:9" x14ac:dyDescent="0.25">
      <c r="A11370">
        <v>20140807</v>
      </c>
      <c r="B11370" t="str">
        <f>"116735"</f>
        <v>116735</v>
      </c>
      <c r="C11370" t="str">
        <f>"87465"</f>
        <v>87465</v>
      </c>
      <c r="D11370" t="s">
        <v>500</v>
      </c>
      <c r="E11370">
        <v>40</v>
      </c>
      <c r="F11370">
        <v>20140806</v>
      </c>
      <c r="G11370" t="s">
        <v>469</v>
      </c>
      <c r="H11370" t="s">
        <v>501</v>
      </c>
      <c r="I11370" t="s">
        <v>21</v>
      </c>
    </row>
    <row r="11371" spans="1:9" x14ac:dyDescent="0.25">
      <c r="A11371">
        <v>20140807</v>
      </c>
      <c r="B11371" t="str">
        <f>"116736"</f>
        <v>116736</v>
      </c>
      <c r="C11371" t="str">
        <f>"87926"</f>
        <v>87926</v>
      </c>
      <c r="D11371" t="s">
        <v>4870</v>
      </c>
      <c r="E11371">
        <v>250</v>
      </c>
      <c r="F11371">
        <v>20140806</v>
      </c>
      <c r="G11371" t="s">
        <v>347</v>
      </c>
      <c r="H11371" t="s">
        <v>1740</v>
      </c>
      <c r="I11371" t="s">
        <v>61</v>
      </c>
    </row>
    <row r="11372" spans="1:9" x14ac:dyDescent="0.25">
      <c r="A11372">
        <v>20140807</v>
      </c>
      <c r="B11372" t="str">
        <f>"116737"</f>
        <v>116737</v>
      </c>
      <c r="C11372" t="str">
        <f>"82560"</f>
        <v>82560</v>
      </c>
      <c r="D11372" t="s">
        <v>403</v>
      </c>
      <c r="E11372">
        <v>153.61000000000001</v>
      </c>
      <c r="F11372">
        <v>20140806</v>
      </c>
      <c r="G11372" t="s">
        <v>4772</v>
      </c>
      <c r="H11372" t="s">
        <v>405</v>
      </c>
      <c r="I11372" t="s">
        <v>218</v>
      </c>
    </row>
    <row r="11373" spans="1:9" x14ac:dyDescent="0.25">
      <c r="A11373">
        <v>20140807</v>
      </c>
      <c r="B11373" t="str">
        <f>"116738"</f>
        <v>116738</v>
      </c>
      <c r="C11373" t="str">
        <f>"10075"</f>
        <v>10075</v>
      </c>
      <c r="D11373" t="s">
        <v>1199</v>
      </c>
      <c r="E11373" s="1">
        <v>3577</v>
      </c>
      <c r="F11373">
        <v>20140805</v>
      </c>
      <c r="G11373" t="s">
        <v>1729</v>
      </c>
      <c r="H11373" t="s">
        <v>839</v>
      </c>
      <c r="I11373" t="s">
        <v>61</v>
      </c>
    </row>
    <row r="11374" spans="1:9" x14ac:dyDescent="0.25">
      <c r="A11374">
        <v>20140807</v>
      </c>
      <c r="B11374" t="str">
        <f>"116738"</f>
        <v>116738</v>
      </c>
      <c r="C11374" t="str">
        <f>"10075"</f>
        <v>10075</v>
      </c>
      <c r="D11374" t="s">
        <v>1199</v>
      </c>
      <c r="E11374" s="1">
        <v>2917</v>
      </c>
      <c r="F11374">
        <v>20140805</v>
      </c>
      <c r="G11374" t="s">
        <v>4871</v>
      </c>
      <c r="H11374" t="s">
        <v>4872</v>
      </c>
      <c r="I11374" t="s">
        <v>61</v>
      </c>
    </row>
    <row r="11375" spans="1:9" x14ac:dyDescent="0.25">
      <c r="A11375">
        <v>20140807</v>
      </c>
      <c r="B11375" t="str">
        <f>"116739"</f>
        <v>116739</v>
      </c>
      <c r="C11375" t="str">
        <f>"86576"</f>
        <v>86576</v>
      </c>
      <c r="D11375" t="s">
        <v>409</v>
      </c>
      <c r="E11375">
        <v>35.1</v>
      </c>
      <c r="F11375">
        <v>20140806</v>
      </c>
      <c r="G11375" t="s">
        <v>410</v>
      </c>
      <c r="H11375" t="s">
        <v>411</v>
      </c>
      <c r="I11375" t="s">
        <v>12</v>
      </c>
    </row>
    <row r="11376" spans="1:9" x14ac:dyDescent="0.25">
      <c r="A11376">
        <v>20140807</v>
      </c>
      <c r="B11376" t="str">
        <f>"116740"</f>
        <v>116740</v>
      </c>
      <c r="C11376" t="str">
        <f>"85796"</f>
        <v>85796</v>
      </c>
      <c r="D11376" t="s">
        <v>796</v>
      </c>
      <c r="E11376">
        <v>229.97</v>
      </c>
      <c r="F11376">
        <v>20140804</v>
      </c>
      <c r="G11376" t="s">
        <v>1300</v>
      </c>
      <c r="H11376" t="s">
        <v>365</v>
      </c>
      <c r="I11376" t="s">
        <v>66</v>
      </c>
    </row>
    <row r="11377" spans="1:9" x14ac:dyDescent="0.25">
      <c r="A11377">
        <v>20140807</v>
      </c>
      <c r="B11377" t="str">
        <f t="shared" ref="B11377:B11404" si="650">"116741"</f>
        <v>116741</v>
      </c>
      <c r="C11377" t="str">
        <f t="shared" ref="C11377:C11404" si="651">"18200"</f>
        <v>18200</v>
      </c>
      <c r="D11377" t="s">
        <v>516</v>
      </c>
      <c r="E11377">
        <v>98.52</v>
      </c>
      <c r="F11377">
        <v>20140806</v>
      </c>
      <c r="G11377" t="s">
        <v>453</v>
      </c>
      <c r="H11377" t="s">
        <v>488</v>
      </c>
      <c r="I11377" t="s">
        <v>21</v>
      </c>
    </row>
    <row r="11378" spans="1:9" x14ac:dyDescent="0.25">
      <c r="A11378">
        <v>20140807</v>
      </c>
      <c r="B11378" t="str">
        <f t="shared" si="650"/>
        <v>116741</v>
      </c>
      <c r="C11378" t="str">
        <f t="shared" si="651"/>
        <v>18200</v>
      </c>
      <c r="D11378" t="s">
        <v>516</v>
      </c>
      <c r="E11378">
        <v>193.87</v>
      </c>
      <c r="F11378">
        <v>20140806</v>
      </c>
      <c r="G11378" t="s">
        <v>455</v>
      </c>
      <c r="H11378" t="s">
        <v>488</v>
      </c>
      <c r="I11378" t="s">
        <v>21</v>
      </c>
    </row>
    <row r="11379" spans="1:9" x14ac:dyDescent="0.25">
      <c r="A11379">
        <v>20140807</v>
      </c>
      <c r="B11379" t="str">
        <f t="shared" si="650"/>
        <v>116741</v>
      </c>
      <c r="C11379" t="str">
        <f t="shared" si="651"/>
        <v>18200</v>
      </c>
      <c r="D11379" t="s">
        <v>516</v>
      </c>
      <c r="E11379" s="1">
        <v>1327.56</v>
      </c>
      <c r="F11379">
        <v>20140806</v>
      </c>
      <c r="G11379" t="s">
        <v>455</v>
      </c>
      <c r="H11379" t="s">
        <v>488</v>
      </c>
      <c r="I11379" t="s">
        <v>21</v>
      </c>
    </row>
    <row r="11380" spans="1:9" x14ac:dyDescent="0.25">
      <c r="A11380">
        <v>20140807</v>
      </c>
      <c r="B11380" t="str">
        <f t="shared" si="650"/>
        <v>116741</v>
      </c>
      <c r="C11380" t="str">
        <f t="shared" si="651"/>
        <v>18200</v>
      </c>
      <c r="D11380" t="s">
        <v>516</v>
      </c>
      <c r="E11380">
        <v>190.24</v>
      </c>
      <c r="F11380">
        <v>20140806</v>
      </c>
      <c r="G11380" t="s">
        <v>455</v>
      </c>
      <c r="H11380" t="s">
        <v>488</v>
      </c>
      <c r="I11380" t="s">
        <v>21</v>
      </c>
    </row>
    <row r="11381" spans="1:9" x14ac:dyDescent="0.25">
      <c r="A11381">
        <v>20140807</v>
      </c>
      <c r="B11381" t="str">
        <f t="shared" si="650"/>
        <v>116741</v>
      </c>
      <c r="C11381" t="str">
        <f t="shared" si="651"/>
        <v>18200</v>
      </c>
      <c r="D11381" t="s">
        <v>516</v>
      </c>
      <c r="E11381">
        <v>87.12</v>
      </c>
      <c r="F11381">
        <v>20140806</v>
      </c>
      <c r="G11381" t="s">
        <v>456</v>
      </c>
      <c r="H11381" t="s">
        <v>488</v>
      </c>
      <c r="I11381" t="s">
        <v>21</v>
      </c>
    </row>
    <row r="11382" spans="1:9" x14ac:dyDescent="0.25">
      <c r="A11382">
        <v>20140807</v>
      </c>
      <c r="B11382" t="str">
        <f t="shared" si="650"/>
        <v>116741</v>
      </c>
      <c r="C11382" t="str">
        <f t="shared" si="651"/>
        <v>18200</v>
      </c>
      <c r="D11382" t="s">
        <v>516</v>
      </c>
      <c r="E11382">
        <v>184.12</v>
      </c>
      <c r="F11382">
        <v>20140806</v>
      </c>
      <c r="G11382" t="s">
        <v>456</v>
      </c>
      <c r="H11382" t="s">
        <v>488</v>
      </c>
      <c r="I11382" t="s">
        <v>21</v>
      </c>
    </row>
    <row r="11383" spans="1:9" x14ac:dyDescent="0.25">
      <c r="A11383">
        <v>20140807</v>
      </c>
      <c r="B11383" t="str">
        <f t="shared" si="650"/>
        <v>116741</v>
      </c>
      <c r="C11383" t="str">
        <f t="shared" si="651"/>
        <v>18200</v>
      </c>
      <c r="D11383" t="s">
        <v>516</v>
      </c>
      <c r="E11383">
        <v>254.85</v>
      </c>
      <c r="F11383">
        <v>20140806</v>
      </c>
      <c r="G11383" t="s">
        <v>456</v>
      </c>
      <c r="H11383" t="s">
        <v>488</v>
      </c>
      <c r="I11383" t="s">
        <v>21</v>
      </c>
    </row>
    <row r="11384" spans="1:9" x14ac:dyDescent="0.25">
      <c r="A11384">
        <v>20140807</v>
      </c>
      <c r="B11384" t="str">
        <f t="shared" si="650"/>
        <v>116741</v>
      </c>
      <c r="C11384" t="str">
        <f t="shared" si="651"/>
        <v>18200</v>
      </c>
      <c r="D11384" t="s">
        <v>516</v>
      </c>
      <c r="E11384">
        <v>511.15</v>
      </c>
      <c r="F11384">
        <v>20140806</v>
      </c>
      <c r="G11384" t="s">
        <v>457</v>
      </c>
      <c r="H11384" t="s">
        <v>488</v>
      </c>
      <c r="I11384" t="s">
        <v>21</v>
      </c>
    </row>
    <row r="11385" spans="1:9" x14ac:dyDescent="0.25">
      <c r="A11385">
        <v>20140807</v>
      </c>
      <c r="B11385" t="str">
        <f t="shared" si="650"/>
        <v>116741</v>
      </c>
      <c r="C11385" t="str">
        <f t="shared" si="651"/>
        <v>18200</v>
      </c>
      <c r="D11385" t="s">
        <v>516</v>
      </c>
      <c r="E11385">
        <v>248.85</v>
      </c>
      <c r="F11385">
        <v>20140806</v>
      </c>
      <c r="G11385" t="s">
        <v>458</v>
      </c>
      <c r="H11385" t="s">
        <v>488</v>
      </c>
      <c r="I11385" t="s">
        <v>21</v>
      </c>
    </row>
    <row r="11386" spans="1:9" x14ac:dyDescent="0.25">
      <c r="A11386">
        <v>20140807</v>
      </c>
      <c r="B11386" t="str">
        <f t="shared" si="650"/>
        <v>116741</v>
      </c>
      <c r="C11386" t="str">
        <f t="shared" si="651"/>
        <v>18200</v>
      </c>
      <c r="D11386" t="s">
        <v>516</v>
      </c>
      <c r="E11386">
        <v>210.37</v>
      </c>
      <c r="F11386">
        <v>20140806</v>
      </c>
      <c r="G11386" t="s">
        <v>458</v>
      </c>
      <c r="H11386" t="s">
        <v>488</v>
      </c>
      <c r="I11386" t="s">
        <v>21</v>
      </c>
    </row>
    <row r="11387" spans="1:9" x14ac:dyDescent="0.25">
      <c r="A11387">
        <v>20140807</v>
      </c>
      <c r="B11387" t="str">
        <f t="shared" si="650"/>
        <v>116741</v>
      </c>
      <c r="C11387" t="str">
        <f t="shared" si="651"/>
        <v>18200</v>
      </c>
      <c r="D11387" t="s">
        <v>516</v>
      </c>
      <c r="E11387">
        <v>546.04999999999995</v>
      </c>
      <c r="F11387">
        <v>20140806</v>
      </c>
      <c r="G11387" t="s">
        <v>459</v>
      </c>
      <c r="H11387" t="s">
        <v>488</v>
      </c>
      <c r="I11387" t="s">
        <v>21</v>
      </c>
    </row>
    <row r="11388" spans="1:9" x14ac:dyDescent="0.25">
      <c r="A11388">
        <v>20140807</v>
      </c>
      <c r="B11388" t="str">
        <f t="shared" si="650"/>
        <v>116741</v>
      </c>
      <c r="C11388" t="str">
        <f t="shared" si="651"/>
        <v>18200</v>
      </c>
      <c r="D11388" t="s">
        <v>516</v>
      </c>
      <c r="E11388">
        <v>224.02</v>
      </c>
      <c r="F11388">
        <v>20140806</v>
      </c>
      <c r="G11388" t="s">
        <v>460</v>
      </c>
      <c r="H11388" t="s">
        <v>488</v>
      </c>
      <c r="I11388" t="s">
        <v>21</v>
      </c>
    </row>
    <row r="11389" spans="1:9" x14ac:dyDescent="0.25">
      <c r="A11389">
        <v>20140807</v>
      </c>
      <c r="B11389" t="str">
        <f t="shared" si="650"/>
        <v>116741</v>
      </c>
      <c r="C11389" t="str">
        <f t="shared" si="651"/>
        <v>18200</v>
      </c>
      <c r="D11389" t="s">
        <v>516</v>
      </c>
      <c r="E11389">
        <v>28.49</v>
      </c>
      <c r="F11389">
        <v>20140806</v>
      </c>
      <c r="G11389" t="s">
        <v>460</v>
      </c>
      <c r="H11389" t="s">
        <v>488</v>
      </c>
      <c r="I11389" t="s">
        <v>21</v>
      </c>
    </row>
    <row r="11390" spans="1:9" x14ac:dyDescent="0.25">
      <c r="A11390">
        <v>20140807</v>
      </c>
      <c r="B11390" t="str">
        <f t="shared" si="650"/>
        <v>116741</v>
      </c>
      <c r="C11390" t="str">
        <f t="shared" si="651"/>
        <v>18200</v>
      </c>
      <c r="D11390" t="s">
        <v>516</v>
      </c>
      <c r="E11390">
        <v>29.02</v>
      </c>
      <c r="F11390">
        <v>20140806</v>
      </c>
      <c r="G11390" t="s">
        <v>461</v>
      </c>
      <c r="H11390" t="s">
        <v>488</v>
      </c>
      <c r="I11390" t="s">
        <v>21</v>
      </c>
    </row>
    <row r="11391" spans="1:9" x14ac:dyDescent="0.25">
      <c r="A11391">
        <v>20140807</v>
      </c>
      <c r="B11391" t="str">
        <f t="shared" si="650"/>
        <v>116741</v>
      </c>
      <c r="C11391" t="str">
        <f t="shared" si="651"/>
        <v>18200</v>
      </c>
      <c r="D11391" t="s">
        <v>516</v>
      </c>
      <c r="E11391">
        <v>74.489999999999995</v>
      </c>
      <c r="F11391">
        <v>20140806</v>
      </c>
      <c r="G11391" t="s">
        <v>461</v>
      </c>
      <c r="H11391" t="s">
        <v>488</v>
      </c>
      <c r="I11391" t="s">
        <v>21</v>
      </c>
    </row>
    <row r="11392" spans="1:9" x14ac:dyDescent="0.25">
      <c r="A11392">
        <v>20140807</v>
      </c>
      <c r="B11392" t="str">
        <f t="shared" si="650"/>
        <v>116741</v>
      </c>
      <c r="C11392" t="str">
        <f t="shared" si="651"/>
        <v>18200</v>
      </c>
      <c r="D11392" t="s">
        <v>516</v>
      </c>
      <c r="E11392">
        <v>148.12</v>
      </c>
      <c r="F11392">
        <v>20140806</v>
      </c>
      <c r="G11392" t="s">
        <v>461</v>
      </c>
      <c r="H11392" t="s">
        <v>488</v>
      </c>
      <c r="I11392" t="s">
        <v>21</v>
      </c>
    </row>
    <row r="11393" spans="1:9" x14ac:dyDescent="0.25">
      <c r="A11393">
        <v>20140807</v>
      </c>
      <c r="B11393" t="str">
        <f t="shared" si="650"/>
        <v>116741</v>
      </c>
      <c r="C11393" t="str">
        <f t="shared" si="651"/>
        <v>18200</v>
      </c>
      <c r="D11393" t="s">
        <v>516</v>
      </c>
      <c r="E11393">
        <v>142.12</v>
      </c>
      <c r="F11393">
        <v>20140806</v>
      </c>
      <c r="G11393" t="s">
        <v>462</v>
      </c>
      <c r="H11393" t="s">
        <v>488</v>
      </c>
      <c r="I11393" t="s">
        <v>21</v>
      </c>
    </row>
    <row r="11394" spans="1:9" x14ac:dyDescent="0.25">
      <c r="A11394">
        <v>20140807</v>
      </c>
      <c r="B11394" t="str">
        <f t="shared" si="650"/>
        <v>116741</v>
      </c>
      <c r="C11394" t="str">
        <f t="shared" si="651"/>
        <v>18200</v>
      </c>
      <c r="D11394" t="s">
        <v>516</v>
      </c>
      <c r="E11394">
        <v>71.489999999999995</v>
      </c>
      <c r="F11394">
        <v>20140806</v>
      </c>
      <c r="G11394" t="s">
        <v>463</v>
      </c>
      <c r="H11394" t="s">
        <v>488</v>
      </c>
      <c r="I11394" t="s">
        <v>21</v>
      </c>
    </row>
    <row r="11395" spans="1:9" x14ac:dyDescent="0.25">
      <c r="A11395">
        <v>20140807</v>
      </c>
      <c r="B11395" t="str">
        <f t="shared" si="650"/>
        <v>116741</v>
      </c>
      <c r="C11395" t="str">
        <f t="shared" si="651"/>
        <v>18200</v>
      </c>
      <c r="D11395" t="s">
        <v>516</v>
      </c>
      <c r="E11395">
        <v>136.12</v>
      </c>
      <c r="F11395">
        <v>20140806</v>
      </c>
      <c r="G11395" t="s">
        <v>463</v>
      </c>
      <c r="H11395" t="s">
        <v>488</v>
      </c>
      <c r="I11395" t="s">
        <v>21</v>
      </c>
    </row>
    <row r="11396" spans="1:9" x14ac:dyDescent="0.25">
      <c r="A11396">
        <v>20140807</v>
      </c>
      <c r="B11396" t="str">
        <f t="shared" si="650"/>
        <v>116741</v>
      </c>
      <c r="C11396" t="str">
        <f t="shared" si="651"/>
        <v>18200</v>
      </c>
      <c r="D11396" t="s">
        <v>516</v>
      </c>
      <c r="E11396">
        <v>-11.51</v>
      </c>
      <c r="F11396">
        <v>20140807</v>
      </c>
      <c r="G11396" t="s">
        <v>463</v>
      </c>
      <c r="H11396" t="s">
        <v>488</v>
      </c>
      <c r="I11396" t="s">
        <v>21</v>
      </c>
    </row>
    <row r="11397" spans="1:9" x14ac:dyDescent="0.25">
      <c r="A11397">
        <v>20140807</v>
      </c>
      <c r="B11397" t="str">
        <f t="shared" si="650"/>
        <v>116741</v>
      </c>
      <c r="C11397" t="str">
        <f t="shared" si="651"/>
        <v>18200</v>
      </c>
      <c r="D11397" t="s">
        <v>516</v>
      </c>
      <c r="E11397">
        <v>38</v>
      </c>
      <c r="F11397">
        <v>20140806</v>
      </c>
      <c r="G11397" t="s">
        <v>464</v>
      </c>
      <c r="H11397" t="s">
        <v>488</v>
      </c>
      <c r="I11397" t="s">
        <v>21</v>
      </c>
    </row>
    <row r="11398" spans="1:9" x14ac:dyDescent="0.25">
      <c r="A11398">
        <v>20140807</v>
      </c>
      <c r="B11398" t="str">
        <f t="shared" si="650"/>
        <v>116741</v>
      </c>
      <c r="C11398" t="str">
        <f t="shared" si="651"/>
        <v>18200</v>
      </c>
      <c r="D11398" t="s">
        <v>516</v>
      </c>
      <c r="E11398">
        <v>613.62</v>
      </c>
      <c r="F11398">
        <v>20140806</v>
      </c>
      <c r="G11398" t="s">
        <v>464</v>
      </c>
      <c r="H11398" t="s">
        <v>488</v>
      </c>
      <c r="I11398" t="s">
        <v>21</v>
      </c>
    </row>
    <row r="11399" spans="1:9" x14ac:dyDescent="0.25">
      <c r="A11399">
        <v>20140807</v>
      </c>
      <c r="B11399" t="str">
        <f t="shared" si="650"/>
        <v>116741</v>
      </c>
      <c r="C11399" t="str">
        <f t="shared" si="651"/>
        <v>18200</v>
      </c>
      <c r="D11399" t="s">
        <v>516</v>
      </c>
      <c r="E11399">
        <v>388.62</v>
      </c>
      <c r="F11399">
        <v>20140806</v>
      </c>
      <c r="G11399" t="s">
        <v>465</v>
      </c>
      <c r="H11399" t="s">
        <v>488</v>
      </c>
      <c r="I11399" t="s">
        <v>21</v>
      </c>
    </row>
    <row r="11400" spans="1:9" x14ac:dyDescent="0.25">
      <c r="A11400">
        <v>20140807</v>
      </c>
      <c r="B11400" t="str">
        <f t="shared" si="650"/>
        <v>116741</v>
      </c>
      <c r="C11400" t="str">
        <f t="shared" si="651"/>
        <v>18200</v>
      </c>
      <c r="D11400" t="s">
        <v>516</v>
      </c>
      <c r="E11400">
        <v>59</v>
      </c>
      <c r="F11400">
        <v>20140806</v>
      </c>
      <c r="G11400" t="s">
        <v>1212</v>
      </c>
      <c r="H11400" t="s">
        <v>488</v>
      </c>
      <c r="I11400" t="s">
        <v>21</v>
      </c>
    </row>
    <row r="11401" spans="1:9" x14ac:dyDescent="0.25">
      <c r="A11401">
        <v>20140807</v>
      </c>
      <c r="B11401" t="str">
        <f t="shared" si="650"/>
        <v>116741</v>
      </c>
      <c r="C11401" t="str">
        <f t="shared" si="651"/>
        <v>18200</v>
      </c>
      <c r="D11401" t="s">
        <v>516</v>
      </c>
      <c r="E11401">
        <v>501.6</v>
      </c>
      <c r="F11401">
        <v>20140806</v>
      </c>
      <c r="G11401" t="s">
        <v>466</v>
      </c>
      <c r="H11401" t="s">
        <v>488</v>
      </c>
      <c r="I11401" t="s">
        <v>21</v>
      </c>
    </row>
    <row r="11402" spans="1:9" x14ac:dyDescent="0.25">
      <c r="A11402">
        <v>20140807</v>
      </c>
      <c r="B11402" t="str">
        <f t="shared" si="650"/>
        <v>116741</v>
      </c>
      <c r="C11402" t="str">
        <f t="shared" si="651"/>
        <v>18200</v>
      </c>
      <c r="D11402" t="s">
        <v>516</v>
      </c>
      <c r="E11402" s="1">
        <v>4963</v>
      </c>
      <c r="F11402">
        <v>20140806</v>
      </c>
      <c r="G11402" t="s">
        <v>466</v>
      </c>
      <c r="H11402" t="s">
        <v>488</v>
      </c>
      <c r="I11402" t="s">
        <v>21</v>
      </c>
    </row>
    <row r="11403" spans="1:9" x14ac:dyDescent="0.25">
      <c r="A11403">
        <v>20140807</v>
      </c>
      <c r="B11403" t="str">
        <f t="shared" si="650"/>
        <v>116741</v>
      </c>
      <c r="C11403" t="str">
        <f t="shared" si="651"/>
        <v>18200</v>
      </c>
      <c r="D11403" t="s">
        <v>516</v>
      </c>
      <c r="E11403">
        <v>84.12</v>
      </c>
      <c r="F11403">
        <v>20140806</v>
      </c>
      <c r="G11403" t="s">
        <v>466</v>
      </c>
      <c r="H11403" t="s">
        <v>488</v>
      </c>
      <c r="I11403" t="s">
        <v>21</v>
      </c>
    </row>
    <row r="11404" spans="1:9" x14ac:dyDescent="0.25">
      <c r="A11404">
        <v>20140807</v>
      </c>
      <c r="B11404" t="str">
        <f t="shared" si="650"/>
        <v>116741</v>
      </c>
      <c r="C11404" t="str">
        <f t="shared" si="651"/>
        <v>18200</v>
      </c>
      <c r="D11404" t="s">
        <v>516</v>
      </c>
      <c r="E11404">
        <v>59</v>
      </c>
      <c r="F11404">
        <v>20140806</v>
      </c>
      <c r="G11404" t="s">
        <v>467</v>
      </c>
      <c r="H11404" t="s">
        <v>488</v>
      </c>
      <c r="I11404" t="s">
        <v>21</v>
      </c>
    </row>
    <row r="11405" spans="1:9" x14ac:dyDescent="0.25">
      <c r="A11405">
        <v>20140807</v>
      </c>
      <c r="B11405" t="str">
        <f>"116742"</f>
        <v>116742</v>
      </c>
      <c r="C11405" t="str">
        <f>"87701"</f>
        <v>87701</v>
      </c>
      <c r="D11405" t="s">
        <v>3012</v>
      </c>
      <c r="E11405">
        <v>59.65</v>
      </c>
      <c r="F11405">
        <v>20140806</v>
      </c>
      <c r="G11405" t="s">
        <v>202</v>
      </c>
      <c r="H11405" t="s">
        <v>4536</v>
      </c>
      <c r="I11405" t="s">
        <v>12</v>
      </c>
    </row>
    <row r="11406" spans="1:9" x14ac:dyDescent="0.25">
      <c r="A11406">
        <v>20140807</v>
      </c>
      <c r="B11406" t="str">
        <f>"116743"</f>
        <v>116743</v>
      </c>
      <c r="C11406" t="str">
        <f>"22500"</f>
        <v>22500</v>
      </c>
      <c r="D11406" t="s">
        <v>523</v>
      </c>
      <c r="E11406">
        <v>205</v>
      </c>
      <c r="F11406">
        <v>20140804</v>
      </c>
      <c r="G11406" t="s">
        <v>526</v>
      </c>
      <c r="H11406" t="s">
        <v>4873</v>
      </c>
      <c r="I11406" t="s">
        <v>21</v>
      </c>
    </row>
    <row r="11407" spans="1:9" x14ac:dyDescent="0.25">
      <c r="A11407">
        <v>20140807</v>
      </c>
      <c r="B11407" t="str">
        <f>"116744"</f>
        <v>116744</v>
      </c>
      <c r="C11407" t="str">
        <f>"22923"</f>
        <v>22923</v>
      </c>
      <c r="D11407" t="s">
        <v>4874</v>
      </c>
      <c r="E11407">
        <v>765</v>
      </c>
      <c r="F11407">
        <v>20140806</v>
      </c>
      <c r="G11407" t="s">
        <v>621</v>
      </c>
      <c r="H11407" t="s">
        <v>4875</v>
      </c>
      <c r="I11407" t="s">
        <v>21</v>
      </c>
    </row>
    <row r="11408" spans="1:9" x14ac:dyDescent="0.25">
      <c r="A11408">
        <v>20140807</v>
      </c>
      <c r="B11408" t="str">
        <f>"116745"</f>
        <v>116745</v>
      </c>
      <c r="C11408" t="str">
        <f>"23168"</f>
        <v>23168</v>
      </c>
      <c r="D11408" t="s">
        <v>1396</v>
      </c>
      <c r="E11408">
        <v>728.11</v>
      </c>
      <c r="F11408">
        <v>20140806</v>
      </c>
      <c r="G11408" t="s">
        <v>1464</v>
      </c>
      <c r="H11408" t="s">
        <v>1397</v>
      </c>
      <c r="I11408" t="s">
        <v>21</v>
      </c>
    </row>
    <row r="11409" spans="1:9" x14ac:dyDescent="0.25">
      <c r="A11409">
        <v>20140807</v>
      </c>
      <c r="B11409" t="str">
        <f t="shared" ref="B11409:B11421" si="652">"116746"</f>
        <v>116746</v>
      </c>
      <c r="C11409" t="str">
        <f t="shared" ref="C11409:C11421" si="653">"24530"</f>
        <v>24530</v>
      </c>
      <c r="D11409" t="s">
        <v>412</v>
      </c>
      <c r="E11409" s="1">
        <v>1828.73</v>
      </c>
      <c r="F11409">
        <v>20140806</v>
      </c>
      <c r="G11409" t="s">
        <v>415</v>
      </c>
      <c r="H11409" t="s">
        <v>414</v>
      </c>
      <c r="I11409" t="s">
        <v>21</v>
      </c>
    </row>
    <row r="11410" spans="1:9" x14ac:dyDescent="0.25">
      <c r="A11410">
        <v>20140807</v>
      </c>
      <c r="B11410" t="str">
        <f t="shared" si="652"/>
        <v>116746</v>
      </c>
      <c r="C11410" t="str">
        <f t="shared" si="653"/>
        <v>24530</v>
      </c>
      <c r="D11410" t="s">
        <v>412</v>
      </c>
      <c r="E11410">
        <v>367.84</v>
      </c>
      <c r="F11410">
        <v>20140806</v>
      </c>
      <c r="G11410" t="s">
        <v>627</v>
      </c>
      <c r="H11410" t="s">
        <v>414</v>
      </c>
      <c r="I11410" t="s">
        <v>21</v>
      </c>
    </row>
    <row r="11411" spans="1:9" x14ac:dyDescent="0.25">
      <c r="A11411">
        <v>20140807</v>
      </c>
      <c r="B11411" t="str">
        <f t="shared" si="652"/>
        <v>116746</v>
      </c>
      <c r="C11411" t="str">
        <f t="shared" si="653"/>
        <v>24530</v>
      </c>
      <c r="D11411" t="s">
        <v>412</v>
      </c>
      <c r="E11411">
        <v>250.32</v>
      </c>
      <c r="F11411">
        <v>20140806</v>
      </c>
      <c r="G11411" t="s">
        <v>1222</v>
      </c>
      <c r="H11411" t="s">
        <v>414</v>
      </c>
      <c r="I11411" t="s">
        <v>21</v>
      </c>
    </row>
    <row r="11412" spans="1:9" x14ac:dyDescent="0.25">
      <c r="A11412">
        <v>20140807</v>
      </c>
      <c r="B11412" t="str">
        <f t="shared" si="652"/>
        <v>116746</v>
      </c>
      <c r="C11412" t="str">
        <f t="shared" si="653"/>
        <v>24530</v>
      </c>
      <c r="D11412" t="s">
        <v>412</v>
      </c>
      <c r="E11412">
        <v>421.2</v>
      </c>
      <c r="F11412">
        <v>20140806</v>
      </c>
      <c r="G11412" t="s">
        <v>628</v>
      </c>
      <c r="H11412" t="s">
        <v>414</v>
      </c>
      <c r="I11412" t="s">
        <v>21</v>
      </c>
    </row>
    <row r="11413" spans="1:9" x14ac:dyDescent="0.25">
      <c r="A11413">
        <v>20140807</v>
      </c>
      <c r="B11413" t="str">
        <f t="shared" si="652"/>
        <v>116746</v>
      </c>
      <c r="C11413" t="str">
        <f t="shared" si="653"/>
        <v>24530</v>
      </c>
      <c r="D11413" t="s">
        <v>412</v>
      </c>
      <c r="E11413">
        <v>140.4</v>
      </c>
      <c r="F11413">
        <v>20140806</v>
      </c>
      <c r="G11413" t="s">
        <v>629</v>
      </c>
      <c r="H11413" t="s">
        <v>414</v>
      </c>
      <c r="I11413" t="s">
        <v>21</v>
      </c>
    </row>
    <row r="11414" spans="1:9" x14ac:dyDescent="0.25">
      <c r="A11414">
        <v>20140807</v>
      </c>
      <c r="B11414" t="str">
        <f t="shared" si="652"/>
        <v>116746</v>
      </c>
      <c r="C11414" t="str">
        <f t="shared" si="653"/>
        <v>24530</v>
      </c>
      <c r="D11414" t="s">
        <v>412</v>
      </c>
      <c r="E11414">
        <v>229.35</v>
      </c>
      <c r="F11414">
        <v>20140806</v>
      </c>
      <c r="G11414" t="s">
        <v>630</v>
      </c>
      <c r="H11414" t="s">
        <v>414</v>
      </c>
      <c r="I11414" t="s">
        <v>21</v>
      </c>
    </row>
    <row r="11415" spans="1:9" x14ac:dyDescent="0.25">
      <c r="A11415">
        <v>20140807</v>
      </c>
      <c r="B11415" t="str">
        <f t="shared" si="652"/>
        <v>116746</v>
      </c>
      <c r="C11415" t="str">
        <f t="shared" si="653"/>
        <v>24530</v>
      </c>
      <c r="D11415" t="s">
        <v>412</v>
      </c>
      <c r="E11415">
        <v>420.02</v>
      </c>
      <c r="F11415">
        <v>20140806</v>
      </c>
      <c r="G11415" t="s">
        <v>530</v>
      </c>
      <c r="H11415" t="s">
        <v>414</v>
      </c>
      <c r="I11415" t="s">
        <v>21</v>
      </c>
    </row>
    <row r="11416" spans="1:9" x14ac:dyDescent="0.25">
      <c r="A11416">
        <v>20140807</v>
      </c>
      <c r="B11416" t="str">
        <f t="shared" si="652"/>
        <v>116746</v>
      </c>
      <c r="C11416" t="str">
        <f t="shared" si="653"/>
        <v>24530</v>
      </c>
      <c r="D11416" t="s">
        <v>412</v>
      </c>
      <c r="E11416">
        <v>541.64</v>
      </c>
      <c r="F11416">
        <v>20140806</v>
      </c>
      <c r="G11416" t="s">
        <v>631</v>
      </c>
      <c r="H11416" t="s">
        <v>414</v>
      </c>
      <c r="I11416" t="s">
        <v>21</v>
      </c>
    </row>
    <row r="11417" spans="1:9" x14ac:dyDescent="0.25">
      <c r="A11417">
        <v>20140807</v>
      </c>
      <c r="B11417" t="str">
        <f t="shared" si="652"/>
        <v>116746</v>
      </c>
      <c r="C11417" t="str">
        <f t="shared" si="653"/>
        <v>24530</v>
      </c>
      <c r="D11417" t="s">
        <v>412</v>
      </c>
      <c r="E11417">
        <v>85.44</v>
      </c>
      <c r="F11417">
        <v>20140806</v>
      </c>
      <c r="G11417" t="s">
        <v>392</v>
      </c>
      <c r="H11417" t="s">
        <v>414</v>
      </c>
      <c r="I11417" t="s">
        <v>21</v>
      </c>
    </row>
    <row r="11418" spans="1:9" x14ac:dyDescent="0.25">
      <c r="A11418">
        <v>20140807</v>
      </c>
      <c r="B11418" t="str">
        <f t="shared" si="652"/>
        <v>116746</v>
      </c>
      <c r="C11418" t="str">
        <f t="shared" si="653"/>
        <v>24530</v>
      </c>
      <c r="D11418" t="s">
        <v>412</v>
      </c>
      <c r="E11418">
        <v>103.19</v>
      </c>
      <c r="F11418">
        <v>20140806</v>
      </c>
      <c r="G11418" t="s">
        <v>392</v>
      </c>
      <c r="H11418" t="s">
        <v>414</v>
      </c>
      <c r="I11418" t="s">
        <v>21</v>
      </c>
    </row>
    <row r="11419" spans="1:9" x14ac:dyDescent="0.25">
      <c r="A11419">
        <v>20140807</v>
      </c>
      <c r="B11419" t="str">
        <f t="shared" si="652"/>
        <v>116746</v>
      </c>
      <c r="C11419" t="str">
        <f t="shared" si="653"/>
        <v>24530</v>
      </c>
      <c r="D11419" t="s">
        <v>412</v>
      </c>
      <c r="E11419">
        <v>-57.16</v>
      </c>
      <c r="F11419">
        <v>20140807</v>
      </c>
      <c r="G11419" t="s">
        <v>392</v>
      </c>
      <c r="H11419" t="s">
        <v>416</v>
      </c>
      <c r="I11419" t="s">
        <v>21</v>
      </c>
    </row>
    <row r="11420" spans="1:9" x14ac:dyDescent="0.25">
      <c r="A11420">
        <v>20140807</v>
      </c>
      <c r="B11420" t="str">
        <f t="shared" si="652"/>
        <v>116746</v>
      </c>
      <c r="C11420" t="str">
        <f t="shared" si="653"/>
        <v>24530</v>
      </c>
      <c r="D11420" t="s">
        <v>412</v>
      </c>
      <c r="E11420">
        <v>261.63</v>
      </c>
      <c r="F11420">
        <v>20140806</v>
      </c>
      <c r="G11420" t="s">
        <v>417</v>
      </c>
      <c r="H11420" t="s">
        <v>414</v>
      </c>
      <c r="I11420" t="s">
        <v>21</v>
      </c>
    </row>
    <row r="11421" spans="1:9" x14ac:dyDescent="0.25">
      <c r="A11421">
        <v>20140807</v>
      </c>
      <c r="B11421" t="str">
        <f t="shared" si="652"/>
        <v>116746</v>
      </c>
      <c r="C11421" t="str">
        <f t="shared" si="653"/>
        <v>24530</v>
      </c>
      <c r="D11421" t="s">
        <v>412</v>
      </c>
      <c r="E11421" s="1">
        <v>1064.6400000000001</v>
      </c>
      <c r="F11421">
        <v>20140806</v>
      </c>
      <c r="G11421" t="s">
        <v>3820</v>
      </c>
      <c r="H11421" t="s">
        <v>414</v>
      </c>
      <c r="I11421" t="s">
        <v>21</v>
      </c>
    </row>
    <row r="11422" spans="1:9" x14ac:dyDescent="0.25">
      <c r="A11422">
        <v>20140807</v>
      </c>
      <c r="B11422" t="str">
        <f>"116747"</f>
        <v>116747</v>
      </c>
      <c r="C11422" t="str">
        <f>"82613"</f>
        <v>82613</v>
      </c>
      <c r="D11422" t="s">
        <v>546</v>
      </c>
      <c r="E11422">
        <v>198</v>
      </c>
      <c r="F11422">
        <v>20140806</v>
      </c>
      <c r="G11422" t="s">
        <v>337</v>
      </c>
      <c r="H11422" t="s">
        <v>4216</v>
      </c>
      <c r="I11422" t="s">
        <v>21</v>
      </c>
    </row>
    <row r="11423" spans="1:9" x14ac:dyDescent="0.25">
      <c r="A11423">
        <v>20140807</v>
      </c>
      <c r="B11423" t="str">
        <f>"116748"</f>
        <v>116748</v>
      </c>
      <c r="C11423" t="str">
        <f>"87747"</f>
        <v>87747</v>
      </c>
      <c r="D11423" t="s">
        <v>3379</v>
      </c>
      <c r="E11423" s="1">
        <v>2227.5</v>
      </c>
      <c r="F11423">
        <v>20140805</v>
      </c>
      <c r="G11423" t="s">
        <v>758</v>
      </c>
      <c r="H11423" t="s">
        <v>1955</v>
      </c>
      <c r="I11423" t="s">
        <v>21</v>
      </c>
    </row>
    <row r="11424" spans="1:9" x14ac:dyDescent="0.25">
      <c r="A11424">
        <v>20140807</v>
      </c>
      <c r="B11424" t="str">
        <f>"116748"</f>
        <v>116748</v>
      </c>
      <c r="C11424" t="str">
        <f>"87747"</f>
        <v>87747</v>
      </c>
      <c r="D11424" t="s">
        <v>3379</v>
      </c>
      <c r="E11424" s="1">
        <v>6147.9</v>
      </c>
      <c r="F11424">
        <v>20140805</v>
      </c>
      <c r="G11424" t="s">
        <v>758</v>
      </c>
      <c r="H11424" t="s">
        <v>1955</v>
      </c>
      <c r="I11424" t="s">
        <v>21</v>
      </c>
    </row>
    <row r="11425" spans="1:9" x14ac:dyDescent="0.25">
      <c r="A11425">
        <v>20140807</v>
      </c>
      <c r="B11425" t="str">
        <f>"116749"</f>
        <v>116749</v>
      </c>
      <c r="C11425" t="str">
        <f>"26990"</f>
        <v>26990</v>
      </c>
      <c r="D11425" t="s">
        <v>548</v>
      </c>
      <c r="E11425">
        <v>70</v>
      </c>
      <c r="F11425">
        <v>20140804</v>
      </c>
      <c r="G11425" t="s">
        <v>982</v>
      </c>
      <c r="H11425" t="s">
        <v>1054</v>
      </c>
      <c r="I11425" t="s">
        <v>21</v>
      </c>
    </row>
    <row r="11426" spans="1:9" x14ac:dyDescent="0.25">
      <c r="A11426">
        <v>20140807</v>
      </c>
      <c r="B11426" t="str">
        <f>"116750"</f>
        <v>116750</v>
      </c>
      <c r="C11426" t="str">
        <f>"26990"</f>
        <v>26990</v>
      </c>
      <c r="D11426" t="s">
        <v>548</v>
      </c>
      <c r="E11426">
        <v>75</v>
      </c>
      <c r="F11426">
        <v>20140806</v>
      </c>
      <c r="G11426" t="s">
        <v>202</v>
      </c>
      <c r="H11426" t="s">
        <v>4876</v>
      </c>
      <c r="I11426" t="s">
        <v>12</v>
      </c>
    </row>
    <row r="11427" spans="1:9" x14ac:dyDescent="0.25">
      <c r="A11427">
        <v>20140807</v>
      </c>
      <c r="B11427" t="str">
        <f>"116751"</f>
        <v>116751</v>
      </c>
      <c r="C11427" t="str">
        <f>"00368"</f>
        <v>00368</v>
      </c>
      <c r="D11427" t="s">
        <v>4877</v>
      </c>
      <c r="E11427">
        <v>500</v>
      </c>
      <c r="F11427">
        <v>20140806</v>
      </c>
      <c r="G11427" t="s">
        <v>347</v>
      </c>
      <c r="H11427" t="s">
        <v>4878</v>
      </c>
      <c r="I11427" t="s">
        <v>61</v>
      </c>
    </row>
    <row r="11428" spans="1:9" x14ac:dyDescent="0.25">
      <c r="A11428">
        <v>20140807</v>
      </c>
      <c r="B11428" t="str">
        <f>"116752"</f>
        <v>116752</v>
      </c>
      <c r="C11428" t="str">
        <f>"30000"</f>
        <v>30000</v>
      </c>
      <c r="D11428" t="s">
        <v>556</v>
      </c>
      <c r="E11428">
        <v>349.9</v>
      </c>
      <c r="F11428">
        <v>20140804</v>
      </c>
      <c r="G11428" t="s">
        <v>935</v>
      </c>
      <c r="H11428" t="s">
        <v>839</v>
      </c>
      <c r="I11428" t="s">
        <v>21</v>
      </c>
    </row>
    <row r="11429" spans="1:9" x14ac:dyDescent="0.25">
      <c r="A11429">
        <v>20140807</v>
      </c>
      <c r="B11429" t="str">
        <f>"116752"</f>
        <v>116752</v>
      </c>
      <c r="C11429" t="str">
        <f>"30000"</f>
        <v>30000</v>
      </c>
      <c r="D11429" t="s">
        <v>556</v>
      </c>
      <c r="E11429">
        <v>22.98</v>
      </c>
      <c r="F11429">
        <v>20140804</v>
      </c>
      <c r="G11429" t="s">
        <v>137</v>
      </c>
      <c r="H11429" t="s">
        <v>414</v>
      </c>
      <c r="I11429" t="s">
        <v>21</v>
      </c>
    </row>
    <row r="11430" spans="1:9" x14ac:dyDescent="0.25">
      <c r="A11430">
        <v>20140807</v>
      </c>
      <c r="B11430" t="str">
        <f>"116752"</f>
        <v>116752</v>
      </c>
      <c r="C11430" t="str">
        <f>"30000"</f>
        <v>30000</v>
      </c>
      <c r="D11430" t="s">
        <v>556</v>
      </c>
      <c r="E11430">
        <v>176.3</v>
      </c>
      <c r="F11430">
        <v>20140804</v>
      </c>
      <c r="G11430" t="s">
        <v>840</v>
      </c>
      <c r="H11430" t="s">
        <v>414</v>
      </c>
      <c r="I11430" t="s">
        <v>21</v>
      </c>
    </row>
    <row r="11431" spans="1:9" x14ac:dyDescent="0.25">
      <c r="A11431">
        <v>20140807</v>
      </c>
      <c r="B11431" t="str">
        <f>"116752"</f>
        <v>116752</v>
      </c>
      <c r="C11431" t="str">
        <f>"30000"</f>
        <v>30000</v>
      </c>
      <c r="D11431" t="s">
        <v>556</v>
      </c>
      <c r="E11431">
        <v>68.94</v>
      </c>
      <c r="F11431">
        <v>20140804</v>
      </c>
      <c r="G11431" t="s">
        <v>840</v>
      </c>
      <c r="H11431" t="s">
        <v>414</v>
      </c>
      <c r="I11431" t="s">
        <v>21</v>
      </c>
    </row>
    <row r="11432" spans="1:9" x14ac:dyDescent="0.25">
      <c r="A11432">
        <v>20140807</v>
      </c>
      <c r="B11432" t="str">
        <f>"116753"</f>
        <v>116753</v>
      </c>
      <c r="C11432" t="str">
        <f>"87031"</f>
        <v>87031</v>
      </c>
      <c r="D11432" t="s">
        <v>418</v>
      </c>
      <c r="E11432">
        <v>20.7</v>
      </c>
      <c r="F11432">
        <v>20140806</v>
      </c>
      <c r="G11432" t="s">
        <v>410</v>
      </c>
      <c r="H11432" t="s">
        <v>411</v>
      </c>
      <c r="I11432" t="s">
        <v>12</v>
      </c>
    </row>
    <row r="11433" spans="1:9" x14ac:dyDescent="0.25">
      <c r="A11433">
        <v>20140807</v>
      </c>
      <c r="B11433" t="str">
        <f>"116754"</f>
        <v>116754</v>
      </c>
      <c r="C11433" t="str">
        <f>"84799"</f>
        <v>84799</v>
      </c>
      <c r="D11433" t="s">
        <v>1432</v>
      </c>
      <c r="E11433" s="1">
        <v>4171.18</v>
      </c>
      <c r="F11433">
        <v>20140804</v>
      </c>
      <c r="G11433" t="s">
        <v>1064</v>
      </c>
      <c r="H11433" t="s">
        <v>839</v>
      </c>
      <c r="I11433" t="s">
        <v>21</v>
      </c>
    </row>
    <row r="11434" spans="1:9" x14ac:dyDescent="0.25">
      <c r="A11434">
        <v>20140807</v>
      </c>
      <c r="B11434" t="str">
        <f>"116755"</f>
        <v>116755</v>
      </c>
      <c r="C11434" t="str">
        <f>"32794"</f>
        <v>32794</v>
      </c>
      <c r="D11434" t="s">
        <v>4743</v>
      </c>
      <c r="E11434">
        <v>142.56</v>
      </c>
      <c r="F11434">
        <v>20140804</v>
      </c>
      <c r="G11434" t="s">
        <v>4117</v>
      </c>
      <c r="H11434" t="s">
        <v>365</v>
      </c>
      <c r="I11434" t="s">
        <v>66</v>
      </c>
    </row>
    <row r="11435" spans="1:9" x14ac:dyDescent="0.25">
      <c r="A11435">
        <v>20140807</v>
      </c>
      <c r="B11435" t="str">
        <f>"116756"</f>
        <v>116756</v>
      </c>
      <c r="C11435" t="str">
        <f>"82033"</f>
        <v>82033</v>
      </c>
      <c r="D11435" t="s">
        <v>4879</v>
      </c>
      <c r="E11435">
        <v>216.47</v>
      </c>
      <c r="F11435">
        <v>20140804</v>
      </c>
      <c r="G11435" t="s">
        <v>3962</v>
      </c>
      <c r="H11435" t="s">
        <v>365</v>
      </c>
      <c r="I11435" t="s">
        <v>79</v>
      </c>
    </row>
    <row r="11436" spans="1:9" x14ac:dyDescent="0.25">
      <c r="A11436">
        <v>20140807</v>
      </c>
      <c r="B11436" t="str">
        <f>"116757"</f>
        <v>116757</v>
      </c>
      <c r="C11436" t="str">
        <f>"84038"</f>
        <v>84038</v>
      </c>
      <c r="D11436" t="s">
        <v>419</v>
      </c>
      <c r="E11436">
        <v>21.6</v>
      </c>
      <c r="F11436">
        <v>20140806</v>
      </c>
      <c r="G11436" t="s">
        <v>410</v>
      </c>
      <c r="H11436" t="s">
        <v>411</v>
      </c>
      <c r="I11436" t="s">
        <v>12</v>
      </c>
    </row>
    <row r="11437" spans="1:9" x14ac:dyDescent="0.25">
      <c r="A11437">
        <v>20140807</v>
      </c>
      <c r="B11437" t="str">
        <f>"116757"</f>
        <v>116757</v>
      </c>
      <c r="C11437" t="str">
        <f>"84038"</f>
        <v>84038</v>
      </c>
      <c r="D11437" t="s">
        <v>419</v>
      </c>
      <c r="E11437">
        <v>2.7</v>
      </c>
      <c r="F11437">
        <v>20140806</v>
      </c>
      <c r="G11437" t="s">
        <v>4776</v>
      </c>
      <c r="H11437" t="s">
        <v>411</v>
      </c>
      <c r="I11437" t="s">
        <v>218</v>
      </c>
    </row>
    <row r="11438" spans="1:9" x14ac:dyDescent="0.25">
      <c r="A11438">
        <v>20140807</v>
      </c>
      <c r="B11438" t="str">
        <f>"116758"</f>
        <v>116758</v>
      </c>
      <c r="C11438" t="str">
        <f>"86683"</f>
        <v>86683</v>
      </c>
      <c r="D11438" t="s">
        <v>1249</v>
      </c>
      <c r="E11438">
        <v>112.05</v>
      </c>
      <c r="F11438">
        <v>20140804</v>
      </c>
      <c r="G11438" t="s">
        <v>1250</v>
      </c>
      <c r="H11438" t="s">
        <v>365</v>
      </c>
      <c r="I11438" t="s">
        <v>66</v>
      </c>
    </row>
    <row r="11439" spans="1:9" x14ac:dyDescent="0.25">
      <c r="A11439">
        <v>20140807</v>
      </c>
      <c r="B11439" t="str">
        <f>"116759"</f>
        <v>116759</v>
      </c>
      <c r="C11439" t="str">
        <f>"00198"</f>
        <v>00198</v>
      </c>
      <c r="D11439" t="s">
        <v>4880</v>
      </c>
      <c r="E11439" s="1">
        <v>24642.5</v>
      </c>
      <c r="F11439">
        <v>20140804</v>
      </c>
      <c r="G11439" t="s">
        <v>606</v>
      </c>
      <c r="H11439" t="s">
        <v>3054</v>
      </c>
      <c r="I11439" t="s">
        <v>608</v>
      </c>
    </row>
    <row r="11440" spans="1:9" x14ac:dyDescent="0.25">
      <c r="A11440">
        <v>20140807</v>
      </c>
      <c r="B11440" t="str">
        <f>"116759"</f>
        <v>116759</v>
      </c>
      <c r="C11440" t="str">
        <f>"00198"</f>
        <v>00198</v>
      </c>
      <c r="D11440" t="s">
        <v>4880</v>
      </c>
      <c r="E11440" s="1">
        <v>33126.5</v>
      </c>
      <c r="F11440">
        <v>20140805</v>
      </c>
      <c r="G11440" t="s">
        <v>606</v>
      </c>
      <c r="H11440" t="s">
        <v>3054</v>
      </c>
      <c r="I11440" t="s">
        <v>608</v>
      </c>
    </row>
    <row r="11441" spans="1:9" x14ac:dyDescent="0.25">
      <c r="A11441">
        <v>20140807</v>
      </c>
      <c r="B11441" t="str">
        <f>"116759"</f>
        <v>116759</v>
      </c>
      <c r="C11441" t="str">
        <f>"00198"</f>
        <v>00198</v>
      </c>
      <c r="D11441" t="s">
        <v>4880</v>
      </c>
      <c r="E11441" s="1">
        <v>13801.2</v>
      </c>
      <c r="F11441">
        <v>20140805</v>
      </c>
      <c r="G11441" t="s">
        <v>606</v>
      </c>
      <c r="H11441" t="s">
        <v>3054</v>
      </c>
      <c r="I11441" t="s">
        <v>608</v>
      </c>
    </row>
    <row r="11442" spans="1:9" x14ac:dyDescent="0.25">
      <c r="A11442">
        <v>20140807</v>
      </c>
      <c r="B11442" t="str">
        <f>"116759"</f>
        <v>116759</v>
      </c>
      <c r="C11442" t="str">
        <f>"00198"</f>
        <v>00198</v>
      </c>
      <c r="D11442" t="s">
        <v>4880</v>
      </c>
      <c r="E11442" s="1">
        <v>26846.25</v>
      </c>
      <c r="F11442">
        <v>20140805</v>
      </c>
      <c r="G11442" t="s">
        <v>606</v>
      </c>
      <c r="H11442" t="s">
        <v>3054</v>
      </c>
      <c r="I11442" t="s">
        <v>608</v>
      </c>
    </row>
    <row r="11443" spans="1:9" x14ac:dyDescent="0.25">
      <c r="A11443">
        <v>20140807</v>
      </c>
      <c r="B11443" t="str">
        <f>"116759"</f>
        <v>116759</v>
      </c>
      <c r="C11443" t="str">
        <f>"00198"</f>
        <v>00198</v>
      </c>
      <c r="D11443" t="s">
        <v>4880</v>
      </c>
      <c r="E11443" s="1">
        <v>30373.75</v>
      </c>
      <c r="F11443">
        <v>20140805</v>
      </c>
      <c r="G11443" t="s">
        <v>606</v>
      </c>
      <c r="H11443" t="s">
        <v>3054</v>
      </c>
      <c r="I11443" t="s">
        <v>608</v>
      </c>
    </row>
    <row r="11444" spans="1:9" x14ac:dyDescent="0.25">
      <c r="A11444">
        <v>20140807</v>
      </c>
      <c r="B11444" t="str">
        <f>"116760"</f>
        <v>116760</v>
      </c>
      <c r="C11444" t="str">
        <f>"36960"</f>
        <v>36960</v>
      </c>
      <c r="D11444" t="s">
        <v>871</v>
      </c>
      <c r="E11444" s="1">
        <v>1625</v>
      </c>
      <c r="F11444">
        <v>20140806</v>
      </c>
      <c r="G11444" t="s">
        <v>1408</v>
      </c>
      <c r="H11444" t="s">
        <v>525</v>
      </c>
      <c r="I11444" t="s">
        <v>12</v>
      </c>
    </row>
    <row r="11445" spans="1:9" x14ac:dyDescent="0.25">
      <c r="A11445">
        <v>20140807</v>
      </c>
      <c r="B11445" t="str">
        <f>"116761"</f>
        <v>116761</v>
      </c>
      <c r="C11445" t="str">
        <f>"36970"</f>
        <v>36970</v>
      </c>
      <c r="D11445" t="s">
        <v>1253</v>
      </c>
      <c r="E11445">
        <v>281.89</v>
      </c>
      <c r="F11445">
        <v>20140805</v>
      </c>
      <c r="G11445" t="s">
        <v>3962</v>
      </c>
      <c r="H11445" t="s">
        <v>365</v>
      </c>
      <c r="I11445" t="s">
        <v>79</v>
      </c>
    </row>
    <row r="11446" spans="1:9" x14ac:dyDescent="0.25">
      <c r="A11446">
        <v>20140807</v>
      </c>
      <c r="B11446" t="str">
        <f>"116762"</f>
        <v>116762</v>
      </c>
      <c r="C11446" t="str">
        <f>"82766"</f>
        <v>82766</v>
      </c>
      <c r="D11446" t="s">
        <v>4881</v>
      </c>
      <c r="E11446">
        <v>60.75</v>
      </c>
      <c r="F11446">
        <v>20140805</v>
      </c>
      <c r="G11446" t="s">
        <v>186</v>
      </c>
      <c r="H11446" t="s">
        <v>4882</v>
      </c>
      <c r="I11446" t="s">
        <v>61</v>
      </c>
    </row>
    <row r="11447" spans="1:9" x14ac:dyDescent="0.25">
      <c r="A11447">
        <v>20140807</v>
      </c>
      <c r="B11447" t="str">
        <f>"116763"</f>
        <v>116763</v>
      </c>
      <c r="C11447" t="str">
        <f>"87925"</f>
        <v>87925</v>
      </c>
      <c r="D11447" t="s">
        <v>4883</v>
      </c>
      <c r="E11447">
        <v>250</v>
      </c>
      <c r="F11447">
        <v>20140806</v>
      </c>
      <c r="G11447" t="s">
        <v>347</v>
      </c>
      <c r="H11447" t="s">
        <v>1740</v>
      </c>
      <c r="I11447" t="s">
        <v>61</v>
      </c>
    </row>
    <row r="11448" spans="1:9" x14ac:dyDescent="0.25">
      <c r="A11448">
        <v>20140807</v>
      </c>
      <c r="B11448" t="str">
        <f>"116764"</f>
        <v>116764</v>
      </c>
      <c r="C11448" t="str">
        <f>"87923"</f>
        <v>87923</v>
      </c>
      <c r="D11448" t="s">
        <v>4884</v>
      </c>
      <c r="E11448">
        <v>52.61</v>
      </c>
      <c r="F11448">
        <v>20140805</v>
      </c>
      <c r="G11448" t="s">
        <v>2495</v>
      </c>
      <c r="H11448" t="s">
        <v>365</v>
      </c>
      <c r="I11448" t="s">
        <v>21</v>
      </c>
    </row>
    <row r="11449" spans="1:9" x14ac:dyDescent="0.25">
      <c r="A11449">
        <v>20140807</v>
      </c>
      <c r="B11449" t="str">
        <f>"116764"</f>
        <v>116764</v>
      </c>
      <c r="C11449" t="str">
        <f>"87923"</f>
        <v>87923</v>
      </c>
      <c r="D11449" t="s">
        <v>4884</v>
      </c>
      <c r="E11449">
        <v>110.17</v>
      </c>
      <c r="F11449">
        <v>20140806</v>
      </c>
      <c r="G11449" t="s">
        <v>2495</v>
      </c>
      <c r="H11449" t="s">
        <v>365</v>
      </c>
      <c r="I11449" t="s">
        <v>21</v>
      </c>
    </row>
    <row r="11450" spans="1:9" x14ac:dyDescent="0.25">
      <c r="A11450">
        <v>20140807</v>
      </c>
      <c r="B11450" t="str">
        <f>"116765"</f>
        <v>116765</v>
      </c>
      <c r="C11450" t="str">
        <f>"40910"</f>
        <v>40910</v>
      </c>
      <c r="D11450" t="s">
        <v>1886</v>
      </c>
      <c r="E11450">
        <v>283</v>
      </c>
      <c r="F11450">
        <v>20140806</v>
      </c>
      <c r="G11450" t="s">
        <v>1408</v>
      </c>
      <c r="H11450" t="s">
        <v>525</v>
      </c>
      <c r="I11450" t="s">
        <v>12</v>
      </c>
    </row>
    <row r="11451" spans="1:9" x14ac:dyDescent="0.25">
      <c r="A11451">
        <v>20140807</v>
      </c>
      <c r="B11451" t="str">
        <f>"116766"</f>
        <v>116766</v>
      </c>
      <c r="C11451" t="str">
        <f>"84161"</f>
        <v>84161</v>
      </c>
      <c r="D11451" t="s">
        <v>1767</v>
      </c>
      <c r="E11451">
        <v>55.52</v>
      </c>
      <c r="F11451">
        <v>20140804</v>
      </c>
      <c r="G11451" t="s">
        <v>810</v>
      </c>
      <c r="H11451" t="s">
        <v>365</v>
      </c>
      <c r="I11451" t="s">
        <v>66</v>
      </c>
    </row>
    <row r="11452" spans="1:9" x14ac:dyDescent="0.25">
      <c r="A11452">
        <v>20140807</v>
      </c>
      <c r="B11452" t="str">
        <f>"116767"</f>
        <v>116767</v>
      </c>
      <c r="C11452" t="str">
        <f>"41253"</f>
        <v>41253</v>
      </c>
      <c r="D11452" t="s">
        <v>421</v>
      </c>
      <c r="E11452">
        <v>458.14</v>
      </c>
      <c r="F11452">
        <v>20140806</v>
      </c>
      <c r="G11452" t="s">
        <v>4772</v>
      </c>
      <c r="H11452" t="s">
        <v>913</v>
      </c>
      <c r="I11452" t="s">
        <v>218</v>
      </c>
    </row>
    <row r="11453" spans="1:9" x14ac:dyDescent="0.25">
      <c r="A11453">
        <v>20140807</v>
      </c>
      <c r="B11453" t="str">
        <f>"116768"</f>
        <v>116768</v>
      </c>
      <c r="C11453" t="str">
        <f>"43195"</f>
        <v>43195</v>
      </c>
      <c r="D11453" t="s">
        <v>2001</v>
      </c>
      <c r="E11453">
        <v>647</v>
      </c>
      <c r="F11453">
        <v>20140804</v>
      </c>
      <c r="G11453" t="s">
        <v>2002</v>
      </c>
      <c r="H11453" t="s">
        <v>569</v>
      </c>
      <c r="I11453" t="s">
        <v>21</v>
      </c>
    </row>
    <row r="11454" spans="1:9" x14ac:dyDescent="0.25">
      <c r="A11454">
        <v>20140807</v>
      </c>
      <c r="B11454" t="str">
        <f>"116769"</f>
        <v>116769</v>
      </c>
      <c r="C11454" t="str">
        <f>"83430"</f>
        <v>83430</v>
      </c>
      <c r="D11454" t="s">
        <v>423</v>
      </c>
      <c r="E11454">
        <v>57.6</v>
      </c>
      <c r="F11454">
        <v>20140806</v>
      </c>
      <c r="G11454" t="s">
        <v>410</v>
      </c>
      <c r="H11454" t="s">
        <v>411</v>
      </c>
      <c r="I11454" t="s">
        <v>12</v>
      </c>
    </row>
    <row r="11455" spans="1:9" x14ac:dyDescent="0.25">
      <c r="A11455">
        <v>20140807</v>
      </c>
      <c r="B11455" t="str">
        <f>"116770"</f>
        <v>116770</v>
      </c>
      <c r="C11455" t="str">
        <f>"87911"</f>
        <v>87911</v>
      </c>
      <c r="D11455" t="s">
        <v>4885</v>
      </c>
      <c r="E11455" s="1">
        <v>5266.07</v>
      </c>
      <c r="F11455">
        <v>20140804</v>
      </c>
      <c r="G11455" t="s">
        <v>606</v>
      </c>
      <c r="H11455" t="s">
        <v>414</v>
      </c>
      <c r="I11455" t="s">
        <v>608</v>
      </c>
    </row>
    <row r="11456" spans="1:9" x14ac:dyDescent="0.25">
      <c r="A11456">
        <v>20140807</v>
      </c>
      <c r="B11456" t="str">
        <f>"116771"</f>
        <v>116771</v>
      </c>
      <c r="C11456" t="str">
        <f>"44875"</f>
        <v>44875</v>
      </c>
      <c r="D11456" t="s">
        <v>424</v>
      </c>
      <c r="E11456">
        <v>12.6</v>
      </c>
      <c r="F11456">
        <v>20140806</v>
      </c>
      <c r="G11456" t="s">
        <v>410</v>
      </c>
      <c r="H11456" t="s">
        <v>411</v>
      </c>
      <c r="I11456" t="s">
        <v>12</v>
      </c>
    </row>
    <row r="11457" spans="1:9" x14ac:dyDescent="0.25">
      <c r="A11457">
        <v>20140807</v>
      </c>
      <c r="B11457" t="str">
        <f>"116771"</f>
        <v>116771</v>
      </c>
      <c r="C11457" t="str">
        <f>"44875"</f>
        <v>44875</v>
      </c>
      <c r="D11457" t="s">
        <v>424</v>
      </c>
      <c r="E11457">
        <v>24.3</v>
      </c>
      <c r="F11457">
        <v>20140806</v>
      </c>
      <c r="G11457" t="s">
        <v>4776</v>
      </c>
      <c r="H11457" t="s">
        <v>411</v>
      </c>
      <c r="I11457" t="s">
        <v>218</v>
      </c>
    </row>
    <row r="11458" spans="1:9" x14ac:dyDescent="0.25">
      <c r="A11458">
        <v>20140807</v>
      </c>
      <c r="B11458" t="str">
        <f t="shared" ref="B11458:B11465" si="654">"116772"</f>
        <v>116772</v>
      </c>
      <c r="C11458" t="str">
        <f t="shared" ref="C11458:C11465" si="655">"46500"</f>
        <v>46500</v>
      </c>
      <c r="D11458" t="s">
        <v>626</v>
      </c>
      <c r="E11458">
        <v>342.91</v>
      </c>
      <c r="F11458">
        <v>20140806</v>
      </c>
      <c r="G11458" t="s">
        <v>496</v>
      </c>
      <c r="H11458" t="s">
        <v>414</v>
      </c>
      <c r="I11458" t="s">
        <v>21</v>
      </c>
    </row>
    <row r="11459" spans="1:9" x14ac:dyDescent="0.25">
      <c r="A11459">
        <v>20140807</v>
      </c>
      <c r="B11459" t="str">
        <f t="shared" si="654"/>
        <v>116772</v>
      </c>
      <c r="C11459" t="str">
        <f t="shared" si="655"/>
        <v>46500</v>
      </c>
      <c r="D11459" t="s">
        <v>626</v>
      </c>
      <c r="E11459">
        <v>13.99</v>
      </c>
      <c r="F11459">
        <v>20140806</v>
      </c>
      <c r="G11459" t="s">
        <v>415</v>
      </c>
      <c r="H11459" t="s">
        <v>414</v>
      </c>
      <c r="I11459" t="s">
        <v>21</v>
      </c>
    </row>
    <row r="11460" spans="1:9" x14ac:dyDescent="0.25">
      <c r="A11460">
        <v>20140807</v>
      </c>
      <c r="B11460" t="str">
        <f t="shared" si="654"/>
        <v>116772</v>
      </c>
      <c r="C11460" t="str">
        <f t="shared" si="655"/>
        <v>46500</v>
      </c>
      <c r="D11460" t="s">
        <v>626</v>
      </c>
      <c r="E11460">
        <v>179.7</v>
      </c>
      <c r="F11460">
        <v>20140806</v>
      </c>
      <c r="G11460" t="s">
        <v>627</v>
      </c>
      <c r="H11460" t="s">
        <v>414</v>
      </c>
      <c r="I11460" t="s">
        <v>21</v>
      </c>
    </row>
    <row r="11461" spans="1:9" x14ac:dyDescent="0.25">
      <c r="A11461">
        <v>20140807</v>
      </c>
      <c r="B11461" t="str">
        <f t="shared" si="654"/>
        <v>116772</v>
      </c>
      <c r="C11461" t="str">
        <f t="shared" si="655"/>
        <v>46500</v>
      </c>
      <c r="D11461" t="s">
        <v>626</v>
      </c>
      <c r="E11461">
        <v>63.98</v>
      </c>
      <c r="F11461">
        <v>20140806</v>
      </c>
      <c r="G11461" t="s">
        <v>1222</v>
      </c>
      <c r="H11461" t="s">
        <v>414</v>
      </c>
      <c r="I11461" t="s">
        <v>21</v>
      </c>
    </row>
    <row r="11462" spans="1:9" x14ac:dyDescent="0.25">
      <c r="A11462">
        <v>20140807</v>
      </c>
      <c r="B11462" t="str">
        <f t="shared" si="654"/>
        <v>116772</v>
      </c>
      <c r="C11462" t="str">
        <f t="shared" si="655"/>
        <v>46500</v>
      </c>
      <c r="D11462" t="s">
        <v>626</v>
      </c>
      <c r="E11462">
        <v>93.46</v>
      </c>
      <c r="F11462">
        <v>20140806</v>
      </c>
      <c r="G11462" t="s">
        <v>530</v>
      </c>
      <c r="H11462" t="s">
        <v>414</v>
      </c>
      <c r="I11462" t="s">
        <v>21</v>
      </c>
    </row>
    <row r="11463" spans="1:9" x14ac:dyDescent="0.25">
      <c r="A11463">
        <v>20140807</v>
      </c>
      <c r="B11463" t="str">
        <f t="shared" si="654"/>
        <v>116772</v>
      </c>
      <c r="C11463" t="str">
        <f t="shared" si="655"/>
        <v>46500</v>
      </c>
      <c r="D11463" t="s">
        <v>626</v>
      </c>
      <c r="E11463">
        <v>586.53</v>
      </c>
      <c r="F11463">
        <v>20140806</v>
      </c>
      <c r="G11463" t="s">
        <v>631</v>
      </c>
      <c r="H11463" t="s">
        <v>414</v>
      </c>
      <c r="I11463" t="s">
        <v>21</v>
      </c>
    </row>
    <row r="11464" spans="1:9" x14ac:dyDescent="0.25">
      <c r="A11464">
        <v>20140807</v>
      </c>
      <c r="B11464" t="str">
        <f t="shared" si="654"/>
        <v>116772</v>
      </c>
      <c r="C11464" t="str">
        <f t="shared" si="655"/>
        <v>46500</v>
      </c>
      <c r="D11464" t="s">
        <v>626</v>
      </c>
      <c r="E11464">
        <v>83.52</v>
      </c>
      <c r="F11464">
        <v>20140806</v>
      </c>
      <c r="G11464" t="s">
        <v>392</v>
      </c>
      <c r="H11464" t="s">
        <v>414</v>
      </c>
      <c r="I11464" t="s">
        <v>21</v>
      </c>
    </row>
    <row r="11465" spans="1:9" x14ac:dyDescent="0.25">
      <c r="A11465">
        <v>20140807</v>
      </c>
      <c r="B11465" t="str">
        <f t="shared" si="654"/>
        <v>116772</v>
      </c>
      <c r="C11465" t="str">
        <f t="shared" si="655"/>
        <v>46500</v>
      </c>
      <c r="D11465" t="s">
        <v>626</v>
      </c>
      <c r="E11465">
        <v>705.55</v>
      </c>
      <c r="F11465">
        <v>20140806</v>
      </c>
      <c r="G11465" t="s">
        <v>3820</v>
      </c>
      <c r="H11465" t="s">
        <v>414</v>
      </c>
      <c r="I11465" t="s">
        <v>21</v>
      </c>
    </row>
    <row r="11466" spans="1:9" x14ac:dyDescent="0.25">
      <c r="A11466">
        <v>20140807</v>
      </c>
      <c r="B11466" t="str">
        <f>"116773"</f>
        <v>116773</v>
      </c>
      <c r="C11466" t="str">
        <f>"86466"</f>
        <v>86466</v>
      </c>
      <c r="D11466" t="s">
        <v>4886</v>
      </c>
      <c r="E11466">
        <v>2.25</v>
      </c>
      <c r="F11466">
        <v>20140806</v>
      </c>
      <c r="G11466" t="s">
        <v>4776</v>
      </c>
      <c r="H11466" t="s">
        <v>411</v>
      </c>
      <c r="I11466" t="s">
        <v>218</v>
      </c>
    </row>
    <row r="11467" spans="1:9" x14ac:dyDescent="0.25">
      <c r="A11467">
        <v>20140807</v>
      </c>
      <c r="B11467" t="str">
        <f>"116774"</f>
        <v>116774</v>
      </c>
      <c r="C11467" t="str">
        <f>"87404"</f>
        <v>87404</v>
      </c>
      <c r="D11467" t="s">
        <v>1108</v>
      </c>
      <c r="E11467">
        <v>8.33</v>
      </c>
      <c r="F11467">
        <v>20140806</v>
      </c>
      <c r="G11467" t="s">
        <v>426</v>
      </c>
      <c r="H11467" t="s">
        <v>968</v>
      </c>
      <c r="I11467" t="s">
        <v>21</v>
      </c>
    </row>
    <row r="11468" spans="1:9" x14ac:dyDescent="0.25">
      <c r="A11468">
        <v>20140807</v>
      </c>
      <c r="B11468" t="str">
        <f>"116775"</f>
        <v>116775</v>
      </c>
      <c r="C11468" t="str">
        <f>"82192"</f>
        <v>82192</v>
      </c>
      <c r="D11468" t="s">
        <v>642</v>
      </c>
      <c r="E11468" s="1">
        <v>6131</v>
      </c>
      <c r="F11468">
        <v>20140806</v>
      </c>
      <c r="G11468" t="s">
        <v>643</v>
      </c>
      <c r="H11468" t="s">
        <v>488</v>
      </c>
      <c r="I11468" t="s">
        <v>21</v>
      </c>
    </row>
    <row r="11469" spans="1:9" x14ac:dyDescent="0.25">
      <c r="A11469">
        <v>20140807</v>
      </c>
      <c r="B11469" t="str">
        <f>"116776"</f>
        <v>116776</v>
      </c>
      <c r="C11469" t="str">
        <f>"85770"</f>
        <v>85770</v>
      </c>
      <c r="D11469" t="s">
        <v>363</v>
      </c>
      <c r="E11469">
        <v>37.979999999999997</v>
      </c>
      <c r="F11469">
        <v>20140804</v>
      </c>
      <c r="G11469" t="s">
        <v>364</v>
      </c>
      <c r="H11469" t="s">
        <v>563</v>
      </c>
      <c r="I11469" t="s">
        <v>21</v>
      </c>
    </row>
    <row r="11470" spans="1:9" x14ac:dyDescent="0.25">
      <c r="A11470">
        <v>20140807</v>
      </c>
      <c r="B11470" t="str">
        <f>"116776"</f>
        <v>116776</v>
      </c>
      <c r="C11470" t="str">
        <f>"85770"</f>
        <v>85770</v>
      </c>
      <c r="D11470" t="s">
        <v>363</v>
      </c>
      <c r="E11470">
        <v>56.88</v>
      </c>
      <c r="F11470">
        <v>20140806</v>
      </c>
      <c r="G11470" t="s">
        <v>364</v>
      </c>
      <c r="H11470" t="s">
        <v>365</v>
      </c>
      <c r="I11470" t="s">
        <v>21</v>
      </c>
    </row>
    <row r="11471" spans="1:9" x14ac:dyDescent="0.25">
      <c r="A11471">
        <v>20140807</v>
      </c>
      <c r="B11471" t="str">
        <f>"116777"</f>
        <v>116777</v>
      </c>
      <c r="C11471" t="str">
        <f>"85984"</f>
        <v>85984</v>
      </c>
      <c r="D11471" t="s">
        <v>2013</v>
      </c>
      <c r="E11471">
        <v>8.8000000000000007</v>
      </c>
      <c r="F11471">
        <v>20140806</v>
      </c>
      <c r="G11471" t="s">
        <v>426</v>
      </c>
      <c r="H11471" t="s">
        <v>968</v>
      </c>
      <c r="I11471" t="s">
        <v>21</v>
      </c>
    </row>
    <row r="11472" spans="1:9" x14ac:dyDescent="0.25">
      <c r="A11472">
        <v>20140807</v>
      </c>
      <c r="B11472" t="str">
        <f>"116778"</f>
        <v>116778</v>
      </c>
      <c r="C11472" t="str">
        <f>"82978"</f>
        <v>82978</v>
      </c>
      <c r="D11472" t="s">
        <v>4830</v>
      </c>
      <c r="E11472">
        <v>65</v>
      </c>
      <c r="F11472">
        <v>20140804</v>
      </c>
      <c r="G11472" t="s">
        <v>186</v>
      </c>
      <c r="H11472" t="s">
        <v>839</v>
      </c>
      <c r="I11472" t="s">
        <v>61</v>
      </c>
    </row>
    <row r="11473" spans="1:9" x14ac:dyDescent="0.25">
      <c r="A11473">
        <v>20140807</v>
      </c>
      <c r="B11473" t="str">
        <f>"116778"</f>
        <v>116778</v>
      </c>
      <c r="C11473" t="str">
        <f>"82978"</f>
        <v>82978</v>
      </c>
      <c r="D11473" t="s">
        <v>4830</v>
      </c>
      <c r="E11473">
        <v>12.24</v>
      </c>
      <c r="F11473">
        <v>20140805</v>
      </c>
      <c r="G11473" t="s">
        <v>840</v>
      </c>
      <c r="H11473" t="s">
        <v>839</v>
      </c>
      <c r="I11473" t="s">
        <v>21</v>
      </c>
    </row>
    <row r="11474" spans="1:9" x14ac:dyDescent="0.25">
      <c r="A11474">
        <v>20140807</v>
      </c>
      <c r="B11474" t="str">
        <f>"116779"</f>
        <v>116779</v>
      </c>
      <c r="C11474" t="str">
        <f>"58570"</f>
        <v>58570</v>
      </c>
      <c r="D11474" t="s">
        <v>655</v>
      </c>
      <c r="E11474">
        <v>55</v>
      </c>
      <c r="F11474">
        <v>20140806</v>
      </c>
      <c r="G11474" t="s">
        <v>340</v>
      </c>
      <c r="H11474" t="s">
        <v>4277</v>
      </c>
      <c r="I11474" t="s">
        <v>21</v>
      </c>
    </row>
    <row r="11475" spans="1:9" x14ac:dyDescent="0.25">
      <c r="A11475">
        <v>20140807</v>
      </c>
      <c r="B11475" t="str">
        <f>"116780"</f>
        <v>116780</v>
      </c>
      <c r="C11475" t="str">
        <f>"59500"</f>
        <v>59500</v>
      </c>
      <c r="D11475" t="s">
        <v>670</v>
      </c>
      <c r="E11475">
        <v>126.89</v>
      </c>
      <c r="F11475">
        <v>20140804</v>
      </c>
      <c r="G11475" t="s">
        <v>137</v>
      </c>
      <c r="H11475" t="s">
        <v>4489</v>
      </c>
      <c r="I11475" t="s">
        <v>21</v>
      </c>
    </row>
    <row r="11476" spans="1:9" x14ac:dyDescent="0.25">
      <c r="A11476">
        <v>20140807</v>
      </c>
      <c r="B11476" t="str">
        <f>"116781"</f>
        <v>116781</v>
      </c>
      <c r="C11476" t="str">
        <f>"81901"</f>
        <v>81901</v>
      </c>
      <c r="D11476" t="s">
        <v>2267</v>
      </c>
      <c r="E11476">
        <v>437.41</v>
      </c>
      <c r="F11476">
        <v>20140804</v>
      </c>
      <c r="G11476" t="s">
        <v>1170</v>
      </c>
      <c r="H11476" t="s">
        <v>365</v>
      </c>
      <c r="I11476" t="s">
        <v>21</v>
      </c>
    </row>
    <row r="11477" spans="1:9" x14ac:dyDescent="0.25">
      <c r="A11477">
        <v>20140807</v>
      </c>
      <c r="B11477" t="str">
        <f>"116782"</f>
        <v>116782</v>
      </c>
      <c r="C11477" t="str">
        <f>"59695"</f>
        <v>59695</v>
      </c>
      <c r="D11477" t="s">
        <v>371</v>
      </c>
      <c r="E11477">
        <v>810</v>
      </c>
      <c r="F11477">
        <v>20140806</v>
      </c>
      <c r="G11477" t="s">
        <v>372</v>
      </c>
      <c r="H11477" t="s">
        <v>4887</v>
      </c>
      <c r="I11477" t="s">
        <v>21</v>
      </c>
    </row>
    <row r="11478" spans="1:9" x14ac:dyDescent="0.25">
      <c r="A11478">
        <v>20140807</v>
      </c>
      <c r="B11478" t="str">
        <f>"116782"</f>
        <v>116782</v>
      </c>
      <c r="C11478" t="str">
        <f>"59695"</f>
        <v>59695</v>
      </c>
      <c r="D11478" t="s">
        <v>371</v>
      </c>
      <c r="E11478">
        <v>405</v>
      </c>
      <c r="F11478">
        <v>20140806</v>
      </c>
      <c r="G11478" t="s">
        <v>374</v>
      </c>
      <c r="H11478" t="s">
        <v>4887</v>
      </c>
      <c r="I11478" t="s">
        <v>21</v>
      </c>
    </row>
    <row r="11479" spans="1:9" x14ac:dyDescent="0.25">
      <c r="A11479">
        <v>20140807</v>
      </c>
      <c r="B11479" t="str">
        <f>"116782"</f>
        <v>116782</v>
      </c>
      <c r="C11479" t="str">
        <f>"59695"</f>
        <v>59695</v>
      </c>
      <c r="D11479" t="s">
        <v>371</v>
      </c>
      <c r="E11479">
        <v>100</v>
      </c>
      <c r="F11479">
        <v>20140806</v>
      </c>
      <c r="G11479" t="s">
        <v>375</v>
      </c>
      <c r="H11479" t="s">
        <v>4887</v>
      </c>
      <c r="I11479" t="s">
        <v>21</v>
      </c>
    </row>
    <row r="11480" spans="1:9" x14ac:dyDescent="0.25">
      <c r="A11480">
        <v>20140807</v>
      </c>
      <c r="B11480" t="str">
        <f>"116782"</f>
        <v>116782</v>
      </c>
      <c r="C11480" t="str">
        <f>"59695"</f>
        <v>59695</v>
      </c>
      <c r="D11480" t="s">
        <v>371</v>
      </c>
      <c r="E11480">
        <v>620</v>
      </c>
      <c r="F11480">
        <v>20140806</v>
      </c>
      <c r="G11480" t="s">
        <v>376</v>
      </c>
      <c r="H11480" t="s">
        <v>4887</v>
      </c>
      <c r="I11480" t="s">
        <v>21</v>
      </c>
    </row>
    <row r="11481" spans="1:9" x14ac:dyDescent="0.25">
      <c r="A11481">
        <v>20140807</v>
      </c>
      <c r="B11481" t="str">
        <f>"116783"</f>
        <v>116783</v>
      </c>
      <c r="C11481" t="str">
        <f>"84891"</f>
        <v>84891</v>
      </c>
      <c r="D11481" t="s">
        <v>2747</v>
      </c>
      <c r="E11481">
        <v>12.6</v>
      </c>
      <c r="F11481">
        <v>20140806</v>
      </c>
      <c r="G11481" t="s">
        <v>410</v>
      </c>
      <c r="H11481" t="s">
        <v>411</v>
      </c>
      <c r="I11481" t="s">
        <v>12</v>
      </c>
    </row>
    <row r="11482" spans="1:9" x14ac:dyDescent="0.25">
      <c r="A11482">
        <v>20140807</v>
      </c>
      <c r="B11482" t="str">
        <f>"116784"</f>
        <v>116784</v>
      </c>
      <c r="C11482" t="str">
        <f>"84214"</f>
        <v>84214</v>
      </c>
      <c r="D11482" t="s">
        <v>431</v>
      </c>
      <c r="E11482">
        <v>45.9</v>
      </c>
      <c r="F11482">
        <v>20140806</v>
      </c>
      <c r="G11482" t="s">
        <v>410</v>
      </c>
      <c r="H11482" t="s">
        <v>411</v>
      </c>
      <c r="I11482" t="s">
        <v>12</v>
      </c>
    </row>
    <row r="11483" spans="1:9" x14ac:dyDescent="0.25">
      <c r="A11483">
        <v>20140807</v>
      </c>
      <c r="B11483" t="str">
        <f>"116785"</f>
        <v>116785</v>
      </c>
      <c r="C11483" t="str">
        <f>"82405"</f>
        <v>82405</v>
      </c>
      <c r="D11483" t="s">
        <v>4888</v>
      </c>
      <c r="E11483">
        <v>200</v>
      </c>
      <c r="F11483">
        <v>20140806</v>
      </c>
      <c r="G11483" t="s">
        <v>347</v>
      </c>
      <c r="H11483" t="s">
        <v>1360</v>
      </c>
      <c r="I11483" t="s">
        <v>61</v>
      </c>
    </row>
    <row r="11484" spans="1:9" x14ac:dyDescent="0.25">
      <c r="A11484">
        <v>20140807</v>
      </c>
      <c r="B11484" t="str">
        <f>"116786"</f>
        <v>116786</v>
      </c>
      <c r="C11484" t="str">
        <f>"86454"</f>
        <v>86454</v>
      </c>
      <c r="D11484" t="s">
        <v>4441</v>
      </c>
      <c r="E11484">
        <v>267.44</v>
      </c>
      <c r="F11484">
        <v>20140805</v>
      </c>
      <c r="G11484" t="s">
        <v>2423</v>
      </c>
      <c r="H11484" t="s">
        <v>365</v>
      </c>
      <c r="I11484" t="s">
        <v>21</v>
      </c>
    </row>
    <row r="11485" spans="1:9" x14ac:dyDescent="0.25">
      <c r="A11485">
        <v>20140807</v>
      </c>
      <c r="B11485" t="str">
        <f>"116787"</f>
        <v>116787</v>
      </c>
      <c r="C11485" t="str">
        <f>"81933"</f>
        <v>81933</v>
      </c>
      <c r="D11485" t="s">
        <v>432</v>
      </c>
      <c r="E11485">
        <v>40.5</v>
      </c>
      <c r="F11485">
        <v>20140806</v>
      </c>
      <c r="G11485" t="s">
        <v>4776</v>
      </c>
      <c r="H11485" t="s">
        <v>411</v>
      </c>
      <c r="I11485" t="s">
        <v>218</v>
      </c>
    </row>
    <row r="11486" spans="1:9" x14ac:dyDescent="0.25">
      <c r="A11486">
        <v>20140807</v>
      </c>
      <c r="B11486" t="str">
        <f>"116788"</f>
        <v>116788</v>
      </c>
      <c r="C11486" t="str">
        <f>"87772"</f>
        <v>87772</v>
      </c>
      <c r="D11486" t="s">
        <v>3883</v>
      </c>
      <c r="E11486" s="1">
        <v>20491.5</v>
      </c>
      <c r="F11486">
        <v>20140806</v>
      </c>
      <c r="G11486" t="s">
        <v>331</v>
      </c>
      <c r="H11486" t="s">
        <v>839</v>
      </c>
      <c r="I11486" t="s">
        <v>12</v>
      </c>
    </row>
    <row r="11487" spans="1:9" x14ac:dyDescent="0.25">
      <c r="A11487">
        <v>20140807</v>
      </c>
      <c r="B11487" t="str">
        <f>"116788"</f>
        <v>116788</v>
      </c>
      <c r="C11487" t="str">
        <f>"87772"</f>
        <v>87772</v>
      </c>
      <c r="D11487" t="s">
        <v>3883</v>
      </c>
      <c r="E11487" s="1">
        <v>90155.45</v>
      </c>
      <c r="F11487">
        <v>20140806</v>
      </c>
      <c r="G11487" t="s">
        <v>331</v>
      </c>
      <c r="H11487" t="s">
        <v>4889</v>
      </c>
      <c r="I11487" t="s">
        <v>12</v>
      </c>
    </row>
    <row r="11488" spans="1:9" x14ac:dyDescent="0.25">
      <c r="A11488">
        <v>20140807</v>
      </c>
      <c r="B11488" t="str">
        <f>"116789"</f>
        <v>116789</v>
      </c>
      <c r="C11488" t="str">
        <f>"87818"</f>
        <v>87818</v>
      </c>
      <c r="D11488" t="s">
        <v>4028</v>
      </c>
      <c r="E11488">
        <v>800</v>
      </c>
      <c r="F11488">
        <v>20140806</v>
      </c>
      <c r="G11488" t="s">
        <v>511</v>
      </c>
      <c r="H11488" t="s">
        <v>4890</v>
      </c>
      <c r="I11488" t="s">
        <v>21</v>
      </c>
    </row>
    <row r="11489" spans="1:9" x14ac:dyDescent="0.25">
      <c r="A11489">
        <v>20140807</v>
      </c>
      <c r="B11489" t="str">
        <f>"116790"</f>
        <v>116790</v>
      </c>
      <c r="C11489" t="str">
        <f>"86959"</f>
        <v>86959</v>
      </c>
      <c r="D11489" t="s">
        <v>3434</v>
      </c>
      <c r="E11489">
        <v>77.540000000000006</v>
      </c>
      <c r="F11489">
        <v>20140805</v>
      </c>
      <c r="G11489" t="s">
        <v>2495</v>
      </c>
      <c r="H11489" t="s">
        <v>365</v>
      </c>
      <c r="I11489" t="s">
        <v>21</v>
      </c>
    </row>
    <row r="11490" spans="1:9" x14ac:dyDescent="0.25">
      <c r="A11490">
        <v>20140807</v>
      </c>
      <c r="B11490" t="str">
        <f>"116790"</f>
        <v>116790</v>
      </c>
      <c r="C11490" t="str">
        <f>"86959"</f>
        <v>86959</v>
      </c>
      <c r="D11490" t="s">
        <v>3434</v>
      </c>
      <c r="E11490">
        <v>99.6</v>
      </c>
      <c r="F11490">
        <v>20140805</v>
      </c>
      <c r="G11490" t="s">
        <v>2495</v>
      </c>
      <c r="H11490" t="s">
        <v>365</v>
      </c>
      <c r="I11490" t="s">
        <v>21</v>
      </c>
    </row>
    <row r="11491" spans="1:9" x14ac:dyDescent="0.25">
      <c r="A11491">
        <v>20140807</v>
      </c>
      <c r="B11491" t="str">
        <f>"116791"</f>
        <v>116791</v>
      </c>
      <c r="C11491" t="str">
        <f>"87908"</f>
        <v>87908</v>
      </c>
      <c r="D11491" t="s">
        <v>4891</v>
      </c>
      <c r="E11491" s="1">
        <v>1275</v>
      </c>
      <c r="F11491">
        <v>20140804</v>
      </c>
      <c r="G11491" t="s">
        <v>1193</v>
      </c>
      <c r="H11491" t="s">
        <v>1451</v>
      </c>
      <c r="I11491" t="s">
        <v>25</v>
      </c>
    </row>
    <row r="11492" spans="1:9" x14ac:dyDescent="0.25">
      <c r="A11492">
        <v>20140807</v>
      </c>
      <c r="B11492" t="str">
        <f>"116792"</f>
        <v>116792</v>
      </c>
      <c r="C11492" t="str">
        <f>"70350"</f>
        <v>70350</v>
      </c>
      <c r="D11492" t="s">
        <v>2763</v>
      </c>
      <c r="E11492">
        <v>590</v>
      </c>
      <c r="F11492">
        <v>20140806</v>
      </c>
      <c r="G11492" t="s">
        <v>2764</v>
      </c>
      <c r="H11492" t="s">
        <v>4892</v>
      </c>
      <c r="I11492" t="s">
        <v>61</v>
      </c>
    </row>
    <row r="11493" spans="1:9" x14ac:dyDescent="0.25">
      <c r="A11493">
        <v>20140807</v>
      </c>
      <c r="B11493" t="str">
        <f>"116793"</f>
        <v>116793</v>
      </c>
      <c r="C11493" t="str">
        <f>"86616"</f>
        <v>86616</v>
      </c>
      <c r="D11493" t="s">
        <v>1942</v>
      </c>
      <c r="E11493" s="1">
        <v>6540</v>
      </c>
      <c r="F11493">
        <v>20140804</v>
      </c>
      <c r="G11493" t="s">
        <v>1943</v>
      </c>
      <c r="H11493" t="s">
        <v>4893</v>
      </c>
      <c r="I11493" t="s">
        <v>21</v>
      </c>
    </row>
    <row r="11494" spans="1:9" x14ac:dyDescent="0.25">
      <c r="A11494">
        <v>20140807</v>
      </c>
      <c r="B11494" t="str">
        <f>"116794"</f>
        <v>116794</v>
      </c>
      <c r="C11494" t="str">
        <f>"87827"</f>
        <v>87827</v>
      </c>
      <c r="D11494" t="s">
        <v>4728</v>
      </c>
      <c r="E11494" s="1">
        <v>6696.3</v>
      </c>
      <c r="F11494">
        <v>20140806</v>
      </c>
      <c r="G11494" t="s">
        <v>904</v>
      </c>
      <c r="H11494" t="s">
        <v>839</v>
      </c>
      <c r="I11494" t="s">
        <v>75</v>
      </c>
    </row>
    <row r="11495" spans="1:9" x14ac:dyDescent="0.25">
      <c r="A11495">
        <v>20140807</v>
      </c>
      <c r="B11495" t="str">
        <f>"116794"</f>
        <v>116794</v>
      </c>
      <c r="C11495" t="str">
        <f>"87827"</f>
        <v>87827</v>
      </c>
      <c r="D11495" t="s">
        <v>4728</v>
      </c>
      <c r="E11495" s="1">
        <v>13553.7</v>
      </c>
      <c r="F11495">
        <v>20140806</v>
      </c>
      <c r="G11495" t="s">
        <v>2210</v>
      </c>
      <c r="H11495" t="s">
        <v>839</v>
      </c>
      <c r="I11495" t="s">
        <v>75</v>
      </c>
    </row>
    <row r="11496" spans="1:9" x14ac:dyDescent="0.25">
      <c r="A11496">
        <v>20140807</v>
      </c>
      <c r="B11496" t="str">
        <f>"116795"</f>
        <v>116795</v>
      </c>
      <c r="C11496" t="str">
        <f>"82991"</f>
        <v>82991</v>
      </c>
      <c r="D11496" t="s">
        <v>104</v>
      </c>
      <c r="E11496">
        <v>431</v>
      </c>
      <c r="F11496">
        <v>20140806</v>
      </c>
      <c r="G11496" t="s">
        <v>2579</v>
      </c>
      <c r="H11496" t="s">
        <v>1109</v>
      </c>
      <c r="I11496" t="s">
        <v>58</v>
      </c>
    </row>
    <row r="11497" spans="1:9" x14ac:dyDescent="0.25">
      <c r="A11497">
        <v>20140807</v>
      </c>
      <c r="B11497" t="str">
        <f>"116796"</f>
        <v>116796</v>
      </c>
      <c r="C11497" t="str">
        <f>"76890"</f>
        <v>76890</v>
      </c>
      <c r="D11497" t="s">
        <v>4894</v>
      </c>
      <c r="E11497">
        <v>95</v>
      </c>
      <c r="F11497">
        <v>20140806</v>
      </c>
      <c r="G11497" t="s">
        <v>496</v>
      </c>
      <c r="H11497" t="s">
        <v>414</v>
      </c>
      <c r="I11497" t="s">
        <v>21</v>
      </c>
    </row>
    <row r="11498" spans="1:9" x14ac:dyDescent="0.25">
      <c r="A11498">
        <v>20140807</v>
      </c>
      <c r="B11498" t="str">
        <f>"116797"</f>
        <v>116797</v>
      </c>
      <c r="C11498" t="str">
        <f>"76915"</f>
        <v>76915</v>
      </c>
      <c r="D11498" t="s">
        <v>1324</v>
      </c>
      <c r="E11498">
        <v>14.04</v>
      </c>
      <c r="F11498">
        <v>20140806</v>
      </c>
      <c r="G11498" t="s">
        <v>498</v>
      </c>
      <c r="H11498" t="s">
        <v>499</v>
      </c>
      <c r="I11498" t="s">
        <v>21</v>
      </c>
    </row>
    <row r="11499" spans="1:9" x14ac:dyDescent="0.25">
      <c r="A11499">
        <v>20140807</v>
      </c>
      <c r="B11499" t="str">
        <f>"116797"</f>
        <v>116797</v>
      </c>
      <c r="C11499" t="str">
        <f>"76915"</f>
        <v>76915</v>
      </c>
      <c r="D11499" t="s">
        <v>1324</v>
      </c>
      <c r="E11499">
        <v>625.55999999999995</v>
      </c>
      <c r="F11499">
        <v>20140806</v>
      </c>
      <c r="G11499" t="s">
        <v>413</v>
      </c>
      <c r="H11499" t="s">
        <v>414</v>
      </c>
      <c r="I11499" t="s">
        <v>21</v>
      </c>
    </row>
    <row r="11500" spans="1:9" x14ac:dyDescent="0.25">
      <c r="A11500">
        <v>20140807</v>
      </c>
      <c r="B11500" t="str">
        <f>"116798"</f>
        <v>116798</v>
      </c>
      <c r="C11500" t="str">
        <f>"76914"</f>
        <v>76914</v>
      </c>
      <c r="D11500" t="s">
        <v>2580</v>
      </c>
      <c r="E11500">
        <v>155.4</v>
      </c>
      <c r="F11500">
        <v>20140806</v>
      </c>
      <c r="G11500" t="s">
        <v>902</v>
      </c>
      <c r="H11500" t="s">
        <v>365</v>
      </c>
      <c r="I11500" t="s">
        <v>21</v>
      </c>
    </row>
    <row r="11501" spans="1:9" x14ac:dyDescent="0.25">
      <c r="A11501">
        <v>20140807</v>
      </c>
      <c r="B11501" t="str">
        <f>"116799"</f>
        <v>116799</v>
      </c>
      <c r="C11501" t="str">
        <f>"85780"</f>
        <v>85780</v>
      </c>
      <c r="D11501" t="s">
        <v>402</v>
      </c>
      <c r="E11501">
        <v>660</v>
      </c>
      <c r="F11501">
        <v>20140806</v>
      </c>
      <c r="G11501" t="s">
        <v>1759</v>
      </c>
      <c r="H11501" t="s">
        <v>357</v>
      </c>
      <c r="I11501" t="s">
        <v>61</v>
      </c>
    </row>
    <row r="11502" spans="1:9" x14ac:dyDescent="0.25">
      <c r="A11502">
        <v>20140807</v>
      </c>
      <c r="B11502" t="str">
        <f>"116800"</f>
        <v>116800</v>
      </c>
      <c r="C11502" t="str">
        <f>"85780"</f>
        <v>85780</v>
      </c>
      <c r="D11502" t="s">
        <v>402</v>
      </c>
      <c r="E11502">
        <v>525</v>
      </c>
      <c r="F11502">
        <v>20140806</v>
      </c>
      <c r="G11502" t="s">
        <v>1759</v>
      </c>
      <c r="H11502" t="s">
        <v>357</v>
      </c>
      <c r="I11502" t="s">
        <v>61</v>
      </c>
    </row>
    <row r="11503" spans="1:9" x14ac:dyDescent="0.25">
      <c r="A11503">
        <v>20140807</v>
      </c>
      <c r="B11503" t="str">
        <f>"116801"</f>
        <v>116801</v>
      </c>
      <c r="C11503" t="str">
        <f>"85780"</f>
        <v>85780</v>
      </c>
      <c r="D11503" t="s">
        <v>402</v>
      </c>
      <c r="E11503">
        <v>110</v>
      </c>
      <c r="F11503">
        <v>20140806</v>
      </c>
      <c r="G11503" t="s">
        <v>1759</v>
      </c>
      <c r="H11503" t="s">
        <v>357</v>
      </c>
      <c r="I11503" t="s">
        <v>61</v>
      </c>
    </row>
    <row r="11504" spans="1:9" x14ac:dyDescent="0.25">
      <c r="A11504">
        <v>20140807</v>
      </c>
      <c r="B11504" t="str">
        <f>"116802"</f>
        <v>116802</v>
      </c>
      <c r="C11504" t="str">
        <f>"85780"</f>
        <v>85780</v>
      </c>
      <c r="D11504" t="s">
        <v>402</v>
      </c>
      <c r="E11504">
        <v>105</v>
      </c>
      <c r="F11504">
        <v>20140806</v>
      </c>
      <c r="G11504" t="s">
        <v>1759</v>
      </c>
      <c r="H11504" t="s">
        <v>357</v>
      </c>
      <c r="I11504" t="s">
        <v>61</v>
      </c>
    </row>
    <row r="11505" spans="1:9" x14ac:dyDescent="0.25">
      <c r="A11505">
        <v>20140807</v>
      </c>
      <c r="B11505" t="str">
        <f>"116803"</f>
        <v>116803</v>
      </c>
      <c r="C11505" t="str">
        <f>"79400"</f>
        <v>79400</v>
      </c>
      <c r="D11505" t="s">
        <v>1328</v>
      </c>
      <c r="E11505" s="1">
        <v>11257.22</v>
      </c>
      <c r="F11505">
        <v>20140806</v>
      </c>
      <c r="G11505" t="s">
        <v>1329</v>
      </c>
      <c r="H11505" t="s">
        <v>1330</v>
      </c>
      <c r="I11505" t="s">
        <v>21</v>
      </c>
    </row>
    <row r="11506" spans="1:9" x14ac:dyDescent="0.25">
      <c r="A11506">
        <v>20140807</v>
      </c>
      <c r="B11506" t="str">
        <f t="shared" ref="B11506:B11530" si="656">"116804"</f>
        <v>116804</v>
      </c>
      <c r="C11506" t="str">
        <f t="shared" ref="C11506:C11530" si="657">"80825"</f>
        <v>80825</v>
      </c>
      <c r="D11506" t="s">
        <v>747</v>
      </c>
      <c r="E11506">
        <v>139.19</v>
      </c>
      <c r="F11506">
        <v>20140804</v>
      </c>
      <c r="G11506" t="s">
        <v>989</v>
      </c>
      <c r="H11506" t="s">
        <v>749</v>
      </c>
      <c r="I11506" t="s">
        <v>61</v>
      </c>
    </row>
    <row r="11507" spans="1:9" x14ac:dyDescent="0.25">
      <c r="A11507">
        <v>20140807</v>
      </c>
      <c r="B11507" t="str">
        <f t="shared" si="656"/>
        <v>116804</v>
      </c>
      <c r="C11507" t="str">
        <f t="shared" si="657"/>
        <v>80825</v>
      </c>
      <c r="D11507" t="s">
        <v>747</v>
      </c>
      <c r="E11507">
        <v>139.19</v>
      </c>
      <c r="F11507">
        <v>20140804</v>
      </c>
      <c r="G11507" t="s">
        <v>989</v>
      </c>
      <c r="H11507" t="s">
        <v>749</v>
      </c>
      <c r="I11507" t="s">
        <v>61</v>
      </c>
    </row>
    <row r="11508" spans="1:9" x14ac:dyDescent="0.25">
      <c r="A11508">
        <v>20140807</v>
      </c>
      <c r="B11508" t="str">
        <f t="shared" si="656"/>
        <v>116804</v>
      </c>
      <c r="C11508" t="str">
        <f t="shared" si="657"/>
        <v>80825</v>
      </c>
      <c r="D11508" t="s">
        <v>747</v>
      </c>
      <c r="E11508" s="1">
        <v>2093.38</v>
      </c>
      <c r="F11508">
        <v>20140804</v>
      </c>
      <c r="G11508" t="s">
        <v>748</v>
      </c>
      <c r="H11508" t="s">
        <v>749</v>
      </c>
      <c r="I11508" t="s">
        <v>21</v>
      </c>
    </row>
    <row r="11509" spans="1:9" x14ac:dyDescent="0.25">
      <c r="A11509">
        <v>20140807</v>
      </c>
      <c r="B11509" t="str">
        <f t="shared" si="656"/>
        <v>116804</v>
      </c>
      <c r="C11509" t="str">
        <f t="shared" si="657"/>
        <v>80825</v>
      </c>
      <c r="D11509" t="s">
        <v>747</v>
      </c>
      <c r="E11509">
        <v>196.46</v>
      </c>
      <c r="F11509">
        <v>20140804</v>
      </c>
      <c r="G11509" t="s">
        <v>1551</v>
      </c>
      <c r="H11509" t="s">
        <v>749</v>
      </c>
      <c r="I11509" t="s">
        <v>21</v>
      </c>
    </row>
    <row r="11510" spans="1:9" x14ac:dyDescent="0.25">
      <c r="A11510">
        <v>20140807</v>
      </c>
      <c r="B11510" t="str">
        <f t="shared" si="656"/>
        <v>116804</v>
      </c>
      <c r="C11510" t="str">
        <f t="shared" si="657"/>
        <v>80825</v>
      </c>
      <c r="D11510" t="s">
        <v>747</v>
      </c>
      <c r="E11510">
        <v>670.6</v>
      </c>
      <c r="F11510">
        <v>20140804</v>
      </c>
      <c r="G11510" t="s">
        <v>750</v>
      </c>
      <c r="H11510" t="s">
        <v>749</v>
      </c>
      <c r="I11510" t="s">
        <v>21</v>
      </c>
    </row>
    <row r="11511" spans="1:9" x14ac:dyDescent="0.25">
      <c r="A11511">
        <v>20140807</v>
      </c>
      <c r="B11511" t="str">
        <f t="shared" si="656"/>
        <v>116804</v>
      </c>
      <c r="C11511" t="str">
        <f t="shared" si="657"/>
        <v>80825</v>
      </c>
      <c r="D11511" t="s">
        <v>747</v>
      </c>
      <c r="E11511">
        <v>670.6</v>
      </c>
      <c r="F11511">
        <v>20140804</v>
      </c>
      <c r="G11511" t="s">
        <v>750</v>
      </c>
      <c r="H11511" t="s">
        <v>749</v>
      </c>
      <c r="I11511" t="s">
        <v>21</v>
      </c>
    </row>
    <row r="11512" spans="1:9" x14ac:dyDescent="0.25">
      <c r="A11512">
        <v>20140807</v>
      </c>
      <c r="B11512" t="str">
        <f t="shared" si="656"/>
        <v>116804</v>
      </c>
      <c r="C11512" t="str">
        <f t="shared" si="657"/>
        <v>80825</v>
      </c>
      <c r="D11512" t="s">
        <v>747</v>
      </c>
      <c r="E11512">
        <v>670.6</v>
      </c>
      <c r="F11512">
        <v>20140804</v>
      </c>
      <c r="G11512" t="s">
        <v>752</v>
      </c>
      <c r="H11512" t="s">
        <v>749</v>
      </c>
      <c r="I11512" t="s">
        <v>21</v>
      </c>
    </row>
    <row r="11513" spans="1:9" x14ac:dyDescent="0.25">
      <c r="A11513">
        <v>20140807</v>
      </c>
      <c r="B11513" t="str">
        <f t="shared" si="656"/>
        <v>116804</v>
      </c>
      <c r="C11513" t="str">
        <f t="shared" si="657"/>
        <v>80825</v>
      </c>
      <c r="D11513" t="s">
        <v>747</v>
      </c>
      <c r="E11513">
        <v>582.95000000000005</v>
      </c>
      <c r="F11513">
        <v>20140804</v>
      </c>
      <c r="G11513" t="s">
        <v>753</v>
      </c>
      <c r="H11513" t="s">
        <v>749</v>
      </c>
      <c r="I11513" t="s">
        <v>21</v>
      </c>
    </row>
    <row r="11514" spans="1:9" x14ac:dyDescent="0.25">
      <c r="A11514">
        <v>20140807</v>
      </c>
      <c r="B11514" t="str">
        <f t="shared" si="656"/>
        <v>116804</v>
      </c>
      <c r="C11514" t="str">
        <f t="shared" si="657"/>
        <v>80825</v>
      </c>
      <c r="D11514" t="s">
        <v>747</v>
      </c>
      <c r="E11514">
        <v>582.95000000000005</v>
      </c>
      <c r="F11514">
        <v>20140804</v>
      </c>
      <c r="G11514" t="s">
        <v>753</v>
      </c>
      <c r="H11514" t="s">
        <v>749</v>
      </c>
      <c r="I11514" t="s">
        <v>21</v>
      </c>
    </row>
    <row r="11515" spans="1:9" x14ac:dyDescent="0.25">
      <c r="A11515">
        <v>20140807</v>
      </c>
      <c r="B11515" t="str">
        <f t="shared" si="656"/>
        <v>116804</v>
      </c>
      <c r="C11515" t="str">
        <f t="shared" si="657"/>
        <v>80825</v>
      </c>
      <c r="D11515" t="s">
        <v>747</v>
      </c>
      <c r="E11515">
        <v>582.95000000000005</v>
      </c>
      <c r="F11515">
        <v>20140804</v>
      </c>
      <c r="G11515" t="s">
        <v>754</v>
      </c>
      <c r="H11515" t="s">
        <v>749</v>
      </c>
      <c r="I11515" t="s">
        <v>21</v>
      </c>
    </row>
    <row r="11516" spans="1:9" x14ac:dyDescent="0.25">
      <c r="A11516">
        <v>20140807</v>
      </c>
      <c r="B11516" t="str">
        <f t="shared" si="656"/>
        <v>116804</v>
      </c>
      <c r="C11516" t="str">
        <f t="shared" si="657"/>
        <v>80825</v>
      </c>
      <c r="D11516" t="s">
        <v>747</v>
      </c>
      <c r="E11516">
        <v>582.95000000000005</v>
      </c>
      <c r="F11516">
        <v>20140804</v>
      </c>
      <c r="G11516" t="s">
        <v>754</v>
      </c>
      <c r="H11516" t="s">
        <v>749</v>
      </c>
      <c r="I11516" t="s">
        <v>21</v>
      </c>
    </row>
    <row r="11517" spans="1:9" x14ac:dyDescent="0.25">
      <c r="A11517">
        <v>20140807</v>
      </c>
      <c r="B11517" t="str">
        <f t="shared" si="656"/>
        <v>116804</v>
      </c>
      <c r="C11517" t="str">
        <f t="shared" si="657"/>
        <v>80825</v>
      </c>
      <c r="D11517" t="s">
        <v>747</v>
      </c>
      <c r="E11517">
        <v>582.95000000000005</v>
      </c>
      <c r="F11517">
        <v>20140804</v>
      </c>
      <c r="G11517" t="s">
        <v>990</v>
      </c>
      <c r="H11517" t="s">
        <v>749</v>
      </c>
      <c r="I11517" t="s">
        <v>21</v>
      </c>
    </row>
    <row r="11518" spans="1:9" x14ac:dyDescent="0.25">
      <c r="A11518">
        <v>20140807</v>
      </c>
      <c r="B11518" t="str">
        <f t="shared" si="656"/>
        <v>116804</v>
      </c>
      <c r="C11518" t="str">
        <f t="shared" si="657"/>
        <v>80825</v>
      </c>
      <c r="D11518" t="s">
        <v>747</v>
      </c>
      <c r="E11518">
        <v>582.95000000000005</v>
      </c>
      <c r="F11518">
        <v>20140804</v>
      </c>
      <c r="G11518" t="s">
        <v>990</v>
      </c>
      <c r="H11518" t="s">
        <v>749</v>
      </c>
      <c r="I11518" t="s">
        <v>21</v>
      </c>
    </row>
    <row r="11519" spans="1:9" x14ac:dyDescent="0.25">
      <c r="A11519">
        <v>20140807</v>
      </c>
      <c r="B11519" t="str">
        <f t="shared" si="656"/>
        <v>116804</v>
      </c>
      <c r="C11519" t="str">
        <f t="shared" si="657"/>
        <v>80825</v>
      </c>
      <c r="D11519" t="s">
        <v>747</v>
      </c>
      <c r="E11519">
        <v>582.95000000000005</v>
      </c>
      <c r="F11519">
        <v>20140804</v>
      </c>
      <c r="G11519" t="s">
        <v>755</v>
      </c>
      <c r="H11519" t="s">
        <v>749</v>
      </c>
      <c r="I11519" t="s">
        <v>21</v>
      </c>
    </row>
    <row r="11520" spans="1:9" x14ac:dyDescent="0.25">
      <c r="A11520">
        <v>20140807</v>
      </c>
      <c r="B11520" t="str">
        <f t="shared" si="656"/>
        <v>116804</v>
      </c>
      <c r="C11520" t="str">
        <f t="shared" si="657"/>
        <v>80825</v>
      </c>
      <c r="D11520" t="s">
        <v>747</v>
      </c>
      <c r="E11520">
        <v>582.95000000000005</v>
      </c>
      <c r="F11520">
        <v>20140804</v>
      </c>
      <c r="G11520" t="s">
        <v>756</v>
      </c>
      <c r="H11520" t="s">
        <v>749</v>
      </c>
      <c r="I11520" t="s">
        <v>21</v>
      </c>
    </row>
    <row r="11521" spans="1:9" x14ac:dyDescent="0.25">
      <c r="A11521">
        <v>20140807</v>
      </c>
      <c r="B11521" t="str">
        <f t="shared" si="656"/>
        <v>116804</v>
      </c>
      <c r="C11521" t="str">
        <f t="shared" si="657"/>
        <v>80825</v>
      </c>
      <c r="D11521" t="s">
        <v>747</v>
      </c>
      <c r="E11521">
        <v>582.95000000000005</v>
      </c>
      <c r="F11521">
        <v>20140804</v>
      </c>
      <c r="G11521" t="s">
        <v>756</v>
      </c>
      <c r="H11521" t="s">
        <v>749</v>
      </c>
      <c r="I11521" t="s">
        <v>21</v>
      </c>
    </row>
    <row r="11522" spans="1:9" x14ac:dyDescent="0.25">
      <c r="A11522">
        <v>20140807</v>
      </c>
      <c r="B11522" t="str">
        <f t="shared" si="656"/>
        <v>116804</v>
      </c>
      <c r="C11522" t="str">
        <f t="shared" si="657"/>
        <v>80825</v>
      </c>
      <c r="D11522" t="s">
        <v>747</v>
      </c>
      <c r="E11522">
        <v>133.91</v>
      </c>
      <c r="F11522">
        <v>20140804</v>
      </c>
      <c r="G11522" t="s">
        <v>757</v>
      </c>
      <c r="H11522" t="s">
        <v>749</v>
      </c>
      <c r="I11522" t="s">
        <v>21</v>
      </c>
    </row>
    <row r="11523" spans="1:9" x14ac:dyDescent="0.25">
      <c r="A11523">
        <v>20140807</v>
      </c>
      <c r="B11523" t="str">
        <f t="shared" si="656"/>
        <v>116804</v>
      </c>
      <c r="C11523" t="str">
        <f t="shared" si="657"/>
        <v>80825</v>
      </c>
      <c r="D11523" t="s">
        <v>747</v>
      </c>
      <c r="E11523">
        <v>65.48</v>
      </c>
      <c r="F11523">
        <v>20140804</v>
      </c>
      <c r="G11523" t="s">
        <v>757</v>
      </c>
      <c r="H11523" t="s">
        <v>749</v>
      </c>
      <c r="I11523" t="s">
        <v>21</v>
      </c>
    </row>
    <row r="11524" spans="1:9" x14ac:dyDescent="0.25">
      <c r="A11524">
        <v>20140807</v>
      </c>
      <c r="B11524" t="str">
        <f t="shared" si="656"/>
        <v>116804</v>
      </c>
      <c r="C11524" t="str">
        <f t="shared" si="657"/>
        <v>80825</v>
      </c>
      <c r="D11524" t="s">
        <v>747</v>
      </c>
      <c r="E11524">
        <v>82.75</v>
      </c>
      <c r="F11524">
        <v>20140804</v>
      </c>
      <c r="G11524" t="s">
        <v>758</v>
      </c>
      <c r="H11524" t="s">
        <v>749</v>
      </c>
      <c r="I11524" t="s">
        <v>21</v>
      </c>
    </row>
    <row r="11525" spans="1:9" x14ac:dyDescent="0.25">
      <c r="A11525">
        <v>20140807</v>
      </c>
      <c r="B11525" t="str">
        <f t="shared" si="656"/>
        <v>116804</v>
      </c>
      <c r="C11525" t="str">
        <f t="shared" si="657"/>
        <v>80825</v>
      </c>
      <c r="D11525" t="s">
        <v>747</v>
      </c>
      <c r="E11525">
        <v>133.9</v>
      </c>
      <c r="F11525">
        <v>20140804</v>
      </c>
      <c r="G11525" t="s">
        <v>544</v>
      </c>
      <c r="H11525" t="s">
        <v>749</v>
      </c>
      <c r="I11525" t="s">
        <v>21</v>
      </c>
    </row>
    <row r="11526" spans="1:9" x14ac:dyDescent="0.25">
      <c r="A11526">
        <v>20140807</v>
      </c>
      <c r="B11526" t="str">
        <f t="shared" si="656"/>
        <v>116804</v>
      </c>
      <c r="C11526" t="str">
        <f t="shared" si="657"/>
        <v>80825</v>
      </c>
      <c r="D11526" t="s">
        <v>747</v>
      </c>
      <c r="E11526">
        <v>65.48</v>
      </c>
      <c r="F11526">
        <v>20140804</v>
      </c>
      <c r="G11526" t="s">
        <v>544</v>
      </c>
      <c r="H11526" t="s">
        <v>749</v>
      </c>
      <c r="I11526" t="s">
        <v>21</v>
      </c>
    </row>
    <row r="11527" spans="1:9" x14ac:dyDescent="0.25">
      <c r="A11527">
        <v>20140807</v>
      </c>
      <c r="B11527" t="str">
        <f t="shared" si="656"/>
        <v>116804</v>
      </c>
      <c r="C11527" t="str">
        <f t="shared" si="657"/>
        <v>80825</v>
      </c>
      <c r="D11527" t="s">
        <v>747</v>
      </c>
      <c r="E11527">
        <v>133.9</v>
      </c>
      <c r="F11527">
        <v>20140804</v>
      </c>
      <c r="G11527" t="s">
        <v>545</v>
      </c>
      <c r="H11527" t="s">
        <v>749</v>
      </c>
      <c r="I11527" t="s">
        <v>21</v>
      </c>
    </row>
    <row r="11528" spans="1:9" x14ac:dyDescent="0.25">
      <c r="A11528">
        <v>20140807</v>
      </c>
      <c r="B11528" t="str">
        <f t="shared" si="656"/>
        <v>116804</v>
      </c>
      <c r="C11528" t="str">
        <f t="shared" si="657"/>
        <v>80825</v>
      </c>
      <c r="D11528" t="s">
        <v>747</v>
      </c>
      <c r="E11528">
        <v>65.5</v>
      </c>
      <c r="F11528">
        <v>20140804</v>
      </c>
      <c r="G11528" t="s">
        <v>545</v>
      </c>
      <c r="H11528" t="s">
        <v>749</v>
      </c>
      <c r="I11528" t="s">
        <v>21</v>
      </c>
    </row>
    <row r="11529" spans="1:9" x14ac:dyDescent="0.25">
      <c r="A11529">
        <v>20140807</v>
      </c>
      <c r="B11529" t="str">
        <f t="shared" si="656"/>
        <v>116804</v>
      </c>
      <c r="C11529" t="str">
        <f t="shared" si="657"/>
        <v>80825</v>
      </c>
      <c r="D11529" t="s">
        <v>747</v>
      </c>
      <c r="E11529">
        <v>196.46</v>
      </c>
      <c r="F11529">
        <v>20140804</v>
      </c>
      <c r="G11529" t="s">
        <v>759</v>
      </c>
      <c r="H11529" t="s">
        <v>749</v>
      </c>
      <c r="I11529" t="s">
        <v>12</v>
      </c>
    </row>
    <row r="11530" spans="1:9" x14ac:dyDescent="0.25">
      <c r="A11530">
        <v>20140807</v>
      </c>
      <c r="B11530" t="str">
        <f t="shared" si="656"/>
        <v>116804</v>
      </c>
      <c r="C11530" t="str">
        <f t="shared" si="657"/>
        <v>80825</v>
      </c>
      <c r="D11530" t="s">
        <v>747</v>
      </c>
      <c r="E11530">
        <v>230.08</v>
      </c>
      <c r="F11530">
        <v>20140804</v>
      </c>
      <c r="G11530" t="s">
        <v>759</v>
      </c>
      <c r="H11530" t="s">
        <v>760</v>
      </c>
      <c r="I11530" t="s">
        <v>12</v>
      </c>
    </row>
    <row r="11531" spans="1:9" x14ac:dyDescent="0.25">
      <c r="A11531">
        <v>20140811</v>
      </c>
      <c r="B11531" t="str">
        <f>"116805"</f>
        <v>116805</v>
      </c>
      <c r="C11531" t="str">
        <f>"87928"</f>
        <v>87928</v>
      </c>
      <c r="D11531" t="s">
        <v>4895</v>
      </c>
      <c r="E11531">
        <v>500</v>
      </c>
      <c r="F11531">
        <v>20140811</v>
      </c>
      <c r="G11531" t="s">
        <v>4896</v>
      </c>
      <c r="H11531" t="s">
        <v>4897</v>
      </c>
      <c r="I11531" t="s">
        <v>304</v>
      </c>
    </row>
    <row r="11532" spans="1:9" x14ac:dyDescent="0.25">
      <c r="A11532">
        <v>20140814</v>
      </c>
      <c r="B11532" t="str">
        <f>"116806"</f>
        <v>116806</v>
      </c>
      <c r="C11532" t="str">
        <f>"87929"</f>
        <v>87929</v>
      </c>
      <c r="D11532" t="s">
        <v>4898</v>
      </c>
      <c r="E11532">
        <v>395</v>
      </c>
      <c r="F11532">
        <v>20140811</v>
      </c>
      <c r="G11532" t="s">
        <v>866</v>
      </c>
      <c r="H11532" t="s">
        <v>3816</v>
      </c>
      <c r="I11532" t="s">
        <v>25</v>
      </c>
    </row>
    <row r="11533" spans="1:9" x14ac:dyDescent="0.25">
      <c r="A11533">
        <v>20140814</v>
      </c>
      <c r="B11533" t="str">
        <f>"116807"</f>
        <v>116807</v>
      </c>
      <c r="C11533" t="str">
        <f>"87934"</f>
        <v>87934</v>
      </c>
      <c r="D11533" t="s">
        <v>4899</v>
      </c>
      <c r="E11533">
        <v>250</v>
      </c>
      <c r="F11533">
        <v>20140813</v>
      </c>
      <c r="G11533" t="s">
        <v>186</v>
      </c>
      <c r="H11533" t="s">
        <v>4900</v>
      </c>
      <c r="I11533" t="s">
        <v>61</v>
      </c>
    </row>
    <row r="11534" spans="1:9" x14ac:dyDescent="0.25">
      <c r="A11534">
        <v>20140814</v>
      </c>
      <c r="B11534" t="str">
        <f>"116808"</f>
        <v>116808</v>
      </c>
      <c r="C11534" t="str">
        <f>"86997"</f>
        <v>86997</v>
      </c>
      <c r="D11534" t="s">
        <v>2098</v>
      </c>
      <c r="E11534">
        <v>152.13999999999999</v>
      </c>
      <c r="F11534">
        <v>20140807</v>
      </c>
      <c r="G11534" t="s">
        <v>627</v>
      </c>
      <c r="H11534" t="s">
        <v>414</v>
      </c>
      <c r="I11534" t="s">
        <v>21</v>
      </c>
    </row>
    <row r="11535" spans="1:9" x14ac:dyDescent="0.25">
      <c r="A11535">
        <v>20140814</v>
      </c>
      <c r="B11535" t="str">
        <f>"116808"</f>
        <v>116808</v>
      </c>
      <c r="C11535" t="str">
        <f>"86997"</f>
        <v>86997</v>
      </c>
      <c r="D11535" t="s">
        <v>2098</v>
      </c>
      <c r="E11535">
        <v>630.15</v>
      </c>
      <c r="F11535">
        <v>20140807</v>
      </c>
      <c r="G11535" t="s">
        <v>3820</v>
      </c>
      <c r="H11535" t="s">
        <v>414</v>
      </c>
      <c r="I11535" t="s">
        <v>21</v>
      </c>
    </row>
    <row r="11536" spans="1:9" x14ac:dyDescent="0.25">
      <c r="A11536">
        <v>20140814</v>
      </c>
      <c r="B11536" t="str">
        <f>"116808"</f>
        <v>116808</v>
      </c>
      <c r="C11536" t="str">
        <f>"86997"</f>
        <v>86997</v>
      </c>
      <c r="D11536" t="s">
        <v>2098</v>
      </c>
      <c r="E11536">
        <v>-214.69</v>
      </c>
      <c r="F11536">
        <v>20140814</v>
      </c>
      <c r="G11536" t="s">
        <v>3820</v>
      </c>
      <c r="H11536" t="s">
        <v>414</v>
      </c>
      <c r="I11536" t="s">
        <v>21</v>
      </c>
    </row>
    <row r="11537" spans="1:9" x14ac:dyDescent="0.25">
      <c r="A11537">
        <v>20140814</v>
      </c>
      <c r="B11537" t="str">
        <f>"116809"</f>
        <v>116809</v>
      </c>
      <c r="C11537" t="str">
        <f>"00923"</f>
        <v>00923</v>
      </c>
      <c r="D11537" t="s">
        <v>1177</v>
      </c>
      <c r="E11537">
        <v>54.67</v>
      </c>
      <c r="F11537">
        <v>20140813</v>
      </c>
      <c r="G11537" t="s">
        <v>1178</v>
      </c>
      <c r="H11537" t="s">
        <v>365</v>
      </c>
      <c r="I11537" t="s">
        <v>21</v>
      </c>
    </row>
    <row r="11538" spans="1:9" x14ac:dyDescent="0.25">
      <c r="A11538">
        <v>20140814</v>
      </c>
      <c r="B11538" t="str">
        <f>"116810"</f>
        <v>116810</v>
      </c>
      <c r="C11538" t="str">
        <f>"01840"</f>
        <v>01840</v>
      </c>
      <c r="D11538" t="s">
        <v>3096</v>
      </c>
      <c r="E11538">
        <v>81</v>
      </c>
      <c r="F11538">
        <v>20140807</v>
      </c>
      <c r="G11538" t="s">
        <v>367</v>
      </c>
      <c r="H11538" t="s">
        <v>1009</v>
      </c>
      <c r="I11538" t="s">
        <v>21</v>
      </c>
    </row>
    <row r="11539" spans="1:9" x14ac:dyDescent="0.25">
      <c r="A11539">
        <v>20140814</v>
      </c>
      <c r="B11539" t="str">
        <f>"116810"</f>
        <v>116810</v>
      </c>
      <c r="C11539" t="str">
        <f>"01840"</f>
        <v>01840</v>
      </c>
      <c r="D11539" t="s">
        <v>3096</v>
      </c>
      <c r="E11539">
        <v>72</v>
      </c>
      <c r="F11539">
        <v>20140807</v>
      </c>
      <c r="G11539" t="s">
        <v>704</v>
      </c>
      <c r="H11539" t="s">
        <v>705</v>
      </c>
      <c r="I11539" t="s">
        <v>21</v>
      </c>
    </row>
    <row r="11540" spans="1:9" x14ac:dyDescent="0.25">
      <c r="A11540">
        <v>20140814</v>
      </c>
      <c r="B11540" t="str">
        <f>"116811"</f>
        <v>116811</v>
      </c>
      <c r="C11540" t="str">
        <f>"01890"</f>
        <v>01890</v>
      </c>
      <c r="D11540" t="s">
        <v>447</v>
      </c>
      <c r="E11540">
        <v>155.83000000000001</v>
      </c>
      <c r="F11540">
        <v>20140811</v>
      </c>
      <c r="G11540" t="s">
        <v>448</v>
      </c>
      <c r="H11540" t="s">
        <v>414</v>
      </c>
      <c r="I11540" t="s">
        <v>21</v>
      </c>
    </row>
    <row r="11541" spans="1:9" x14ac:dyDescent="0.25">
      <c r="A11541">
        <v>20140814</v>
      </c>
      <c r="B11541" t="str">
        <f>"116811"</f>
        <v>116811</v>
      </c>
      <c r="C11541" t="str">
        <f>"01890"</f>
        <v>01890</v>
      </c>
      <c r="D11541" t="s">
        <v>447</v>
      </c>
      <c r="E11541">
        <v>39.630000000000003</v>
      </c>
      <c r="F11541">
        <v>20140807</v>
      </c>
      <c r="G11541" t="s">
        <v>496</v>
      </c>
      <c r="H11541" t="s">
        <v>414</v>
      </c>
      <c r="I11541" t="s">
        <v>21</v>
      </c>
    </row>
    <row r="11542" spans="1:9" x14ac:dyDescent="0.25">
      <c r="A11542">
        <v>20140814</v>
      </c>
      <c r="B11542" t="str">
        <f>"116811"</f>
        <v>116811</v>
      </c>
      <c r="C11542" t="str">
        <f>"01890"</f>
        <v>01890</v>
      </c>
      <c r="D11542" t="s">
        <v>447</v>
      </c>
      <c r="E11542">
        <v>71.81</v>
      </c>
      <c r="F11542">
        <v>20140807</v>
      </c>
      <c r="G11542" t="s">
        <v>392</v>
      </c>
      <c r="H11542" t="s">
        <v>414</v>
      </c>
      <c r="I11542" t="s">
        <v>21</v>
      </c>
    </row>
    <row r="11543" spans="1:9" x14ac:dyDescent="0.25">
      <c r="A11543">
        <v>20140814</v>
      </c>
      <c r="B11543" t="str">
        <f>"116811"</f>
        <v>116811</v>
      </c>
      <c r="C11543" t="str">
        <f>"01890"</f>
        <v>01890</v>
      </c>
      <c r="D11543" t="s">
        <v>447</v>
      </c>
      <c r="E11543">
        <v>20.38</v>
      </c>
      <c r="F11543">
        <v>20140807</v>
      </c>
      <c r="G11543" t="s">
        <v>1426</v>
      </c>
      <c r="H11543" t="s">
        <v>414</v>
      </c>
      <c r="I11543" t="s">
        <v>38</v>
      </c>
    </row>
    <row r="11544" spans="1:9" x14ac:dyDescent="0.25">
      <c r="A11544">
        <v>20140814</v>
      </c>
      <c r="B11544" t="str">
        <f t="shared" ref="B11544:B11556" si="658">"116812"</f>
        <v>116812</v>
      </c>
      <c r="C11544" t="str">
        <f t="shared" ref="C11544:C11556" si="659">"00255"</f>
        <v>00255</v>
      </c>
      <c r="D11544" t="s">
        <v>489</v>
      </c>
      <c r="E11544">
        <v>127.77</v>
      </c>
      <c r="F11544">
        <v>20140807</v>
      </c>
      <c r="G11544" t="s">
        <v>465</v>
      </c>
      <c r="H11544" t="s">
        <v>488</v>
      </c>
      <c r="I11544" t="s">
        <v>21</v>
      </c>
    </row>
    <row r="11545" spans="1:9" x14ac:dyDescent="0.25">
      <c r="A11545">
        <v>20140814</v>
      </c>
      <c r="B11545" t="str">
        <f t="shared" si="658"/>
        <v>116812</v>
      </c>
      <c r="C11545" t="str">
        <f t="shared" si="659"/>
        <v>00255</v>
      </c>
      <c r="D11545" t="s">
        <v>489</v>
      </c>
      <c r="E11545">
        <v>309.13</v>
      </c>
      <c r="F11545">
        <v>20140807</v>
      </c>
      <c r="G11545" t="s">
        <v>1351</v>
      </c>
      <c r="H11545" t="s">
        <v>488</v>
      </c>
      <c r="I11545" t="s">
        <v>21</v>
      </c>
    </row>
    <row r="11546" spans="1:9" x14ac:dyDescent="0.25">
      <c r="A11546">
        <v>20140814</v>
      </c>
      <c r="B11546" t="str">
        <f t="shared" si="658"/>
        <v>116812</v>
      </c>
      <c r="C11546" t="str">
        <f t="shared" si="659"/>
        <v>00255</v>
      </c>
      <c r="D11546" t="s">
        <v>489</v>
      </c>
      <c r="E11546">
        <v>45.67</v>
      </c>
      <c r="F11546">
        <v>20140807</v>
      </c>
      <c r="G11546" t="s">
        <v>1183</v>
      </c>
      <c r="H11546" t="s">
        <v>488</v>
      </c>
      <c r="I11546" t="s">
        <v>21</v>
      </c>
    </row>
    <row r="11547" spans="1:9" x14ac:dyDescent="0.25">
      <c r="A11547">
        <v>20140814</v>
      </c>
      <c r="B11547" t="str">
        <f t="shared" si="658"/>
        <v>116812</v>
      </c>
      <c r="C11547" t="str">
        <f t="shared" si="659"/>
        <v>00255</v>
      </c>
      <c r="D11547" t="s">
        <v>489</v>
      </c>
      <c r="E11547">
        <v>84.09</v>
      </c>
      <c r="F11547">
        <v>20140807</v>
      </c>
      <c r="G11547" t="s">
        <v>1183</v>
      </c>
      <c r="H11547" t="s">
        <v>488</v>
      </c>
      <c r="I11547" t="s">
        <v>21</v>
      </c>
    </row>
    <row r="11548" spans="1:9" x14ac:dyDescent="0.25">
      <c r="A11548">
        <v>20140814</v>
      </c>
      <c r="B11548" t="str">
        <f t="shared" si="658"/>
        <v>116812</v>
      </c>
      <c r="C11548" t="str">
        <f t="shared" si="659"/>
        <v>00255</v>
      </c>
      <c r="D11548" t="s">
        <v>489</v>
      </c>
      <c r="E11548">
        <v>144.15</v>
      </c>
      <c r="F11548">
        <v>20140807</v>
      </c>
      <c r="G11548" t="s">
        <v>490</v>
      </c>
      <c r="H11548" t="s">
        <v>488</v>
      </c>
      <c r="I11548" t="s">
        <v>21</v>
      </c>
    </row>
    <row r="11549" spans="1:9" x14ac:dyDescent="0.25">
      <c r="A11549">
        <v>20140814</v>
      </c>
      <c r="B11549" t="str">
        <f t="shared" si="658"/>
        <v>116812</v>
      </c>
      <c r="C11549" t="str">
        <f t="shared" si="659"/>
        <v>00255</v>
      </c>
      <c r="D11549" t="s">
        <v>489</v>
      </c>
      <c r="E11549">
        <v>41.63</v>
      </c>
      <c r="F11549">
        <v>20140807</v>
      </c>
      <c r="G11549" t="s">
        <v>490</v>
      </c>
      <c r="H11549" t="s">
        <v>488</v>
      </c>
      <c r="I11549" t="s">
        <v>21</v>
      </c>
    </row>
    <row r="11550" spans="1:9" x14ac:dyDescent="0.25">
      <c r="A11550">
        <v>20140814</v>
      </c>
      <c r="B11550" t="str">
        <f t="shared" si="658"/>
        <v>116812</v>
      </c>
      <c r="C11550" t="str">
        <f t="shared" si="659"/>
        <v>00255</v>
      </c>
      <c r="D11550" t="s">
        <v>489</v>
      </c>
      <c r="E11550">
        <v>41.63</v>
      </c>
      <c r="F11550">
        <v>20140807</v>
      </c>
      <c r="G11550" t="s">
        <v>490</v>
      </c>
      <c r="H11550" t="s">
        <v>488</v>
      </c>
      <c r="I11550" t="s">
        <v>21</v>
      </c>
    </row>
    <row r="11551" spans="1:9" x14ac:dyDescent="0.25">
      <c r="A11551">
        <v>20140814</v>
      </c>
      <c r="B11551" t="str">
        <f t="shared" si="658"/>
        <v>116812</v>
      </c>
      <c r="C11551" t="str">
        <f t="shared" si="659"/>
        <v>00255</v>
      </c>
      <c r="D11551" t="s">
        <v>489</v>
      </c>
      <c r="E11551">
        <v>101.71</v>
      </c>
      <c r="F11551">
        <v>20140807</v>
      </c>
      <c r="G11551" t="s">
        <v>1184</v>
      </c>
      <c r="H11551" t="s">
        <v>488</v>
      </c>
      <c r="I11551" t="s">
        <v>21</v>
      </c>
    </row>
    <row r="11552" spans="1:9" x14ac:dyDescent="0.25">
      <c r="A11552">
        <v>20140814</v>
      </c>
      <c r="B11552" t="str">
        <f t="shared" si="658"/>
        <v>116812</v>
      </c>
      <c r="C11552" t="str">
        <f t="shared" si="659"/>
        <v>00255</v>
      </c>
      <c r="D11552" t="s">
        <v>489</v>
      </c>
      <c r="E11552">
        <v>215.83</v>
      </c>
      <c r="F11552">
        <v>20140813</v>
      </c>
      <c r="G11552" t="s">
        <v>491</v>
      </c>
      <c r="H11552" t="s">
        <v>488</v>
      </c>
      <c r="I11552" t="s">
        <v>21</v>
      </c>
    </row>
    <row r="11553" spans="1:9" x14ac:dyDescent="0.25">
      <c r="A11553">
        <v>20140814</v>
      </c>
      <c r="B11553" t="str">
        <f t="shared" si="658"/>
        <v>116812</v>
      </c>
      <c r="C11553" t="str">
        <f t="shared" si="659"/>
        <v>00255</v>
      </c>
      <c r="D11553" t="s">
        <v>489</v>
      </c>
      <c r="E11553">
        <v>659.13</v>
      </c>
      <c r="F11553">
        <v>20140807</v>
      </c>
      <c r="G11553" t="s">
        <v>1185</v>
      </c>
      <c r="H11553" t="s">
        <v>488</v>
      </c>
      <c r="I11553" t="s">
        <v>21</v>
      </c>
    </row>
    <row r="11554" spans="1:9" x14ac:dyDescent="0.25">
      <c r="A11554">
        <v>20140814</v>
      </c>
      <c r="B11554" t="str">
        <f t="shared" si="658"/>
        <v>116812</v>
      </c>
      <c r="C11554" t="str">
        <f t="shared" si="659"/>
        <v>00255</v>
      </c>
      <c r="D11554" t="s">
        <v>489</v>
      </c>
      <c r="E11554">
        <v>41.63</v>
      </c>
      <c r="F11554">
        <v>20140807</v>
      </c>
      <c r="G11554" t="s">
        <v>492</v>
      </c>
      <c r="H11554" t="s">
        <v>488</v>
      </c>
      <c r="I11554" t="s">
        <v>21</v>
      </c>
    </row>
    <row r="11555" spans="1:9" x14ac:dyDescent="0.25">
      <c r="A11555">
        <v>20140814</v>
      </c>
      <c r="B11555" t="str">
        <f t="shared" si="658"/>
        <v>116812</v>
      </c>
      <c r="C11555" t="str">
        <f t="shared" si="659"/>
        <v>00255</v>
      </c>
      <c r="D11555" t="s">
        <v>489</v>
      </c>
      <c r="E11555">
        <v>106.33</v>
      </c>
      <c r="F11555">
        <v>20140807</v>
      </c>
      <c r="G11555" t="s">
        <v>493</v>
      </c>
      <c r="H11555" t="s">
        <v>488</v>
      </c>
      <c r="I11555" t="s">
        <v>21</v>
      </c>
    </row>
    <row r="11556" spans="1:9" x14ac:dyDescent="0.25">
      <c r="A11556">
        <v>20140814</v>
      </c>
      <c r="B11556" t="str">
        <f t="shared" si="658"/>
        <v>116812</v>
      </c>
      <c r="C11556" t="str">
        <f t="shared" si="659"/>
        <v>00255</v>
      </c>
      <c r="D11556" t="s">
        <v>489</v>
      </c>
      <c r="E11556">
        <v>85.68</v>
      </c>
      <c r="F11556">
        <v>20140807</v>
      </c>
      <c r="G11556" t="s">
        <v>1352</v>
      </c>
      <c r="H11556" t="s">
        <v>488</v>
      </c>
      <c r="I11556" t="s">
        <v>21</v>
      </c>
    </row>
    <row r="11557" spans="1:9" x14ac:dyDescent="0.25">
      <c r="A11557">
        <v>20140814</v>
      </c>
      <c r="B11557" t="str">
        <f>"116813"</f>
        <v>116813</v>
      </c>
      <c r="C11557" t="str">
        <f>"86456"</f>
        <v>86456</v>
      </c>
      <c r="D11557" t="s">
        <v>495</v>
      </c>
      <c r="E11557">
        <v>107.81</v>
      </c>
      <c r="F11557">
        <v>20140807</v>
      </c>
      <c r="G11557" t="s">
        <v>413</v>
      </c>
      <c r="H11557" t="s">
        <v>414</v>
      </c>
      <c r="I11557" t="s">
        <v>21</v>
      </c>
    </row>
    <row r="11558" spans="1:9" x14ac:dyDescent="0.25">
      <c r="A11558">
        <v>20140814</v>
      </c>
      <c r="B11558" t="str">
        <f>"116813"</f>
        <v>116813</v>
      </c>
      <c r="C11558" t="str">
        <f>"86456"</f>
        <v>86456</v>
      </c>
      <c r="D11558" t="s">
        <v>495</v>
      </c>
      <c r="E11558">
        <v>194.41</v>
      </c>
      <c r="F11558">
        <v>20140807</v>
      </c>
      <c r="G11558" t="s">
        <v>392</v>
      </c>
      <c r="H11558" t="s">
        <v>414</v>
      </c>
      <c r="I11558" t="s">
        <v>21</v>
      </c>
    </row>
    <row r="11559" spans="1:9" x14ac:dyDescent="0.25">
      <c r="A11559">
        <v>20140814</v>
      </c>
      <c r="B11559" t="str">
        <f>"116813"</f>
        <v>116813</v>
      </c>
      <c r="C11559" t="str">
        <f>"86456"</f>
        <v>86456</v>
      </c>
      <c r="D11559" t="s">
        <v>495</v>
      </c>
      <c r="E11559">
        <v>3.97</v>
      </c>
      <c r="F11559">
        <v>20140807</v>
      </c>
      <c r="G11559" t="s">
        <v>531</v>
      </c>
      <c r="H11559" t="s">
        <v>414</v>
      </c>
      <c r="I11559" t="s">
        <v>21</v>
      </c>
    </row>
    <row r="11560" spans="1:9" x14ac:dyDescent="0.25">
      <c r="A11560">
        <v>20140814</v>
      </c>
      <c r="B11560" t="str">
        <f>"116813"</f>
        <v>116813</v>
      </c>
      <c r="C11560" t="str">
        <f>"86456"</f>
        <v>86456</v>
      </c>
      <c r="D11560" t="s">
        <v>495</v>
      </c>
      <c r="E11560">
        <v>119.6</v>
      </c>
      <c r="F11560">
        <v>20140807</v>
      </c>
      <c r="G11560" t="s">
        <v>3820</v>
      </c>
      <c r="H11560" t="s">
        <v>414</v>
      </c>
      <c r="I11560" t="s">
        <v>21</v>
      </c>
    </row>
    <row r="11561" spans="1:9" x14ac:dyDescent="0.25">
      <c r="A11561">
        <v>20140814</v>
      </c>
      <c r="B11561" t="str">
        <f>"116814"</f>
        <v>116814</v>
      </c>
      <c r="C11561" t="str">
        <f>"82758"</f>
        <v>82758</v>
      </c>
      <c r="D11561" t="s">
        <v>776</v>
      </c>
      <c r="E11561" s="1">
        <v>2766.9</v>
      </c>
      <c r="F11561">
        <v>20140807</v>
      </c>
      <c r="G11561" t="s">
        <v>4901</v>
      </c>
      <c r="H11561" t="s">
        <v>4902</v>
      </c>
      <c r="I11561" t="s">
        <v>68</v>
      </c>
    </row>
    <row r="11562" spans="1:9" x14ac:dyDescent="0.25">
      <c r="A11562">
        <v>20140814</v>
      </c>
      <c r="B11562" t="str">
        <f>"116814"</f>
        <v>116814</v>
      </c>
      <c r="C11562" t="str">
        <f>"82758"</f>
        <v>82758</v>
      </c>
      <c r="D11562" t="s">
        <v>776</v>
      </c>
      <c r="E11562" s="1">
        <v>13172.15</v>
      </c>
      <c r="F11562">
        <v>20140807</v>
      </c>
      <c r="G11562" t="s">
        <v>4901</v>
      </c>
      <c r="H11562" t="s">
        <v>4902</v>
      </c>
      <c r="I11562" t="s">
        <v>68</v>
      </c>
    </row>
    <row r="11563" spans="1:9" x14ac:dyDescent="0.25">
      <c r="A11563">
        <v>20140814</v>
      </c>
      <c r="B11563" t="str">
        <f>"116815"</f>
        <v>116815</v>
      </c>
      <c r="C11563" t="str">
        <f>"11570"</f>
        <v>11570</v>
      </c>
      <c r="D11563" t="s">
        <v>1354</v>
      </c>
      <c r="E11563" s="1">
        <v>4700</v>
      </c>
      <c r="F11563">
        <v>20140807</v>
      </c>
      <c r="G11563" t="s">
        <v>1271</v>
      </c>
      <c r="H11563" t="s">
        <v>1355</v>
      </c>
      <c r="I11563" t="s">
        <v>21</v>
      </c>
    </row>
    <row r="11564" spans="1:9" x14ac:dyDescent="0.25">
      <c r="A11564">
        <v>20140814</v>
      </c>
      <c r="B11564" t="str">
        <f>"116816"</f>
        <v>116816</v>
      </c>
      <c r="C11564" t="str">
        <f>"86501"</f>
        <v>86501</v>
      </c>
      <c r="D11564" t="s">
        <v>4903</v>
      </c>
      <c r="E11564">
        <v>55.35</v>
      </c>
      <c r="F11564">
        <v>20140811</v>
      </c>
      <c r="G11564" t="s">
        <v>1227</v>
      </c>
      <c r="H11564" t="s">
        <v>365</v>
      </c>
      <c r="I11564" t="s">
        <v>21</v>
      </c>
    </row>
    <row r="11565" spans="1:9" x14ac:dyDescent="0.25">
      <c r="A11565">
        <v>20140814</v>
      </c>
      <c r="B11565" t="str">
        <f>"116817"</f>
        <v>116817</v>
      </c>
      <c r="C11565" t="str">
        <f>"87695"</f>
        <v>87695</v>
      </c>
      <c r="D11565" t="s">
        <v>4113</v>
      </c>
      <c r="E11565">
        <v>650</v>
      </c>
      <c r="F11565">
        <v>20140807</v>
      </c>
      <c r="G11565" t="s">
        <v>413</v>
      </c>
      <c r="H11565" t="s">
        <v>4904</v>
      </c>
      <c r="I11565" t="s">
        <v>21</v>
      </c>
    </row>
    <row r="11566" spans="1:9" x14ac:dyDescent="0.25">
      <c r="A11566">
        <v>20140814</v>
      </c>
      <c r="B11566" t="str">
        <f>"116818"</f>
        <v>116818</v>
      </c>
      <c r="C11566" t="str">
        <f>"84001"</f>
        <v>84001</v>
      </c>
      <c r="D11566" t="s">
        <v>791</v>
      </c>
      <c r="E11566">
        <v>32.909999999999997</v>
      </c>
      <c r="F11566">
        <v>20140811</v>
      </c>
      <c r="G11566" t="s">
        <v>1153</v>
      </c>
      <c r="H11566" t="s">
        <v>354</v>
      </c>
      <c r="I11566" t="s">
        <v>61</v>
      </c>
    </row>
    <row r="11567" spans="1:9" x14ac:dyDescent="0.25">
      <c r="A11567">
        <v>20140814</v>
      </c>
      <c r="B11567" t="str">
        <f>"116819"</f>
        <v>116819</v>
      </c>
      <c r="C11567" t="str">
        <f>"87930"</f>
        <v>87930</v>
      </c>
      <c r="D11567" t="s">
        <v>4905</v>
      </c>
      <c r="E11567">
        <v>56.04</v>
      </c>
      <c r="F11567">
        <v>20140811</v>
      </c>
      <c r="G11567" t="s">
        <v>438</v>
      </c>
      <c r="H11567" t="s">
        <v>365</v>
      </c>
      <c r="I11567" t="s">
        <v>66</v>
      </c>
    </row>
    <row r="11568" spans="1:9" x14ac:dyDescent="0.25">
      <c r="A11568">
        <v>20140814</v>
      </c>
      <c r="B11568" t="str">
        <f>"116819"</f>
        <v>116819</v>
      </c>
      <c r="C11568" t="str">
        <f>"87930"</f>
        <v>87930</v>
      </c>
      <c r="D11568" t="s">
        <v>4905</v>
      </c>
      <c r="E11568">
        <v>56.04</v>
      </c>
      <c r="F11568">
        <v>20140811</v>
      </c>
      <c r="G11568" t="s">
        <v>438</v>
      </c>
      <c r="H11568" t="s">
        <v>365</v>
      </c>
      <c r="I11568" t="s">
        <v>66</v>
      </c>
    </row>
    <row r="11569" spans="1:9" x14ac:dyDescent="0.25">
      <c r="A11569">
        <v>20140814</v>
      </c>
      <c r="B11569" t="str">
        <f>"116820"</f>
        <v>116820</v>
      </c>
      <c r="C11569" t="str">
        <f>"86472"</f>
        <v>86472</v>
      </c>
      <c r="D11569" t="s">
        <v>3904</v>
      </c>
      <c r="E11569">
        <v>198.11</v>
      </c>
      <c r="F11569">
        <v>20140807</v>
      </c>
      <c r="G11569" t="s">
        <v>498</v>
      </c>
      <c r="H11569" t="s">
        <v>499</v>
      </c>
      <c r="I11569" t="s">
        <v>21</v>
      </c>
    </row>
    <row r="11570" spans="1:9" x14ac:dyDescent="0.25">
      <c r="A11570">
        <v>20140814</v>
      </c>
      <c r="B11570" t="str">
        <f>"116820"</f>
        <v>116820</v>
      </c>
      <c r="C11570" t="str">
        <f>"86472"</f>
        <v>86472</v>
      </c>
      <c r="D11570" t="s">
        <v>3904</v>
      </c>
      <c r="E11570">
        <v>116</v>
      </c>
      <c r="F11570">
        <v>20140807</v>
      </c>
      <c r="G11570" t="s">
        <v>498</v>
      </c>
      <c r="H11570" t="s">
        <v>499</v>
      </c>
      <c r="I11570" t="s">
        <v>21</v>
      </c>
    </row>
    <row r="11571" spans="1:9" x14ac:dyDescent="0.25">
      <c r="A11571">
        <v>20140814</v>
      </c>
      <c r="B11571" t="str">
        <f>"116821"</f>
        <v>116821</v>
      </c>
      <c r="C11571" t="str">
        <f>"16988"</f>
        <v>16988</v>
      </c>
      <c r="D11571" t="s">
        <v>510</v>
      </c>
      <c r="E11571">
        <v>927.82</v>
      </c>
      <c r="F11571">
        <v>20140807</v>
      </c>
      <c r="G11571" t="s">
        <v>511</v>
      </c>
      <c r="H11571" t="s">
        <v>4191</v>
      </c>
      <c r="I11571" t="s">
        <v>21</v>
      </c>
    </row>
    <row r="11572" spans="1:9" x14ac:dyDescent="0.25">
      <c r="A11572">
        <v>20140814</v>
      </c>
      <c r="B11572" t="str">
        <f>"116821"</f>
        <v>116821</v>
      </c>
      <c r="C11572" t="str">
        <f>"16988"</f>
        <v>16988</v>
      </c>
      <c r="D11572" t="s">
        <v>510</v>
      </c>
      <c r="E11572">
        <v>725</v>
      </c>
      <c r="F11572">
        <v>20140807</v>
      </c>
      <c r="G11572" t="s">
        <v>511</v>
      </c>
      <c r="H11572" t="s">
        <v>2129</v>
      </c>
      <c r="I11572" t="s">
        <v>21</v>
      </c>
    </row>
    <row r="11573" spans="1:9" x14ac:dyDescent="0.25">
      <c r="A11573">
        <v>20140814</v>
      </c>
      <c r="B11573" t="str">
        <f>"116821"</f>
        <v>116821</v>
      </c>
      <c r="C11573" t="str">
        <f>"16988"</f>
        <v>16988</v>
      </c>
      <c r="D11573" t="s">
        <v>510</v>
      </c>
      <c r="E11573">
        <v>170.78</v>
      </c>
      <c r="F11573">
        <v>20140807</v>
      </c>
      <c r="G11573" t="s">
        <v>392</v>
      </c>
      <c r="H11573" t="s">
        <v>414</v>
      </c>
      <c r="I11573" t="s">
        <v>21</v>
      </c>
    </row>
    <row r="11574" spans="1:9" x14ac:dyDescent="0.25">
      <c r="A11574">
        <v>20140814</v>
      </c>
      <c r="B11574" t="str">
        <f t="shared" ref="B11574:B11580" si="660">"116822"</f>
        <v>116822</v>
      </c>
      <c r="C11574" t="str">
        <f t="shared" ref="C11574:C11580" si="661">"16998"</f>
        <v>16998</v>
      </c>
      <c r="D11574" t="s">
        <v>1372</v>
      </c>
      <c r="E11574" s="1">
        <v>1350</v>
      </c>
      <c r="F11574">
        <v>20140807</v>
      </c>
      <c r="G11574" t="s">
        <v>511</v>
      </c>
      <c r="H11574" t="s">
        <v>1375</v>
      </c>
      <c r="I11574" t="s">
        <v>21</v>
      </c>
    </row>
    <row r="11575" spans="1:9" x14ac:dyDescent="0.25">
      <c r="A11575">
        <v>20140814</v>
      </c>
      <c r="B11575" t="str">
        <f t="shared" si="660"/>
        <v>116822</v>
      </c>
      <c r="C11575" t="str">
        <f t="shared" si="661"/>
        <v>16998</v>
      </c>
      <c r="D11575" t="s">
        <v>1372</v>
      </c>
      <c r="E11575">
        <v>339.3</v>
      </c>
      <c r="F11575">
        <v>20140807</v>
      </c>
      <c r="G11575" t="s">
        <v>621</v>
      </c>
      <c r="H11575" t="s">
        <v>1375</v>
      </c>
      <c r="I11575" t="s">
        <v>21</v>
      </c>
    </row>
    <row r="11576" spans="1:9" x14ac:dyDescent="0.25">
      <c r="A11576">
        <v>20140814</v>
      </c>
      <c r="B11576" t="str">
        <f t="shared" si="660"/>
        <v>116822</v>
      </c>
      <c r="C11576" t="str">
        <f t="shared" si="661"/>
        <v>16998</v>
      </c>
      <c r="D11576" t="s">
        <v>1372</v>
      </c>
      <c r="E11576">
        <v>75</v>
      </c>
      <c r="F11576">
        <v>20140807</v>
      </c>
      <c r="G11576" t="s">
        <v>621</v>
      </c>
      <c r="H11576" t="s">
        <v>1375</v>
      </c>
      <c r="I11576" t="s">
        <v>21</v>
      </c>
    </row>
    <row r="11577" spans="1:9" x14ac:dyDescent="0.25">
      <c r="A11577">
        <v>20140814</v>
      </c>
      <c r="B11577" t="str">
        <f t="shared" si="660"/>
        <v>116822</v>
      </c>
      <c r="C11577" t="str">
        <f t="shared" si="661"/>
        <v>16998</v>
      </c>
      <c r="D11577" t="s">
        <v>1372</v>
      </c>
      <c r="E11577">
        <v>529.4</v>
      </c>
      <c r="F11577">
        <v>20140807</v>
      </c>
      <c r="G11577" t="s">
        <v>4906</v>
      </c>
      <c r="H11577" t="s">
        <v>1375</v>
      </c>
      <c r="I11577" t="s">
        <v>21</v>
      </c>
    </row>
    <row r="11578" spans="1:9" x14ac:dyDescent="0.25">
      <c r="A11578">
        <v>20140814</v>
      </c>
      <c r="B11578" t="str">
        <f t="shared" si="660"/>
        <v>116822</v>
      </c>
      <c r="C11578" t="str">
        <f t="shared" si="661"/>
        <v>16998</v>
      </c>
      <c r="D11578" t="s">
        <v>1372</v>
      </c>
      <c r="E11578" s="1">
        <v>1694.6</v>
      </c>
      <c r="F11578">
        <v>20140807</v>
      </c>
      <c r="G11578" t="s">
        <v>1380</v>
      </c>
      <c r="H11578" t="s">
        <v>1375</v>
      </c>
      <c r="I11578" t="s">
        <v>21</v>
      </c>
    </row>
    <row r="11579" spans="1:9" x14ac:dyDescent="0.25">
      <c r="A11579">
        <v>20140814</v>
      </c>
      <c r="B11579" t="str">
        <f t="shared" si="660"/>
        <v>116822</v>
      </c>
      <c r="C11579" t="str">
        <f t="shared" si="661"/>
        <v>16998</v>
      </c>
      <c r="D11579" t="s">
        <v>1372</v>
      </c>
      <c r="E11579">
        <v>449.25</v>
      </c>
      <c r="F11579">
        <v>20140807</v>
      </c>
      <c r="G11579" t="s">
        <v>1380</v>
      </c>
      <c r="H11579" t="s">
        <v>1375</v>
      </c>
      <c r="I11579" t="s">
        <v>21</v>
      </c>
    </row>
    <row r="11580" spans="1:9" x14ac:dyDescent="0.25">
      <c r="A11580">
        <v>20140814</v>
      </c>
      <c r="B11580" t="str">
        <f t="shared" si="660"/>
        <v>116822</v>
      </c>
      <c r="C11580" t="str">
        <f t="shared" si="661"/>
        <v>16998</v>
      </c>
      <c r="D11580" t="s">
        <v>1372</v>
      </c>
      <c r="E11580">
        <v>734.65</v>
      </c>
      <c r="F11580">
        <v>20140807</v>
      </c>
      <c r="G11580" t="s">
        <v>1380</v>
      </c>
      <c r="H11580" t="s">
        <v>1375</v>
      </c>
      <c r="I11580" t="s">
        <v>21</v>
      </c>
    </row>
    <row r="11581" spans="1:9" x14ac:dyDescent="0.25">
      <c r="A11581">
        <v>20140814</v>
      </c>
      <c r="B11581" t="str">
        <f>"116823"</f>
        <v>116823</v>
      </c>
      <c r="C11581" t="str">
        <f>"87839"</f>
        <v>87839</v>
      </c>
      <c r="D11581" t="s">
        <v>4199</v>
      </c>
      <c r="E11581">
        <v>500</v>
      </c>
      <c r="F11581">
        <v>20140807</v>
      </c>
      <c r="G11581" t="s">
        <v>746</v>
      </c>
      <c r="H11581" t="s">
        <v>555</v>
      </c>
      <c r="I11581" t="s">
        <v>21</v>
      </c>
    </row>
    <row r="11582" spans="1:9" x14ac:dyDescent="0.25">
      <c r="A11582">
        <v>20140814</v>
      </c>
      <c r="B11582" t="str">
        <f>"116823"</f>
        <v>116823</v>
      </c>
      <c r="C11582" t="str">
        <f>"87839"</f>
        <v>87839</v>
      </c>
      <c r="D11582" t="s">
        <v>4199</v>
      </c>
      <c r="E11582">
        <v>500</v>
      </c>
      <c r="F11582">
        <v>20140807</v>
      </c>
      <c r="G11582" t="s">
        <v>746</v>
      </c>
      <c r="H11582" t="s">
        <v>555</v>
      </c>
      <c r="I11582" t="s">
        <v>21</v>
      </c>
    </row>
    <row r="11583" spans="1:9" x14ac:dyDescent="0.25">
      <c r="A11583">
        <v>20140814</v>
      </c>
      <c r="B11583" t="str">
        <f>"116824"</f>
        <v>116824</v>
      </c>
      <c r="C11583" t="str">
        <f>"18025"</f>
        <v>18025</v>
      </c>
      <c r="D11583" t="s">
        <v>514</v>
      </c>
      <c r="E11583">
        <v>119.8</v>
      </c>
      <c r="F11583">
        <v>20140813</v>
      </c>
      <c r="G11583" t="s">
        <v>36</v>
      </c>
      <c r="H11583" t="s">
        <v>1031</v>
      </c>
      <c r="I11583" t="s">
        <v>38</v>
      </c>
    </row>
    <row r="11584" spans="1:9" x14ac:dyDescent="0.25">
      <c r="A11584">
        <v>20140814</v>
      </c>
      <c r="B11584" t="str">
        <f>"116825"</f>
        <v>116825</v>
      </c>
      <c r="C11584" t="str">
        <f>"87549"</f>
        <v>87549</v>
      </c>
      <c r="D11584" t="s">
        <v>1382</v>
      </c>
      <c r="E11584">
        <v>149.97</v>
      </c>
      <c r="F11584">
        <v>20140811</v>
      </c>
      <c r="G11584" t="s">
        <v>99</v>
      </c>
      <c r="H11584" t="s">
        <v>1383</v>
      </c>
      <c r="I11584" t="s">
        <v>21</v>
      </c>
    </row>
    <row r="11585" spans="1:9" x14ac:dyDescent="0.25">
      <c r="A11585">
        <v>20140814</v>
      </c>
      <c r="B11585" t="str">
        <f>"116826"</f>
        <v>116826</v>
      </c>
      <c r="C11585" t="str">
        <f>"87566"</f>
        <v>87566</v>
      </c>
      <c r="D11585" t="s">
        <v>2139</v>
      </c>
      <c r="E11585">
        <v>535.16</v>
      </c>
      <c r="F11585">
        <v>20140811</v>
      </c>
      <c r="G11585" t="s">
        <v>392</v>
      </c>
      <c r="H11585" t="s">
        <v>414</v>
      </c>
      <c r="I11585" t="s">
        <v>21</v>
      </c>
    </row>
    <row r="11586" spans="1:9" x14ac:dyDescent="0.25">
      <c r="A11586">
        <v>20140814</v>
      </c>
      <c r="B11586" t="str">
        <f>"116826"</f>
        <v>116826</v>
      </c>
      <c r="C11586" t="str">
        <f>"87566"</f>
        <v>87566</v>
      </c>
      <c r="D11586" t="s">
        <v>2139</v>
      </c>
      <c r="E11586">
        <v>126.36</v>
      </c>
      <c r="F11586">
        <v>20140807</v>
      </c>
      <c r="G11586" t="s">
        <v>1245</v>
      </c>
      <c r="H11586" t="s">
        <v>414</v>
      </c>
      <c r="I11586" t="s">
        <v>21</v>
      </c>
    </row>
    <row r="11587" spans="1:9" x14ac:dyDescent="0.25">
      <c r="A11587">
        <v>20140814</v>
      </c>
      <c r="B11587" t="str">
        <f>"116827"</f>
        <v>116827</v>
      </c>
      <c r="C11587" t="str">
        <f>"19800"</f>
        <v>19800</v>
      </c>
      <c r="D11587" t="s">
        <v>1034</v>
      </c>
      <c r="E11587">
        <v>67.75</v>
      </c>
      <c r="F11587">
        <v>20140811</v>
      </c>
      <c r="G11587" t="s">
        <v>39</v>
      </c>
      <c r="H11587" t="s">
        <v>4907</v>
      </c>
      <c r="I11587" t="s">
        <v>38</v>
      </c>
    </row>
    <row r="11588" spans="1:9" x14ac:dyDescent="0.25">
      <c r="A11588">
        <v>20140814</v>
      </c>
      <c r="B11588" t="str">
        <f>"116828"</f>
        <v>116828</v>
      </c>
      <c r="C11588" t="str">
        <f>"81900"</f>
        <v>81900</v>
      </c>
      <c r="D11588" t="s">
        <v>4700</v>
      </c>
      <c r="E11588">
        <v>215.82</v>
      </c>
      <c r="F11588">
        <v>20140811</v>
      </c>
      <c r="G11588" t="s">
        <v>808</v>
      </c>
      <c r="H11588" t="s">
        <v>4908</v>
      </c>
      <c r="I11588" t="s">
        <v>21</v>
      </c>
    </row>
    <row r="11589" spans="1:9" x14ac:dyDescent="0.25">
      <c r="A11589">
        <v>20140814</v>
      </c>
      <c r="B11589" t="str">
        <f>"116828"</f>
        <v>116828</v>
      </c>
      <c r="C11589" t="str">
        <f>"81900"</f>
        <v>81900</v>
      </c>
      <c r="D11589" t="s">
        <v>4700</v>
      </c>
      <c r="E11589">
        <v>402.21</v>
      </c>
      <c r="F11589">
        <v>20140813</v>
      </c>
      <c r="G11589" t="s">
        <v>810</v>
      </c>
      <c r="H11589" t="s">
        <v>4908</v>
      </c>
      <c r="I11589" t="s">
        <v>66</v>
      </c>
    </row>
    <row r="11590" spans="1:9" x14ac:dyDescent="0.25">
      <c r="A11590">
        <v>20140814</v>
      </c>
      <c r="B11590" t="str">
        <f>"116829"</f>
        <v>116829</v>
      </c>
      <c r="C11590" t="str">
        <f>"22220"</f>
        <v>22220</v>
      </c>
      <c r="D11590" t="s">
        <v>521</v>
      </c>
      <c r="E11590">
        <v>278.32</v>
      </c>
      <c r="F11590">
        <v>20140811</v>
      </c>
      <c r="G11590" t="s">
        <v>179</v>
      </c>
      <c r="H11590" t="s">
        <v>2836</v>
      </c>
      <c r="I11590" t="s">
        <v>21</v>
      </c>
    </row>
    <row r="11591" spans="1:9" x14ac:dyDescent="0.25">
      <c r="A11591">
        <v>20140814</v>
      </c>
      <c r="B11591" t="str">
        <f>"116829"</f>
        <v>116829</v>
      </c>
      <c r="C11591" t="str">
        <f>"22220"</f>
        <v>22220</v>
      </c>
      <c r="D11591" t="s">
        <v>521</v>
      </c>
      <c r="E11591">
        <v>318.08</v>
      </c>
      <c r="F11591">
        <v>20140811</v>
      </c>
      <c r="G11591" t="s">
        <v>2358</v>
      </c>
      <c r="H11591" t="s">
        <v>2836</v>
      </c>
      <c r="I11591" t="s">
        <v>21</v>
      </c>
    </row>
    <row r="11592" spans="1:9" x14ac:dyDescent="0.25">
      <c r="A11592">
        <v>20140814</v>
      </c>
      <c r="B11592" t="str">
        <f>"116830"</f>
        <v>116830</v>
      </c>
      <c r="C11592" t="str">
        <f>"86392"</f>
        <v>86392</v>
      </c>
      <c r="D11592" t="s">
        <v>3479</v>
      </c>
      <c r="E11592">
        <v>66.33</v>
      </c>
      <c r="F11592">
        <v>20140813</v>
      </c>
      <c r="G11592" t="s">
        <v>986</v>
      </c>
      <c r="H11592" t="s">
        <v>1677</v>
      </c>
      <c r="I11592" t="s">
        <v>21</v>
      </c>
    </row>
    <row r="11593" spans="1:9" x14ac:dyDescent="0.25">
      <c r="A11593">
        <v>20140814</v>
      </c>
      <c r="B11593" t="str">
        <f>"116831"</f>
        <v>116831</v>
      </c>
      <c r="C11593" t="str">
        <f>"23827"</f>
        <v>23827</v>
      </c>
      <c r="D11593" t="s">
        <v>528</v>
      </c>
      <c r="E11593">
        <v>398.2</v>
      </c>
      <c r="F11593">
        <v>20140813</v>
      </c>
      <c r="G11593" t="s">
        <v>36</v>
      </c>
      <c r="H11593" t="s">
        <v>513</v>
      </c>
      <c r="I11593" t="s">
        <v>38</v>
      </c>
    </row>
    <row r="11594" spans="1:9" x14ac:dyDescent="0.25">
      <c r="A11594">
        <v>20140814</v>
      </c>
      <c r="B11594" t="str">
        <f>"116832"</f>
        <v>116832</v>
      </c>
      <c r="C11594" t="str">
        <f>"87920"</f>
        <v>87920</v>
      </c>
      <c r="D11594" t="s">
        <v>4909</v>
      </c>
      <c r="E11594" s="1">
        <v>2200</v>
      </c>
      <c r="F11594">
        <v>20140811</v>
      </c>
      <c r="G11594" t="s">
        <v>4852</v>
      </c>
      <c r="H11594" t="s">
        <v>1054</v>
      </c>
      <c r="I11594" t="s">
        <v>75</v>
      </c>
    </row>
    <row r="11595" spans="1:9" x14ac:dyDescent="0.25">
      <c r="A11595">
        <v>20140814</v>
      </c>
      <c r="B11595" t="str">
        <f t="shared" ref="B11595:B11614" si="662">"116833"</f>
        <v>116833</v>
      </c>
      <c r="C11595" t="str">
        <f t="shared" ref="C11595:C11614" si="663">"26990"</f>
        <v>26990</v>
      </c>
      <c r="D11595" t="s">
        <v>548</v>
      </c>
      <c r="E11595">
        <v>140</v>
      </c>
      <c r="F11595">
        <v>20140811</v>
      </c>
      <c r="G11595" t="s">
        <v>1522</v>
      </c>
      <c r="H11595" t="s">
        <v>1410</v>
      </c>
      <c r="I11595" t="s">
        <v>21</v>
      </c>
    </row>
    <row r="11596" spans="1:9" x14ac:dyDescent="0.25">
      <c r="A11596">
        <v>20140814</v>
      </c>
      <c r="B11596" t="str">
        <f t="shared" si="662"/>
        <v>116833</v>
      </c>
      <c r="C11596" t="str">
        <f t="shared" si="663"/>
        <v>26990</v>
      </c>
      <c r="D11596" t="s">
        <v>548</v>
      </c>
      <c r="E11596">
        <v>70</v>
      </c>
      <c r="F11596">
        <v>20140812</v>
      </c>
      <c r="G11596" t="s">
        <v>1522</v>
      </c>
      <c r="H11596" t="s">
        <v>1228</v>
      </c>
      <c r="I11596" t="s">
        <v>21</v>
      </c>
    </row>
    <row r="11597" spans="1:9" x14ac:dyDescent="0.25">
      <c r="A11597">
        <v>20140814</v>
      </c>
      <c r="B11597" t="str">
        <f t="shared" si="662"/>
        <v>116833</v>
      </c>
      <c r="C11597" t="str">
        <f t="shared" si="663"/>
        <v>26990</v>
      </c>
      <c r="D11597" t="s">
        <v>548</v>
      </c>
      <c r="E11597">
        <v>280</v>
      </c>
      <c r="F11597">
        <v>20140811</v>
      </c>
      <c r="G11597" t="s">
        <v>1033</v>
      </c>
      <c r="H11597" t="s">
        <v>1410</v>
      </c>
      <c r="I11597" t="s">
        <v>21</v>
      </c>
    </row>
    <row r="11598" spans="1:9" x14ac:dyDescent="0.25">
      <c r="A11598">
        <v>20140814</v>
      </c>
      <c r="B11598" t="str">
        <f t="shared" si="662"/>
        <v>116833</v>
      </c>
      <c r="C11598" t="str">
        <f t="shared" si="663"/>
        <v>26990</v>
      </c>
      <c r="D11598" t="s">
        <v>548</v>
      </c>
      <c r="E11598">
        <v>40</v>
      </c>
      <c r="F11598">
        <v>20140811</v>
      </c>
      <c r="G11598" t="s">
        <v>1738</v>
      </c>
      <c r="H11598" t="s">
        <v>1410</v>
      </c>
      <c r="I11598" t="s">
        <v>21</v>
      </c>
    </row>
    <row r="11599" spans="1:9" x14ac:dyDescent="0.25">
      <c r="A11599">
        <v>20140814</v>
      </c>
      <c r="B11599" t="str">
        <f t="shared" si="662"/>
        <v>116833</v>
      </c>
      <c r="C11599" t="str">
        <f t="shared" si="663"/>
        <v>26990</v>
      </c>
      <c r="D11599" t="s">
        <v>548</v>
      </c>
      <c r="E11599">
        <v>300</v>
      </c>
      <c r="F11599">
        <v>20140811</v>
      </c>
      <c r="G11599" t="s">
        <v>426</v>
      </c>
      <c r="H11599" t="s">
        <v>4910</v>
      </c>
      <c r="I11599" t="s">
        <v>21</v>
      </c>
    </row>
    <row r="11600" spans="1:9" x14ac:dyDescent="0.25">
      <c r="A11600">
        <v>20140814</v>
      </c>
      <c r="B11600" t="str">
        <f t="shared" si="662"/>
        <v>116833</v>
      </c>
      <c r="C11600" t="str">
        <f t="shared" si="663"/>
        <v>26990</v>
      </c>
      <c r="D11600" t="s">
        <v>548</v>
      </c>
      <c r="E11600">
        <v>300</v>
      </c>
      <c r="F11600">
        <v>20140811</v>
      </c>
      <c r="G11600" t="s">
        <v>426</v>
      </c>
      <c r="H11600" t="s">
        <v>1228</v>
      </c>
      <c r="I11600" t="s">
        <v>21</v>
      </c>
    </row>
    <row r="11601" spans="1:9" x14ac:dyDescent="0.25">
      <c r="A11601">
        <v>20140814</v>
      </c>
      <c r="B11601" t="str">
        <f t="shared" si="662"/>
        <v>116833</v>
      </c>
      <c r="C11601" t="str">
        <f t="shared" si="663"/>
        <v>26990</v>
      </c>
      <c r="D11601" t="s">
        <v>548</v>
      </c>
      <c r="E11601">
        <v>150</v>
      </c>
      <c r="F11601">
        <v>20140811</v>
      </c>
      <c r="G11601" t="s">
        <v>426</v>
      </c>
      <c r="H11601" t="s">
        <v>1054</v>
      </c>
      <c r="I11601" t="s">
        <v>21</v>
      </c>
    </row>
    <row r="11602" spans="1:9" x14ac:dyDescent="0.25">
      <c r="A11602">
        <v>20140814</v>
      </c>
      <c r="B11602" t="str">
        <f t="shared" si="662"/>
        <v>116833</v>
      </c>
      <c r="C11602" t="str">
        <f t="shared" si="663"/>
        <v>26990</v>
      </c>
      <c r="D11602" t="s">
        <v>548</v>
      </c>
      <c r="E11602">
        <v>300</v>
      </c>
      <c r="F11602">
        <v>20140812</v>
      </c>
      <c r="G11602" t="s">
        <v>426</v>
      </c>
      <c r="H11602" t="s">
        <v>954</v>
      </c>
      <c r="I11602" t="s">
        <v>21</v>
      </c>
    </row>
    <row r="11603" spans="1:9" x14ac:dyDescent="0.25">
      <c r="A11603">
        <v>20140814</v>
      </c>
      <c r="B11603" t="str">
        <f t="shared" si="662"/>
        <v>116833</v>
      </c>
      <c r="C11603" t="str">
        <f t="shared" si="663"/>
        <v>26990</v>
      </c>
      <c r="D11603" t="s">
        <v>548</v>
      </c>
      <c r="E11603">
        <v>150</v>
      </c>
      <c r="F11603">
        <v>20140812</v>
      </c>
      <c r="G11603" t="s">
        <v>426</v>
      </c>
      <c r="H11603" t="s">
        <v>1054</v>
      </c>
      <c r="I11603" t="s">
        <v>21</v>
      </c>
    </row>
    <row r="11604" spans="1:9" x14ac:dyDescent="0.25">
      <c r="A11604">
        <v>20140814</v>
      </c>
      <c r="B11604" t="str">
        <f t="shared" si="662"/>
        <v>116833</v>
      </c>
      <c r="C11604" t="str">
        <f t="shared" si="663"/>
        <v>26990</v>
      </c>
      <c r="D11604" t="s">
        <v>548</v>
      </c>
      <c r="E11604">
        <v>200</v>
      </c>
      <c r="F11604">
        <v>20140813</v>
      </c>
      <c r="G11604" t="s">
        <v>1112</v>
      </c>
      <c r="H11604" t="s">
        <v>1410</v>
      </c>
      <c r="I11604" t="s">
        <v>66</v>
      </c>
    </row>
    <row r="11605" spans="1:9" x14ac:dyDescent="0.25">
      <c r="A11605">
        <v>20140814</v>
      </c>
      <c r="B11605" t="str">
        <f t="shared" si="662"/>
        <v>116833</v>
      </c>
      <c r="C11605" t="str">
        <f t="shared" si="663"/>
        <v>26990</v>
      </c>
      <c r="D11605" t="s">
        <v>548</v>
      </c>
      <c r="E11605">
        <v>35</v>
      </c>
      <c r="F11605">
        <v>20140812</v>
      </c>
      <c r="G11605" t="s">
        <v>438</v>
      </c>
      <c r="H11605" t="s">
        <v>1054</v>
      </c>
      <c r="I11605" t="s">
        <v>66</v>
      </c>
    </row>
    <row r="11606" spans="1:9" x14ac:dyDescent="0.25">
      <c r="A11606">
        <v>20140814</v>
      </c>
      <c r="B11606" t="str">
        <f t="shared" si="662"/>
        <v>116833</v>
      </c>
      <c r="C11606" t="str">
        <f t="shared" si="663"/>
        <v>26990</v>
      </c>
      <c r="D11606" t="s">
        <v>548</v>
      </c>
      <c r="E11606">
        <v>70</v>
      </c>
      <c r="F11606">
        <v>20140812</v>
      </c>
      <c r="G11606" t="s">
        <v>442</v>
      </c>
      <c r="H11606" t="s">
        <v>1054</v>
      </c>
      <c r="I11606" t="s">
        <v>66</v>
      </c>
    </row>
    <row r="11607" spans="1:9" x14ac:dyDescent="0.25">
      <c r="A11607">
        <v>20140814</v>
      </c>
      <c r="B11607" t="str">
        <f t="shared" si="662"/>
        <v>116833</v>
      </c>
      <c r="C11607" t="str">
        <f t="shared" si="663"/>
        <v>26990</v>
      </c>
      <c r="D11607" t="s">
        <v>548</v>
      </c>
      <c r="E11607">
        <v>70</v>
      </c>
      <c r="F11607">
        <v>20140812</v>
      </c>
      <c r="G11607" t="s">
        <v>1300</v>
      </c>
      <c r="H11607" t="s">
        <v>1054</v>
      </c>
      <c r="I11607" t="s">
        <v>66</v>
      </c>
    </row>
    <row r="11608" spans="1:9" x14ac:dyDescent="0.25">
      <c r="A11608">
        <v>20140814</v>
      </c>
      <c r="B11608" t="str">
        <f t="shared" si="662"/>
        <v>116833</v>
      </c>
      <c r="C11608" t="str">
        <f t="shared" si="663"/>
        <v>26990</v>
      </c>
      <c r="D11608" t="s">
        <v>548</v>
      </c>
      <c r="E11608">
        <v>70</v>
      </c>
      <c r="F11608">
        <v>20140812</v>
      </c>
      <c r="G11608" t="s">
        <v>1300</v>
      </c>
      <c r="H11608" t="s">
        <v>1054</v>
      </c>
      <c r="I11608" t="s">
        <v>66</v>
      </c>
    </row>
    <row r="11609" spans="1:9" x14ac:dyDescent="0.25">
      <c r="A11609">
        <v>20140814</v>
      </c>
      <c r="B11609" t="str">
        <f t="shared" si="662"/>
        <v>116833</v>
      </c>
      <c r="C11609" t="str">
        <f t="shared" si="663"/>
        <v>26990</v>
      </c>
      <c r="D11609" t="s">
        <v>548</v>
      </c>
      <c r="E11609">
        <v>70</v>
      </c>
      <c r="F11609">
        <v>20140812</v>
      </c>
      <c r="G11609" t="s">
        <v>904</v>
      </c>
      <c r="H11609" t="s">
        <v>1054</v>
      </c>
      <c r="I11609" t="s">
        <v>75</v>
      </c>
    </row>
    <row r="11610" spans="1:9" x14ac:dyDescent="0.25">
      <c r="A11610">
        <v>20140814</v>
      </c>
      <c r="B11610" t="str">
        <f t="shared" si="662"/>
        <v>116833</v>
      </c>
      <c r="C11610" t="str">
        <f t="shared" si="663"/>
        <v>26990</v>
      </c>
      <c r="D11610" t="s">
        <v>548</v>
      </c>
      <c r="E11610">
        <v>70</v>
      </c>
      <c r="F11610">
        <v>20140812</v>
      </c>
      <c r="G11610" t="s">
        <v>904</v>
      </c>
      <c r="H11610" t="s">
        <v>1054</v>
      </c>
      <c r="I11610" t="s">
        <v>75</v>
      </c>
    </row>
    <row r="11611" spans="1:9" x14ac:dyDescent="0.25">
      <c r="A11611">
        <v>20140814</v>
      </c>
      <c r="B11611" t="str">
        <f t="shared" si="662"/>
        <v>116833</v>
      </c>
      <c r="C11611" t="str">
        <f t="shared" si="663"/>
        <v>26990</v>
      </c>
      <c r="D11611" t="s">
        <v>548</v>
      </c>
      <c r="E11611">
        <v>70</v>
      </c>
      <c r="F11611">
        <v>20140812</v>
      </c>
      <c r="G11611" t="s">
        <v>2210</v>
      </c>
      <c r="H11611" t="s">
        <v>1054</v>
      </c>
      <c r="I11611" t="s">
        <v>75</v>
      </c>
    </row>
    <row r="11612" spans="1:9" x14ac:dyDescent="0.25">
      <c r="A11612">
        <v>20140814</v>
      </c>
      <c r="B11612" t="str">
        <f t="shared" si="662"/>
        <v>116833</v>
      </c>
      <c r="C11612" t="str">
        <f t="shared" si="663"/>
        <v>26990</v>
      </c>
      <c r="D11612" t="s">
        <v>548</v>
      </c>
      <c r="E11612">
        <v>70</v>
      </c>
      <c r="F11612">
        <v>20140812</v>
      </c>
      <c r="G11612" t="s">
        <v>2210</v>
      </c>
      <c r="H11612" t="s">
        <v>954</v>
      </c>
      <c r="I11612" t="s">
        <v>75</v>
      </c>
    </row>
    <row r="11613" spans="1:9" x14ac:dyDescent="0.25">
      <c r="A11613">
        <v>20140814</v>
      </c>
      <c r="B11613" t="str">
        <f t="shared" si="662"/>
        <v>116833</v>
      </c>
      <c r="C11613" t="str">
        <f t="shared" si="663"/>
        <v>26990</v>
      </c>
      <c r="D11613" t="s">
        <v>548</v>
      </c>
      <c r="E11613">
        <v>140</v>
      </c>
      <c r="F11613">
        <v>20140812</v>
      </c>
      <c r="G11613" t="s">
        <v>2210</v>
      </c>
      <c r="H11613" t="s">
        <v>1054</v>
      </c>
      <c r="I11613" t="s">
        <v>75</v>
      </c>
    </row>
    <row r="11614" spans="1:9" x14ac:dyDescent="0.25">
      <c r="A11614">
        <v>20140814</v>
      </c>
      <c r="B11614" t="str">
        <f t="shared" si="662"/>
        <v>116833</v>
      </c>
      <c r="C11614" t="str">
        <f t="shared" si="663"/>
        <v>26990</v>
      </c>
      <c r="D11614" t="s">
        <v>548</v>
      </c>
      <c r="E11614">
        <v>210</v>
      </c>
      <c r="F11614">
        <v>20140812</v>
      </c>
      <c r="G11614" t="s">
        <v>2210</v>
      </c>
      <c r="H11614" t="s">
        <v>1228</v>
      </c>
      <c r="I11614" t="s">
        <v>75</v>
      </c>
    </row>
    <row r="11615" spans="1:9" x14ac:dyDescent="0.25">
      <c r="A11615">
        <v>20140814</v>
      </c>
      <c r="B11615" t="str">
        <f t="shared" ref="B11615:B11621" si="664">"116834"</f>
        <v>116834</v>
      </c>
      <c r="C11615" t="str">
        <f t="shared" ref="C11615:C11621" si="665">"27981"</f>
        <v>27981</v>
      </c>
      <c r="D11615" t="s">
        <v>551</v>
      </c>
      <c r="E11615">
        <v>100.65</v>
      </c>
      <c r="F11615">
        <v>20140811</v>
      </c>
      <c r="G11615" t="s">
        <v>498</v>
      </c>
      <c r="H11615" t="s">
        <v>414</v>
      </c>
      <c r="I11615" t="s">
        <v>21</v>
      </c>
    </row>
    <row r="11616" spans="1:9" x14ac:dyDescent="0.25">
      <c r="A11616">
        <v>20140814</v>
      </c>
      <c r="B11616" t="str">
        <f t="shared" si="664"/>
        <v>116834</v>
      </c>
      <c r="C11616" t="str">
        <f t="shared" si="665"/>
        <v>27981</v>
      </c>
      <c r="D11616" t="s">
        <v>551</v>
      </c>
      <c r="E11616">
        <v>67.08</v>
      </c>
      <c r="F11616">
        <v>20140807</v>
      </c>
      <c r="G11616" t="s">
        <v>415</v>
      </c>
      <c r="H11616" t="s">
        <v>414</v>
      </c>
      <c r="I11616" t="s">
        <v>21</v>
      </c>
    </row>
    <row r="11617" spans="1:9" x14ac:dyDescent="0.25">
      <c r="A11617">
        <v>20140814</v>
      </c>
      <c r="B11617" t="str">
        <f t="shared" si="664"/>
        <v>116834</v>
      </c>
      <c r="C11617" t="str">
        <f t="shared" si="665"/>
        <v>27981</v>
      </c>
      <c r="D11617" t="s">
        <v>551</v>
      </c>
      <c r="E11617">
        <v>13.37</v>
      </c>
      <c r="F11617">
        <v>20140807</v>
      </c>
      <c r="G11617" t="s">
        <v>627</v>
      </c>
      <c r="H11617" t="s">
        <v>414</v>
      </c>
      <c r="I11617" t="s">
        <v>21</v>
      </c>
    </row>
    <row r="11618" spans="1:9" x14ac:dyDescent="0.25">
      <c r="A11618">
        <v>20140814</v>
      </c>
      <c r="B11618" t="str">
        <f t="shared" si="664"/>
        <v>116834</v>
      </c>
      <c r="C11618" t="str">
        <f t="shared" si="665"/>
        <v>27981</v>
      </c>
      <c r="D11618" t="s">
        <v>551</v>
      </c>
      <c r="E11618">
        <v>237.92</v>
      </c>
      <c r="F11618">
        <v>20140807</v>
      </c>
      <c r="G11618" t="s">
        <v>627</v>
      </c>
      <c r="H11618" t="s">
        <v>414</v>
      </c>
      <c r="I11618" t="s">
        <v>21</v>
      </c>
    </row>
    <row r="11619" spans="1:9" x14ac:dyDescent="0.25">
      <c r="A11619">
        <v>20140814</v>
      </c>
      <c r="B11619" t="str">
        <f t="shared" si="664"/>
        <v>116834</v>
      </c>
      <c r="C11619" t="str">
        <f t="shared" si="665"/>
        <v>27981</v>
      </c>
      <c r="D11619" t="s">
        <v>551</v>
      </c>
      <c r="E11619">
        <v>85.37</v>
      </c>
      <c r="F11619">
        <v>20140807</v>
      </c>
      <c r="G11619" t="s">
        <v>392</v>
      </c>
      <c r="H11619" t="s">
        <v>414</v>
      </c>
      <c r="I11619" t="s">
        <v>21</v>
      </c>
    </row>
    <row r="11620" spans="1:9" x14ac:dyDescent="0.25">
      <c r="A11620">
        <v>20140814</v>
      </c>
      <c r="B11620" t="str">
        <f t="shared" si="664"/>
        <v>116834</v>
      </c>
      <c r="C11620" t="str">
        <f t="shared" si="665"/>
        <v>27981</v>
      </c>
      <c r="D11620" t="s">
        <v>551</v>
      </c>
      <c r="E11620">
        <v>17.86</v>
      </c>
      <c r="F11620">
        <v>20140807</v>
      </c>
      <c r="G11620" t="s">
        <v>392</v>
      </c>
      <c r="H11620" t="s">
        <v>414</v>
      </c>
      <c r="I11620" t="s">
        <v>21</v>
      </c>
    </row>
    <row r="11621" spans="1:9" x14ac:dyDescent="0.25">
      <c r="A11621">
        <v>20140814</v>
      </c>
      <c r="B11621" t="str">
        <f t="shared" si="664"/>
        <v>116834</v>
      </c>
      <c r="C11621" t="str">
        <f t="shared" si="665"/>
        <v>27981</v>
      </c>
      <c r="D11621" t="s">
        <v>551</v>
      </c>
      <c r="E11621">
        <v>100.28</v>
      </c>
      <c r="F11621">
        <v>20140807</v>
      </c>
      <c r="G11621" t="s">
        <v>531</v>
      </c>
      <c r="H11621" t="s">
        <v>414</v>
      </c>
      <c r="I11621" t="s">
        <v>21</v>
      </c>
    </row>
    <row r="11622" spans="1:9" x14ac:dyDescent="0.25">
      <c r="A11622">
        <v>20140814</v>
      </c>
      <c r="B11622" t="str">
        <f>"116835"</f>
        <v>116835</v>
      </c>
      <c r="C11622" t="str">
        <f>"81292"</f>
        <v>81292</v>
      </c>
      <c r="D11622" t="s">
        <v>1417</v>
      </c>
      <c r="E11622">
        <v>20.76</v>
      </c>
      <c r="F11622">
        <v>20140807</v>
      </c>
      <c r="G11622" t="s">
        <v>496</v>
      </c>
      <c r="H11622" t="s">
        <v>414</v>
      </c>
      <c r="I11622" t="s">
        <v>21</v>
      </c>
    </row>
    <row r="11623" spans="1:9" x14ac:dyDescent="0.25">
      <c r="A11623">
        <v>20140814</v>
      </c>
      <c r="B11623" t="str">
        <f>"116835"</f>
        <v>116835</v>
      </c>
      <c r="C11623" t="str">
        <f>"81292"</f>
        <v>81292</v>
      </c>
      <c r="D11623" t="s">
        <v>1417</v>
      </c>
      <c r="E11623">
        <v>5.23</v>
      </c>
      <c r="F11623">
        <v>20140807</v>
      </c>
      <c r="G11623" t="s">
        <v>496</v>
      </c>
      <c r="H11623" t="s">
        <v>414</v>
      </c>
      <c r="I11623" t="s">
        <v>21</v>
      </c>
    </row>
    <row r="11624" spans="1:9" x14ac:dyDescent="0.25">
      <c r="A11624">
        <v>20140814</v>
      </c>
      <c r="B11624" t="str">
        <f>"116835"</f>
        <v>116835</v>
      </c>
      <c r="C11624" t="str">
        <f>"81292"</f>
        <v>81292</v>
      </c>
      <c r="D11624" t="s">
        <v>1417</v>
      </c>
      <c r="E11624">
        <v>50.46</v>
      </c>
      <c r="F11624">
        <v>20140807</v>
      </c>
      <c r="G11624" t="s">
        <v>496</v>
      </c>
      <c r="H11624" t="s">
        <v>414</v>
      </c>
      <c r="I11624" t="s">
        <v>21</v>
      </c>
    </row>
    <row r="11625" spans="1:9" x14ac:dyDescent="0.25">
      <c r="A11625">
        <v>20140814</v>
      </c>
      <c r="B11625" t="str">
        <f>"116835"</f>
        <v>116835</v>
      </c>
      <c r="C11625" t="str">
        <f>"81292"</f>
        <v>81292</v>
      </c>
      <c r="D11625" t="s">
        <v>1417</v>
      </c>
      <c r="E11625">
        <v>147.1</v>
      </c>
      <c r="F11625">
        <v>20140811</v>
      </c>
      <c r="G11625" t="s">
        <v>392</v>
      </c>
      <c r="H11625" t="s">
        <v>414</v>
      </c>
      <c r="I11625" t="s">
        <v>21</v>
      </c>
    </row>
    <row r="11626" spans="1:9" x14ac:dyDescent="0.25">
      <c r="A11626">
        <v>20140814</v>
      </c>
      <c r="B11626" t="str">
        <f>"116836"</f>
        <v>116836</v>
      </c>
      <c r="C11626" t="str">
        <f>"30000"</f>
        <v>30000</v>
      </c>
      <c r="D11626" t="s">
        <v>556</v>
      </c>
      <c r="E11626">
        <v>9.98</v>
      </c>
      <c r="F11626">
        <v>20140811</v>
      </c>
      <c r="G11626" t="s">
        <v>137</v>
      </c>
      <c r="H11626" t="s">
        <v>2691</v>
      </c>
      <c r="I11626" t="s">
        <v>21</v>
      </c>
    </row>
    <row r="11627" spans="1:9" x14ac:dyDescent="0.25">
      <c r="A11627">
        <v>20140814</v>
      </c>
      <c r="B11627" t="str">
        <f>"116836"</f>
        <v>116836</v>
      </c>
      <c r="C11627" t="str">
        <f>"30000"</f>
        <v>30000</v>
      </c>
      <c r="D11627" t="s">
        <v>556</v>
      </c>
      <c r="E11627">
        <v>83.98</v>
      </c>
      <c r="F11627">
        <v>20140811</v>
      </c>
      <c r="G11627" t="s">
        <v>837</v>
      </c>
      <c r="H11627" t="s">
        <v>4911</v>
      </c>
      <c r="I11627" t="s">
        <v>21</v>
      </c>
    </row>
    <row r="11628" spans="1:9" x14ac:dyDescent="0.25">
      <c r="A11628">
        <v>20140814</v>
      </c>
      <c r="B11628" t="str">
        <f>"116836"</f>
        <v>116836</v>
      </c>
      <c r="C11628" t="str">
        <f>"30000"</f>
        <v>30000</v>
      </c>
      <c r="D11628" t="s">
        <v>556</v>
      </c>
      <c r="E11628" s="1">
        <v>2860.97</v>
      </c>
      <c r="F11628">
        <v>20140811</v>
      </c>
      <c r="G11628" t="s">
        <v>39</v>
      </c>
      <c r="H11628" t="s">
        <v>4912</v>
      </c>
      <c r="I11628" t="s">
        <v>38</v>
      </c>
    </row>
    <row r="11629" spans="1:9" x14ac:dyDescent="0.25">
      <c r="A11629">
        <v>20140814</v>
      </c>
      <c r="B11629" t="str">
        <f>"116837"</f>
        <v>116837</v>
      </c>
      <c r="C11629" t="str">
        <f>"30100"</f>
        <v>30100</v>
      </c>
      <c r="D11629" t="s">
        <v>4913</v>
      </c>
      <c r="E11629">
        <v>832.5</v>
      </c>
      <c r="F11629">
        <v>20140813</v>
      </c>
      <c r="G11629" t="s">
        <v>150</v>
      </c>
      <c r="H11629" t="s">
        <v>3219</v>
      </c>
      <c r="I11629" t="s">
        <v>25</v>
      </c>
    </row>
    <row r="11630" spans="1:9" x14ac:dyDescent="0.25">
      <c r="A11630">
        <v>20140814</v>
      </c>
      <c r="B11630" t="str">
        <f>"116838"</f>
        <v>116838</v>
      </c>
      <c r="C11630" t="str">
        <f>"87933"</f>
        <v>87933</v>
      </c>
      <c r="D11630" t="s">
        <v>4914</v>
      </c>
      <c r="E11630">
        <v>30</v>
      </c>
      <c r="F11630">
        <v>20140813</v>
      </c>
      <c r="G11630" t="s">
        <v>36</v>
      </c>
      <c r="H11630" t="s">
        <v>354</v>
      </c>
      <c r="I11630" t="s">
        <v>38</v>
      </c>
    </row>
    <row r="11631" spans="1:9" x14ac:dyDescent="0.25">
      <c r="A11631">
        <v>20140814</v>
      </c>
      <c r="B11631" t="str">
        <f>"116839"</f>
        <v>116839</v>
      </c>
      <c r="C11631" t="str">
        <f>"87456"</f>
        <v>87456</v>
      </c>
      <c r="D11631" t="s">
        <v>1434</v>
      </c>
      <c r="E11631" s="1">
        <v>1822</v>
      </c>
      <c r="F11631">
        <v>20140813</v>
      </c>
      <c r="G11631" t="s">
        <v>840</v>
      </c>
      <c r="H11631" t="s">
        <v>414</v>
      </c>
      <c r="I11631" t="s">
        <v>21</v>
      </c>
    </row>
    <row r="11632" spans="1:9" x14ac:dyDescent="0.25">
      <c r="A11632">
        <v>20140814</v>
      </c>
      <c r="B11632" t="str">
        <f>"116840"</f>
        <v>116840</v>
      </c>
      <c r="C11632" t="str">
        <f>"81072"</f>
        <v>81072</v>
      </c>
      <c r="D11632" t="s">
        <v>598</v>
      </c>
      <c r="E11632" s="1">
        <v>1425</v>
      </c>
      <c r="F11632">
        <v>20140807</v>
      </c>
      <c r="G11632" t="s">
        <v>746</v>
      </c>
      <c r="H11632" t="s">
        <v>555</v>
      </c>
      <c r="I11632" t="s">
        <v>21</v>
      </c>
    </row>
    <row r="11633" spans="1:9" x14ac:dyDescent="0.25">
      <c r="A11633">
        <v>20140814</v>
      </c>
      <c r="B11633" t="str">
        <f>"116841"</f>
        <v>116841</v>
      </c>
      <c r="C11633" t="str">
        <f>"87385"</f>
        <v>87385</v>
      </c>
      <c r="D11633" t="s">
        <v>1089</v>
      </c>
      <c r="E11633">
        <v>119.1</v>
      </c>
      <c r="F11633">
        <v>20140811</v>
      </c>
      <c r="G11633" t="s">
        <v>392</v>
      </c>
      <c r="H11633" t="s">
        <v>414</v>
      </c>
      <c r="I11633" t="s">
        <v>21</v>
      </c>
    </row>
    <row r="11634" spans="1:9" x14ac:dyDescent="0.25">
      <c r="A11634">
        <v>20140814</v>
      </c>
      <c r="B11634" t="str">
        <f>"116842"</f>
        <v>116842</v>
      </c>
      <c r="C11634" t="str">
        <f>"87902"</f>
        <v>87902</v>
      </c>
      <c r="D11634" t="s">
        <v>4710</v>
      </c>
      <c r="E11634">
        <v>55.35</v>
      </c>
      <c r="F11634">
        <v>20140811</v>
      </c>
      <c r="G11634" t="s">
        <v>1227</v>
      </c>
      <c r="H11634" t="s">
        <v>365</v>
      </c>
      <c r="I11634" t="s">
        <v>21</v>
      </c>
    </row>
    <row r="11635" spans="1:9" x14ac:dyDescent="0.25">
      <c r="A11635">
        <v>20140814</v>
      </c>
      <c r="B11635" t="str">
        <f>"116843"</f>
        <v>116843</v>
      </c>
      <c r="C11635" t="str">
        <f>"35337"</f>
        <v>35337</v>
      </c>
      <c r="D11635" t="s">
        <v>599</v>
      </c>
      <c r="E11635">
        <v>68.59</v>
      </c>
      <c r="F11635">
        <v>20140807</v>
      </c>
      <c r="G11635" t="s">
        <v>498</v>
      </c>
      <c r="H11635" t="s">
        <v>499</v>
      </c>
      <c r="I11635" t="s">
        <v>21</v>
      </c>
    </row>
    <row r="11636" spans="1:9" x14ac:dyDescent="0.25">
      <c r="A11636">
        <v>20140814</v>
      </c>
      <c r="B11636" t="str">
        <f>"116844"</f>
        <v>116844</v>
      </c>
      <c r="C11636" t="str">
        <f>"87843"</f>
        <v>87843</v>
      </c>
      <c r="D11636" t="s">
        <v>4243</v>
      </c>
      <c r="E11636">
        <v>33.119999999999997</v>
      </c>
      <c r="F11636">
        <v>20140811</v>
      </c>
      <c r="G11636" t="s">
        <v>4117</v>
      </c>
      <c r="H11636" t="s">
        <v>365</v>
      </c>
      <c r="I11636" t="s">
        <v>66</v>
      </c>
    </row>
    <row r="11637" spans="1:9" x14ac:dyDescent="0.25">
      <c r="A11637">
        <v>20140814</v>
      </c>
      <c r="B11637" t="str">
        <f>"116845"</f>
        <v>116845</v>
      </c>
      <c r="C11637" t="str">
        <f>"83064"</f>
        <v>83064</v>
      </c>
      <c r="D11637" t="s">
        <v>1760</v>
      </c>
      <c r="E11637">
        <v>115.61</v>
      </c>
      <c r="F11637">
        <v>20140811</v>
      </c>
      <c r="G11637" t="s">
        <v>1755</v>
      </c>
      <c r="H11637" t="s">
        <v>365</v>
      </c>
      <c r="I11637" t="s">
        <v>75</v>
      </c>
    </row>
    <row r="11638" spans="1:9" x14ac:dyDescent="0.25">
      <c r="A11638">
        <v>20140814</v>
      </c>
      <c r="B11638" t="str">
        <f>"116846"</f>
        <v>116846</v>
      </c>
      <c r="C11638" t="str">
        <f>"83516"</f>
        <v>83516</v>
      </c>
      <c r="D11638" t="s">
        <v>4915</v>
      </c>
      <c r="E11638">
        <v>832.5</v>
      </c>
      <c r="F11638">
        <v>20140811</v>
      </c>
      <c r="G11638" t="s">
        <v>574</v>
      </c>
      <c r="H11638" t="s">
        <v>4916</v>
      </c>
      <c r="I11638" t="s">
        <v>21</v>
      </c>
    </row>
    <row r="11639" spans="1:9" x14ac:dyDescent="0.25">
      <c r="A11639">
        <v>20140814</v>
      </c>
      <c r="B11639" t="str">
        <f>"116847"</f>
        <v>116847</v>
      </c>
      <c r="C11639" t="str">
        <f>"85862"</f>
        <v>85862</v>
      </c>
      <c r="D11639" t="s">
        <v>1993</v>
      </c>
      <c r="E11639">
        <v>85.55</v>
      </c>
      <c r="F11639">
        <v>20140807</v>
      </c>
      <c r="G11639" t="s">
        <v>797</v>
      </c>
      <c r="H11639" t="s">
        <v>365</v>
      </c>
      <c r="I11639" t="s">
        <v>66</v>
      </c>
    </row>
    <row r="11640" spans="1:9" x14ac:dyDescent="0.25">
      <c r="A11640">
        <v>20140814</v>
      </c>
      <c r="B11640" t="str">
        <f>"116848"</f>
        <v>116848</v>
      </c>
      <c r="C11640" t="str">
        <f>"87932"</f>
        <v>87932</v>
      </c>
      <c r="D11640" t="s">
        <v>4917</v>
      </c>
      <c r="E11640">
        <v>67.8</v>
      </c>
      <c r="F11640">
        <v>20140813</v>
      </c>
      <c r="G11640" t="s">
        <v>323</v>
      </c>
      <c r="H11640" t="s">
        <v>4918</v>
      </c>
      <c r="I11640" t="s">
        <v>21</v>
      </c>
    </row>
    <row r="11641" spans="1:9" x14ac:dyDescent="0.25">
      <c r="A11641">
        <v>20140814</v>
      </c>
      <c r="B11641" t="str">
        <f>"116849"</f>
        <v>116849</v>
      </c>
      <c r="C11641" t="str">
        <f>"40448"</f>
        <v>40448</v>
      </c>
      <c r="D11641" t="s">
        <v>613</v>
      </c>
      <c r="E11641">
        <v>100</v>
      </c>
      <c r="F11641">
        <v>20140807</v>
      </c>
      <c r="G11641" t="s">
        <v>340</v>
      </c>
      <c r="H11641" t="s">
        <v>614</v>
      </c>
      <c r="I11641" t="s">
        <v>21</v>
      </c>
    </row>
    <row r="11642" spans="1:9" x14ac:dyDescent="0.25">
      <c r="A11642">
        <v>20140814</v>
      </c>
      <c r="B11642" t="str">
        <f>"116849"</f>
        <v>116849</v>
      </c>
      <c r="C11642" t="str">
        <f>"40448"</f>
        <v>40448</v>
      </c>
      <c r="D11642" t="s">
        <v>613</v>
      </c>
      <c r="E11642">
        <v>59.95</v>
      </c>
      <c r="F11642">
        <v>20140807</v>
      </c>
      <c r="G11642" t="s">
        <v>340</v>
      </c>
      <c r="H11642" t="s">
        <v>614</v>
      </c>
      <c r="I11642" t="s">
        <v>21</v>
      </c>
    </row>
    <row r="11643" spans="1:9" x14ac:dyDescent="0.25">
      <c r="A11643">
        <v>20140814</v>
      </c>
      <c r="B11643" t="str">
        <f>"116849"</f>
        <v>116849</v>
      </c>
      <c r="C11643" t="str">
        <f>"40448"</f>
        <v>40448</v>
      </c>
      <c r="D11643" t="s">
        <v>613</v>
      </c>
      <c r="E11643">
        <v>150</v>
      </c>
      <c r="F11643">
        <v>20140807</v>
      </c>
      <c r="G11643" t="s">
        <v>340</v>
      </c>
      <c r="H11643" t="s">
        <v>1452</v>
      </c>
      <c r="I11643" t="s">
        <v>21</v>
      </c>
    </row>
    <row r="11644" spans="1:9" x14ac:dyDescent="0.25">
      <c r="A11644">
        <v>20140814</v>
      </c>
      <c r="B11644" t="str">
        <f>"116850"</f>
        <v>116850</v>
      </c>
      <c r="C11644" t="str">
        <f>"82937"</f>
        <v>82937</v>
      </c>
      <c r="D11644" t="s">
        <v>2382</v>
      </c>
      <c r="E11644">
        <v>274.05</v>
      </c>
      <c r="F11644">
        <v>20140811</v>
      </c>
      <c r="G11644" t="s">
        <v>1112</v>
      </c>
      <c r="H11644" t="s">
        <v>365</v>
      </c>
      <c r="I11644" t="s">
        <v>66</v>
      </c>
    </row>
    <row r="11645" spans="1:9" x14ac:dyDescent="0.25">
      <c r="A11645">
        <v>20140814</v>
      </c>
      <c r="B11645" t="str">
        <f>"116851"</f>
        <v>116851</v>
      </c>
      <c r="C11645" t="str">
        <f>"85122"</f>
        <v>85122</v>
      </c>
      <c r="D11645" t="s">
        <v>1103</v>
      </c>
      <c r="E11645">
        <v>108.18</v>
      </c>
      <c r="F11645">
        <v>20140811</v>
      </c>
      <c r="G11645" t="s">
        <v>364</v>
      </c>
      <c r="H11645" t="s">
        <v>365</v>
      </c>
      <c r="I11645" t="s">
        <v>21</v>
      </c>
    </row>
    <row r="11646" spans="1:9" x14ac:dyDescent="0.25">
      <c r="A11646">
        <v>20140814</v>
      </c>
      <c r="B11646" t="str">
        <f>"116852"</f>
        <v>116852</v>
      </c>
      <c r="C11646" t="str">
        <f>"40910"</f>
        <v>40910</v>
      </c>
      <c r="D11646" t="s">
        <v>1886</v>
      </c>
      <c r="E11646" s="1">
        <v>32202</v>
      </c>
      <c r="F11646">
        <v>20140812</v>
      </c>
      <c r="G11646" t="s">
        <v>3555</v>
      </c>
      <c r="H11646" t="s">
        <v>839</v>
      </c>
      <c r="I11646" t="s">
        <v>12</v>
      </c>
    </row>
    <row r="11647" spans="1:9" x14ac:dyDescent="0.25">
      <c r="A11647">
        <v>20140814</v>
      </c>
      <c r="B11647" t="str">
        <f>"116853"</f>
        <v>116853</v>
      </c>
      <c r="C11647" t="str">
        <f>"87821"</f>
        <v>87821</v>
      </c>
      <c r="D11647" t="s">
        <v>4084</v>
      </c>
      <c r="E11647">
        <v>158.28</v>
      </c>
      <c r="F11647">
        <v>20140813</v>
      </c>
      <c r="G11647" t="s">
        <v>2354</v>
      </c>
      <c r="H11647" t="s">
        <v>365</v>
      </c>
      <c r="I11647" t="s">
        <v>21</v>
      </c>
    </row>
    <row r="11648" spans="1:9" x14ac:dyDescent="0.25">
      <c r="A11648">
        <v>20140814</v>
      </c>
      <c r="B11648" t="str">
        <f>"116854"</f>
        <v>116854</v>
      </c>
      <c r="C11648" t="str">
        <f>"86999"</f>
        <v>86999</v>
      </c>
      <c r="D11648" t="s">
        <v>618</v>
      </c>
      <c r="E11648">
        <v>54</v>
      </c>
      <c r="F11648">
        <v>20140811</v>
      </c>
      <c r="G11648" t="s">
        <v>619</v>
      </c>
      <c r="H11648" t="s">
        <v>365</v>
      </c>
      <c r="I11648" t="s">
        <v>21</v>
      </c>
    </row>
    <row r="11649" spans="1:9" x14ac:dyDescent="0.25">
      <c r="A11649">
        <v>20140814</v>
      </c>
      <c r="B11649" t="str">
        <f>"116855"</f>
        <v>116855</v>
      </c>
      <c r="C11649" t="str">
        <f>"43798"</f>
        <v>43798</v>
      </c>
      <c r="D11649" t="s">
        <v>620</v>
      </c>
      <c r="E11649" s="1">
        <v>2008.14</v>
      </c>
      <c r="F11649">
        <v>20140807</v>
      </c>
      <c r="G11649" t="s">
        <v>1270</v>
      </c>
      <c r="H11649" t="s">
        <v>4919</v>
      </c>
      <c r="I11649" t="s">
        <v>21</v>
      </c>
    </row>
    <row r="11650" spans="1:9" x14ac:dyDescent="0.25">
      <c r="A11650">
        <v>20140814</v>
      </c>
      <c r="B11650" t="str">
        <f>"116855"</f>
        <v>116855</v>
      </c>
      <c r="C11650" t="str">
        <f>"43798"</f>
        <v>43798</v>
      </c>
      <c r="D11650" t="s">
        <v>620</v>
      </c>
      <c r="E11650" s="1">
        <v>1589.25</v>
      </c>
      <c r="F11650">
        <v>20140807</v>
      </c>
      <c r="G11650" t="s">
        <v>3820</v>
      </c>
      <c r="H11650" t="s">
        <v>4920</v>
      </c>
      <c r="I11650" t="s">
        <v>21</v>
      </c>
    </row>
    <row r="11651" spans="1:9" x14ac:dyDescent="0.25">
      <c r="A11651">
        <v>20140814</v>
      </c>
      <c r="B11651" t="str">
        <f>"116856"</f>
        <v>116856</v>
      </c>
      <c r="C11651" t="str">
        <f>"87567"</f>
        <v>87567</v>
      </c>
      <c r="D11651" t="s">
        <v>1768</v>
      </c>
      <c r="E11651">
        <v>831.1</v>
      </c>
      <c r="F11651">
        <v>20140807</v>
      </c>
      <c r="G11651" t="s">
        <v>340</v>
      </c>
      <c r="H11651" t="s">
        <v>656</v>
      </c>
      <c r="I11651" t="s">
        <v>21</v>
      </c>
    </row>
    <row r="11652" spans="1:9" x14ac:dyDescent="0.25">
      <c r="A11652">
        <v>20140814</v>
      </c>
      <c r="B11652" t="str">
        <f>"116857"</f>
        <v>116857</v>
      </c>
      <c r="C11652" t="str">
        <f>"45605"</f>
        <v>45605</v>
      </c>
      <c r="D11652" t="s">
        <v>1474</v>
      </c>
      <c r="E11652">
        <v>162.88</v>
      </c>
      <c r="F11652">
        <v>20140807</v>
      </c>
      <c r="G11652" t="s">
        <v>413</v>
      </c>
      <c r="H11652" t="s">
        <v>414</v>
      </c>
      <c r="I11652" t="s">
        <v>21</v>
      </c>
    </row>
    <row r="11653" spans="1:9" x14ac:dyDescent="0.25">
      <c r="A11653">
        <v>20140814</v>
      </c>
      <c r="B11653" t="str">
        <f>"116857"</f>
        <v>116857</v>
      </c>
      <c r="C11653" t="str">
        <f>"45605"</f>
        <v>45605</v>
      </c>
      <c r="D11653" t="s">
        <v>1474</v>
      </c>
      <c r="E11653">
        <v>66.510000000000005</v>
      </c>
      <c r="F11653">
        <v>20140807</v>
      </c>
      <c r="G11653" t="s">
        <v>392</v>
      </c>
      <c r="H11653" t="s">
        <v>414</v>
      </c>
      <c r="I11653" t="s">
        <v>21</v>
      </c>
    </row>
    <row r="11654" spans="1:9" x14ac:dyDescent="0.25">
      <c r="A11654">
        <v>20140814</v>
      </c>
      <c r="B11654" t="str">
        <f>"116857"</f>
        <v>116857</v>
      </c>
      <c r="C11654" t="str">
        <f>"45605"</f>
        <v>45605</v>
      </c>
      <c r="D11654" t="s">
        <v>1474</v>
      </c>
      <c r="E11654">
        <v>46.46</v>
      </c>
      <c r="F11654">
        <v>20140807</v>
      </c>
      <c r="G11654" t="s">
        <v>417</v>
      </c>
      <c r="H11654" t="s">
        <v>414</v>
      </c>
      <c r="I11654" t="s">
        <v>21</v>
      </c>
    </row>
    <row r="11655" spans="1:9" x14ac:dyDescent="0.25">
      <c r="A11655">
        <v>20140814</v>
      </c>
      <c r="B11655" t="str">
        <f>"116858"</f>
        <v>116858</v>
      </c>
      <c r="C11655" t="str">
        <f>"46785"</f>
        <v>46785</v>
      </c>
      <c r="D11655" t="s">
        <v>1265</v>
      </c>
      <c r="E11655">
        <v>54.67</v>
      </c>
      <c r="F11655">
        <v>20140811</v>
      </c>
      <c r="G11655" t="s">
        <v>1724</v>
      </c>
      <c r="H11655" t="s">
        <v>365</v>
      </c>
      <c r="I11655" t="s">
        <v>66</v>
      </c>
    </row>
    <row r="11656" spans="1:9" x14ac:dyDescent="0.25">
      <c r="A11656">
        <v>20140814</v>
      </c>
      <c r="B11656" t="str">
        <f>"116859"</f>
        <v>116859</v>
      </c>
      <c r="C11656" t="str">
        <f>"87906"</f>
        <v>87906</v>
      </c>
      <c r="D11656" t="s">
        <v>4750</v>
      </c>
      <c r="E11656" s="1">
        <v>1551.95</v>
      </c>
      <c r="F11656">
        <v>20140807</v>
      </c>
      <c r="G11656" t="s">
        <v>413</v>
      </c>
      <c r="H11656" t="s">
        <v>2132</v>
      </c>
      <c r="I11656" t="s">
        <v>21</v>
      </c>
    </row>
    <row r="11657" spans="1:9" x14ac:dyDescent="0.25">
      <c r="A11657">
        <v>20140814</v>
      </c>
      <c r="B11657" t="str">
        <f>"116860"</f>
        <v>116860</v>
      </c>
      <c r="C11657" t="str">
        <f>"85770"</f>
        <v>85770</v>
      </c>
      <c r="D11657" t="s">
        <v>363</v>
      </c>
      <c r="E11657">
        <v>8.99</v>
      </c>
      <c r="F11657">
        <v>20140813</v>
      </c>
      <c r="G11657" t="s">
        <v>137</v>
      </c>
      <c r="H11657" t="s">
        <v>354</v>
      </c>
      <c r="I11657" t="s">
        <v>21</v>
      </c>
    </row>
    <row r="11658" spans="1:9" x14ac:dyDescent="0.25">
      <c r="A11658">
        <v>20140814</v>
      </c>
      <c r="B11658" t="str">
        <f>"116861"</f>
        <v>116861</v>
      </c>
      <c r="C11658" t="str">
        <f>"87626"</f>
        <v>87626</v>
      </c>
      <c r="D11658" t="s">
        <v>2864</v>
      </c>
      <c r="E11658" s="1">
        <v>6354.64</v>
      </c>
      <c r="F11658">
        <v>20140812</v>
      </c>
      <c r="G11658" t="s">
        <v>1806</v>
      </c>
      <c r="H11658" t="s">
        <v>4921</v>
      </c>
      <c r="I11658" t="s">
        <v>21</v>
      </c>
    </row>
    <row r="11659" spans="1:9" x14ac:dyDescent="0.25">
      <c r="A11659">
        <v>20140814</v>
      </c>
      <c r="B11659" t="str">
        <f>"116861"</f>
        <v>116861</v>
      </c>
      <c r="C11659" t="str">
        <f>"87626"</f>
        <v>87626</v>
      </c>
      <c r="D11659" t="s">
        <v>2864</v>
      </c>
      <c r="E11659" s="1">
        <v>6634.96</v>
      </c>
      <c r="F11659">
        <v>20140812</v>
      </c>
      <c r="G11659" t="s">
        <v>1399</v>
      </c>
      <c r="H11659" t="s">
        <v>4921</v>
      </c>
      <c r="I11659" t="s">
        <v>21</v>
      </c>
    </row>
    <row r="11660" spans="1:9" x14ac:dyDescent="0.25">
      <c r="A11660">
        <v>20140814</v>
      </c>
      <c r="B11660" t="str">
        <f>"116862"</f>
        <v>116862</v>
      </c>
      <c r="C11660" t="str">
        <f>"82978"</f>
        <v>82978</v>
      </c>
      <c r="D11660" t="s">
        <v>4830</v>
      </c>
      <c r="E11660">
        <v>265.60000000000002</v>
      </c>
      <c r="F11660">
        <v>20140813</v>
      </c>
      <c r="G11660" t="s">
        <v>840</v>
      </c>
      <c r="H11660" t="s">
        <v>839</v>
      </c>
      <c r="I11660" t="s">
        <v>21</v>
      </c>
    </row>
    <row r="11661" spans="1:9" x14ac:dyDescent="0.25">
      <c r="A11661">
        <v>20140814</v>
      </c>
      <c r="B11661" t="str">
        <f>"116863"</f>
        <v>116863</v>
      </c>
      <c r="C11661" t="str">
        <f>"82978"</f>
        <v>82978</v>
      </c>
      <c r="D11661" t="s">
        <v>4830</v>
      </c>
      <c r="E11661">
        <v>203.01</v>
      </c>
      <c r="F11661">
        <v>20140813</v>
      </c>
      <c r="G11661" t="s">
        <v>840</v>
      </c>
      <c r="H11661" t="s">
        <v>839</v>
      </c>
      <c r="I11661" t="s">
        <v>21</v>
      </c>
    </row>
    <row r="11662" spans="1:9" x14ac:dyDescent="0.25">
      <c r="A11662">
        <v>20140814</v>
      </c>
      <c r="B11662" t="str">
        <f>"116864"</f>
        <v>116864</v>
      </c>
      <c r="C11662" t="str">
        <f>"55795"</f>
        <v>55795</v>
      </c>
      <c r="D11662" t="s">
        <v>931</v>
      </c>
      <c r="E11662">
        <v>169.95</v>
      </c>
      <c r="F11662">
        <v>20140811</v>
      </c>
      <c r="G11662" t="s">
        <v>904</v>
      </c>
      <c r="H11662" t="s">
        <v>365</v>
      </c>
      <c r="I11662" t="s">
        <v>75</v>
      </c>
    </row>
    <row r="11663" spans="1:9" x14ac:dyDescent="0.25">
      <c r="A11663">
        <v>20140814</v>
      </c>
      <c r="B11663" t="str">
        <f>"116864"</f>
        <v>116864</v>
      </c>
      <c r="C11663" t="str">
        <f>"55795"</f>
        <v>55795</v>
      </c>
      <c r="D11663" t="s">
        <v>931</v>
      </c>
      <c r="E11663">
        <v>131.16</v>
      </c>
      <c r="F11663">
        <v>20140811</v>
      </c>
      <c r="G11663" t="s">
        <v>4852</v>
      </c>
      <c r="H11663" t="s">
        <v>365</v>
      </c>
      <c r="I11663" t="s">
        <v>75</v>
      </c>
    </row>
    <row r="11664" spans="1:9" x14ac:dyDescent="0.25">
      <c r="A11664">
        <v>20140814</v>
      </c>
      <c r="B11664" t="str">
        <f>"116865"</f>
        <v>116865</v>
      </c>
      <c r="C11664" t="str">
        <f>"86964"</f>
        <v>86964</v>
      </c>
      <c r="D11664" t="s">
        <v>1280</v>
      </c>
      <c r="E11664" s="1">
        <v>1198.8</v>
      </c>
      <c r="F11664">
        <v>20140812</v>
      </c>
      <c r="G11664" t="s">
        <v>1027</v>
      </c>
      <c r="H11664" t="s">
        <v>4922</v>
      </c>
      <c r="I11664" t="s">
        <v>21</v>
      </c>
    </row>
    <row r="11665" spans="1:9" x14ac:dyDescent="0.25">
      <c r="A11665">
        <v>20140814</v>
      </c>
      <c r="B11665" t="str">
        <f>"116866"</f>
        <v>116866</v>
      </c>
      <c r="C11665" t="str">
        <f>"87468"</f>
        <v>87468</v>
      </c>
      <c r="D11665" t="s">
        <v>4801</v>
      </c>
      <c r="E11665">
        <v>338</v>
      </c>
      <c r="F11665">
        <v>20140813</v>
      </c>
      <c r="G11665" t="s">
        <v>837</v>
      </c>
      <c r="H11665" t="s">
        <v>4858</v>
      </c>
      <c r="I11665" t="s">
        <v>21</v>
      </c>
    </row>
    <row r="11666" spans="1:9" x14ac:dyDescent="0.25">
      <c r="A11666">
        <v>20140814</v>
      </c>
      <c r="B11666" t="str">
        <f>"116867"</f>
        <v>116867</v>
      </c>
      <c r="C11666" t="str">
        <f>"62200"</f>
        <v>62200</v>
      </c>
      <c r="D11666" t="s">
        <v>1510</v>
      </c>
      <c r="E11666">
        <v>190.62</v>
      </c>
      <c r="F11666">
        <v>20140807</v>
      </c>
      <c r="G11666" t="s">
        <v>1329</v>
      </c>
      <c r="H11666" t="s">
        <v>4923</v>
      </c>
      <c r="I11666" t="s">
        <v>21</v>
      </c>
    </row>
    <row r="11667" spans="1:9" x14ac:dyDescent="0.25">
      <c r="A11667">
        <v>20140814</v>
      </c>
      <c r="B11667" t="str">
        <f>"116868"</f>
        <v>116868</v>
      </c>
      <c r="C11667" t="str">
        <f>"84578"</f>
        <v>84578</v>
      </c>
      <c r="D11667" t="s">
        <v>3259</v>
      </c>
      <c r="E11667">
        <v>61.88</v>
      </c>
      <c r="F11667">
        <v>20140813</v>
      </c>
      <c r="G11667" t="s">
        <v>2932</v>
      </c>
      <c r="H11667" t="s">
        <v>365</v>
      </c>
      <c r="I11667" t="s">
        <v>21</v>
      </c>
    </row>
    <row r="11668" spans="1:9" x14ac:dyDescent="0.25">
      <c r="A11668">
        <v>20140814</v>
      </c>
      <c r="B11668" t="str">
        <f>"116869"</f>
        <v>116869</v>
      </c>
      <c r="C11668" t="str">
        <f>"00166"</f>
        <v>00166</v>
      </c>
      <c r="D11668" t="s">
        <v>685</v>
      </c>
      <c r="E11668">
        <v>900</v>
      </c>
      <c r="F11668">
        <v>20140811</v>
      </c>
      <c r="G11668" t="s">
        <v>582</v>
      </c>
      <c r="H11668" t="s">
        <v>4924</v>
      </c>
      <c r="I11668" t="s">
        <v>21</v>
      </c>
    </row>
    <row r="11669" spans="1:9" x14ac:dyDescent="0.25">
      <c r="A11669">
        <v>20140814</v>
      </c>
      <c r="B11669" t="str">
        <f>"116869"</f>
        <v>116869</v>
      </c>
      <c r="C11669" t="str">
        <f>"00166"</f>
        <v>00166</v>
      </c>
      <c r="D11669" t="s">
        <v>685</v>
      </c>
      <c r="E11669">
        <v>280</v>
      </c>
      <c r="F11669">
        <v>20140811</v>
      </c>
      <c r="G11669" t="s">
        <v>119</v>
      </c>
      <c r="H11669" t="s">
        <v>4924</v>
      </c>
      <c r="I11669" t="s">
        <v>38</v>
      </c>
    </row>
    <row r="11670" spans="1:9" x14ac:dyDescent="0.25">
      <c r="A11670">
        <v>20140814</v>
      </c>
      <c r="B11670" t="str">
        <f>"116870"</f>
        <v>116870</v>
      </c>
      <c r="C11670" t="str">
        <f>"82243"</f>
        <v>82243</v>
      </c>
      <c r="D11670" t="s">
        <v>1517</v>
      </c>
      <c r="E11670">
        <v>144.54</v>
      </c>
      <c r="F11670">
        <v>20140807</v>
      </c>
      <c r="G11670" t="s">
        <v>3820</v>
      </c>
      <c r="H11670" t="s">
        <v>414</v>
      </c>
      <c r="I11670" t="s">
        <v>21</v>
      </c>
    </row>
    <row r="11671" spans="1:9" x14ac:dyDescent="0.25">
      <c r="A11671">
        <v>20140814</v>
      </c>
      <c r="B11671" t="str">
        <f>"116870"</f>
        <v>116870</v>
      </c>
      <c r="C11671" t="str">
        <f>"82243"</f>
        <v>82243</v>
      </c>
      <c r="D11671" t="s">
        <v>1517</v>
      </c>
      <c r="E11671">
        <v>72.08</v>
      </c>
      <c r="F11671">
        <v>20140807</v>
      </c>
      <c r="G11671" t="s">
        <v>3820</v>
      </c>
      <c r="H11671" t="s">
        <v>414</v>
      </c>
      <c r="I11671" t="s">
        <v>21</v>
      </c>
    </row>
    <row r="11672" spans="1:9" x14ac:dyDescent="0.25">
      <c r="A11672">
        <v>20140814</v>
      </c>
      <c r="B11672" t="str">
        <f>"116871"</f>
        <v>116871</v>
      </c>
      <c r="C11672" t="str">
        <f>"81411"</f>
        <v>81411</v>
      </c>
      <c r="D11672" t="s">
        <v>687</v>
      </c>
      <c r="E11672">
        <v>220</v>
      </c>
      <c r="F11672">
        <v>20140807</v>
      </c>
      <c r="G11672" t="s">
        <v>498</v>
      </c>
      <c r="H11672" t="s">
        <v>688</v>
      </c>
      <c r="I11672" t="s">
        <v>21</v>
      </c>
    </row>
    <row r="11673" spans="1:9" x14ac:dyDescent="0.25">
      <c r="A11673">
        <v>20140814</v>
      </c>
      <c r="B11673" t="str">
        <f>"116872"</f>
        <v>116872</v>
      </c>
      <c r="C11673" t="str">
        <f>"87927"</f>
        <v>87927</v>
      </c>
      <c r="D11673" t="s">
        <v>4925</v>
      </c>
      <c r="E11673">
        <v>284.98</v>
      </c>
      <c r="F11673">
        <v>20140807</v>
      </c>
      <c r="G11673" t="s">
        <v>3962</v>
      </c>
      <c r="H11673" t="s">
        <v>365</v>
      </c>
      <c r="I11673" t="s">
        <v>79</v>
      </c>
    </row>
    <row r="11674" spans="1:9" x14ac:dyDescent="0.25">
      <c r="A11674">
        <v>20140814</v>
      </c>
      <c r="B11674" t="str">
        <f>"116873"</f>
        <v>116873</v>
      </c>
      <c r="C11674" t="str">
        <f t="shared" ref="C11674:C11679" si="666">"86376"</f>
        <v>86376</v>
      </c>
      <c r="D11674" t="s">
        <v>1661</v>
      </c>
      <c r="E11674" s="1">
        <v>3219</v>
      </c>
      <c r="F11674">
        <v>20140813</v>
      </c>
      <c r="G11674" t="s">
        <v>840</v>
      </c>
      <c r="H11674" t="s">
        <v>4926</v>
      </c>
      <c r="I11674" t="s">
        <v>21</v>
      </c>
    </row>
    <row r="11675" spans="1:9" x14ac:dyDescent="0.25">
      <c r="A11675">
        <v>20140814</v>
      </c>
      <c r="B11675" t="str">
        <f>"116873"</f>
        <v>116873</v>
      </c>
      <c r="C11675" t="str">
        <f t="shared" si="666"/>
        <v>86376</v>
      </c>
      <c r="D11675" t="s">
        <v>1661</v>
      </c>
      <c r="E11675" s="1">
        <v>11340</v>
      </c>
      <c r="F11675">
        <v>20140813</v>
      </c>
      <c r="G11675" t="s">
        <v>842</v>
      </c>
      <c r="H11675" t="s">
        <v>839</v>
      </c>
      <c r="I11675" t="s">
        <v>66</v>
      </c>
    </row>
    <row r="11676" spans="1:9" x14ac:dyDescent="0.25">
      <c r="A11676">
        <v>20140814</v>
      </c>
      <c r="B11676" t="str">
        <f>"116873"</f>
        <v>116873</v>
      </c>
      <c r="C11676" t="str">
        <f t="shared" si="666"/>
        <v>86376</v>
      </c>
      <c r="D11676" t="s">
        <v>1661</v>
      </c>
      <c r="E11676" s="1">
        <v>3762</v>
      </c>
      <c r="F11676">
        <v>20140813</v>
      </c>
      <c r="G11676" t="s">
        <v>845</v>
      </c>
      <c r="H11676" t="s">
        <v>839</v>
      </c>
      <c r="I11676" t="s">
        <v>73</v>
      </c>
    </row>
    <row r="11677" spans="1:9" x14ac:dyDescent="0.25">
      <c r="A11677">
        <v>20140814</v>
      </c>
      <c r="B11677" t="str">
        <f>"116873"</f>
        <v>116873</v>
      </c>
      <c r="C11677" t="str">
        <f t="shared" si="666"/>
        <v>86376</v>
      </c>
      <c r="D11677" t="s">
        <v>1661</v>
      </c>
      <c r="E11677" s="1">
        <v>20000</v>
      </c>
      <c r="F11677">
        <v>20140813</v>
      </c>
      <c r="G11677" t="s">
        <v>3159</v>
      </c>
      <c r="H11677" t="s">
        <v>839</v>
      </c>
      <c r="I11677" t="s">
        <v>75</v>
      </c>
    </row>
    <row r="11678" spans="1:9" x14ac:dyDescent="0.25">
      <c r="A11678">
        <v>20140814</v>
      </c>
      <c r="B11678" t="str">
        <f>"116873"</f>
        <v>116873</v>
      </c>
      <c r="C11678" t="str">
        <f t="shared" si="666"/>
        <v>86376</v>
      </c>
      <c r="D11678" t="s">
        <v>1661</v>
      </c>
      <c r="E11678" s="1">
        <v>20000</v>
      </c>
      <c r="F11678">
        <v>20140813</v>
      </c>
      <c r="G11678" t="s">
        <v>3849</v>
      </c>
      <c r="H11678" t="s">
        <v>839</v>
      </c>
      <c r="I11678" t="s">
        <v>233</v>
      </c>
    </row>
    <row r="11679" spans="1:9" x14ac:dyDescent="0.25">
      <c r="A11679">
        <v>20140814</v>
      </c>
      <c r="B11679" t="str">
        <f>"116874"</f>
        <v>116874</v>
      </c>
      <c r="C11679" t="str">
        <f t="shared" si="666"/>
        <v>86376</v>
      </c>
      <c r="D11679" t="s">
        <v>1661</v>
      </c>
      <c r="E11679">
        <v>12</v>
      </c>
      <c r="F11679">
        <v>20140813</v>
      </c>
      <c r="G11679" t="s">
        <v>840</v>
      </c>
      <c r="H11679" t="s">
        <v>839</v>
      </c>
      <c r="I11679" t="s">
        <v>21</v>
      </c>
    </row>
    <row r="11680" spans="1:9" x14ac:dyDescent="0.25">
      <c r="A11680">
        <v>20140814</v>
      </c>
      <c r="B11680" t="str">
        <f>"116875"</f>
        <v>116875</v>
      </c>
      <c r="C11680" t="str">
        <f>"81886"</f>
        <v>81886</v>
      </c>
      <c r="D11680" t="s">
        <v>1527</v>
      </c>
      <c r="E11680" s="1">
        <v>2900</v>
      </c>
      <c r="F11680">
        <v>20140807</v>
      </c>
      <c r="G11680" t="s">
        <v>746</v>
      </c>
      <c r="H11680" t="s">
        <v>555</v>
      </c>
      <c r="I11680" t="s">
        <v>21</v>
      </c>
    </row>
    <row r="11681" spans="1:9" x14ac:dyDescent="0.25">
      <c r="A11681">
        <v>20140814</v>
      </c>
      <c r="B11681" t="str">
        <f>"116876"</f>
        <v>116876</v>
      </c>
      <c r="C11681" t="str">
        <f>"82502"</f>
        <v>82502</v>
      </c>
      <c r="D11681" t="s">
        <v>706</v>
      </c>
      <c r="E11681">
        <v>50</v>
      </c>
      <c r="F11681">
        <v>20140807</v>
      </c>
      <c r="G11681" t="s">
        <v>340</v>
      </c>
      <c r="H11681" t="s">
        <v>2610</v>
      </c>
      <c r="I11681" t="s">
        <v>21</v>
      </c>
    </row>
    <row r="11682" spans="1:9" x14ac:dyDescent="0.25">
      <c r="A11682">
        <v>20140814</v>
      </c>
      <c r="B11682" t="str">
        <f>"116876"</f>
        <v>116876</v>
      </c>
      <c r="C11682" t="str">
        <f>"82502"</f>
        <v>82502</v>
      </c>
      <c r="D11682" t="s">
        <v>706</v>
      </c>
      <c r="E11682">
        <v>10</v>
      </c>
      <c r="F11682">
        <v>20140807</v>
      </c>
      <c r="G11682" t="s">
        <v>340</v>
      </c>
      <c r="H11682" t="s">
        <v>656</v>
      </c>
      <c r="I11682" t="s">
        <v>21</v>
      </c>
    </row>
    <row r="11683" spans="1:9" x14ac:dyDescent="0.25">
      <c r="A11683">
        <v>20140814</v>
      </c>
      <c r="B11683" t="str">
        <f>"116877"</f>
        <v>116877</v>
      </c>
      <c r="C11683" t="str">
        <f>"87616"</f>
        <v>87616</v>
      </c>
      <c r="D11683" t="s">
        <v>711</v>
      </c>
      <c r="E11683">
        <v>16</v>
      </c>
      <c r="F11683">
        <v>20140807</v>
      </c>
      <c r="G11683" t="s">
        <v>837</v>
      </c>
      <c r="H11683" t="s">
        <v>4927</v>
      </c>
      <c r="I11683" t="s">
        <v>21</v>
      </c>
    </row>
    <row r="11684" spans="1:9" x14ac:dyDescent="0.25">
      <c r="A11684">
        <v>20140814</v>
      </c>
      <c r="B11684" t="str">
        <f>"116878"</f>
        <v>116878</v>
      </c>
      <c r="C11684" t="str">
        <f>"87189"</f>
        <v>87189</v>
      </c>
      <c r="D11684" t="s">
        <v>730</v>
      </c>
      <c r="E11684">
        <v>95.99</v>
      </c>
      <c r="F11684">
        <v>20140807</v>
      </c>
      <c r="G11684" t="s">
        <v>935</v>
      </c>
      <c r="H11684" t="s">
        <v>4302</v>
      </c>
      <c r="I11684" t="s">
        <v>21</v>
      </c>
    </row>
    <row r="11685" spans="1:9" x14ac:dyDescent="0.25">
      <c r="A11685">
        <v>20140814</v>
      </c>
      <c r="B11685" t="str">
        <f>"116878"</f>
        <v>116878</v>
      </c>
      <c r="C11685" t="str">
        <f>"87189"</f>
        <v>87189</v>
      </c>
      <c r="D11685" t="s">
        <v>730</v>
      </c>
      <c r="E11685" s="1">
        <v>1231.8399999999999</v>
      </c>
      <c r="F11685">
        <v>20140807</v>
      </c>
      <c r="G11685" t="s">
        <v>627</v>
      </c>
      <c r="H11685" t="s">
        <v>414</v>
      </c>
      <c r="I11685" t="s">
        <v>21</v>
      </c>
    </row>
    <row r="11686" spans="1:9" x14ac:dyDescent="0.25">
      <c r="A11686">
        <v>20140814</v>
      </c>
      <c r="B11686" t="str">
        <f>"116878"</f>
        <v>116878</v>
      </c>
      <c r="C11686" t="str">
        <f>"87189"</f>
        <v>87189</v>
      </c>
      <c r="D11686" t="s">
        <v>730</v>
      </c>
      <c r="E11686" s="1">
        <v>1354.89</v>
      </c>
      <c r="F11686">
        <v>20140807</v>
      </c>
      <c r="G11686" t="s">
        <v>1222</v>
      </c>
      <c r="H11686" t="s">
        <v>414</v>
      </c>
      <c r="I11686" t="s">
        <v>21</v>
      </c>
    </row>
    <row r="11687" spans="1:9" x14ac:dyDescent="0.25">
      <c r="A11687">
        <v>20140814</v>
      </c>
      <c r="B11687" t="str">
        <f>"116878"</f>
        <v>116878</v>
      </c>
      <c r="C11687" t="str">
        <f>"87189"</f>
        <v>87189</v>
      </c>
      <c r="D11687" t="s">
        <v>730</v>
      </c>
      <c r="E11687">
        <v>779.89</v>
      </c>
      <c r="F11687">
        <v>20140807</v>
      </c>
      <c r="G11687" t="s">
        <v>392</v>
      </c>
      <c r="H11687" t="s">
        <v>414</v>
      </c>
      <c r="I11687" t="s">
        <v>21</v>
      </c>
    </row>
    <row r="11688" spans="1:9" x14ac:dyDescent="0.25">
      <c r="A11688">
        <v>20140814</v>
      </c>
      <c r="B11688" t="str">
        <f>"116879"</f>
        <v>116879</v>
      </c>
      <c r="C11688" t="str">
        <f>"76690"</f>
        <v>76690</v>
      </c>
      <c r="D11688" t="s">
        <v>1544</v>
      </c>
      <c r="E11688">
        <v>269.36</v>
      </c>
      <c r="F11688">
        <v>20140807</v>
      </c>
      <c r="G11688" t="s">
        <v>392</v>
      </c>
      <c r="H11688" t="s">
        <v>1546</v>
      </c>
      <c r="I11688" t="s">
        <v>21</v>
      </c>
    </row>
    <row r="11689" spans="1:9" x14ac:dyDescent="0.25">
      <c r="A11689">
        <v>20140814</v>
      </c>
      <c r="B11689" t="str">
        <f>"116880"</f>
        <v>116880</v>
      </c>
      <c r="C11689" t="str">
        <f>"85109"</f>
        <v>85109</v>
      </c>
      <c r="D11689" t="s">
        <v>980</v>
      </c>
      <c r="E11689">
        <v>27.18</v>
      </c>
      <c r="F11689">
        <v>20140811</v>
      </c>
      <c r="G11689" t="s">
        <v>186</v>
      </c>
      <c r="H11689" t="s">
        <v>354</v>
      </c>
      <c r="I11689" t="s">
        <v>61</v>
      </c>
    </row>
    <row r="11690" spans="1:9" x14ac:dyDescent="0.25">
      <c r="A11690">
        <v>20140814</v>
      </c>
      <c r="B11690" t="str">
        <f>"116880"</f>
        <v>116880</v>
      </c>
      <c r="C11690" t="str">
        <f>"85109"</f>
        <v>85109</v>
      </c>
      <c r="D11690" t="s">
        <v>980</v>
      </c>
      <c r="E11690">
        <v>37.78</v>
      </c>
      <c r="F11690">
        <v>20140811</v>
      </c>
      <c r="G11690" t="s">
        <v>186</v>
      </c>
      <c r="H11690" t="s">
        <v>354</v>
      </c>
      <c r="I11690" t="s">
        <v>61</v>
      </c>
    </row>
    <row r="11691" spans="1:9" x14ac:dyDescent="0.25">
      <c r="A11691">
        <v>20140814</v>
      </c>
      <c r="B11691" t="str">
        <f>"116880"</f>
        <v>116880</v>
      </c>
      <c r="C11691" t="str">
        <f>"85109"</f>
        <v>85109</v>
      </c>
      <c r="D11691" t="s">
        <v>980</v>
      </c>
      <c r="E11691">
        <v>40.270000000000003</v>
      </c>
      <c r="F11691">
        <v>20140813</v>
      </c>
      <c r="G11691" t="s">
        <v>186</v>
      </c>
      <c r="H11691" t="s">
        <v>354</v>
      </c>
      <c r="I11691" t="s">
        <v>61</v>
      </c>
    </row>
    <row r="11692" spans="1:9" x14ac:dyDescent="0.25">
      <c r="A11692">
        <v>20140814</v>
      </c>
      <c r="B11692" t="str">
        <f>"116881"</f>
        <v>116881</v>
      </c>
      <c r="C11692" t="str">
        <f>"76914"</f>
        <v>76914</v>
      </c>
      <c r="D11692" t="s">
        <v>2580</v>
      </c>
      <c r="E11692">
        <v>120</v>
      </c>
      <c r="F11692">
        <v>20140811</v>
      </c>
      <c r="G11692" t="s">
        <v>3400</v>
      </c>
      <c r="H11692" t="s">
        <v>354</v>
      </c>
      <c r="I11692" t="s">
        <v>21</v>
      </c>
    </row>
    <row r="11693" spans="1:9" x14ac:dyDescent="0.25">
      <c r="A11693">
        <v>20140814</v>
      </c>
      <c r="B11693" t="str">
        <f t="shared" ref="B11693:B11698" si="667">"116882"</f>
        <v>116882</v>
      </c>
      <c r="C11693" t="str">
        <f t="shared" ref="C11693:C11698" si="668">"77173"</f>
        <v>77173</v>
      </c>
      <c r="D11693" t="s">
        <v>741</v>
      </c>
      <c r="E11693">
        <v>84.08</v>
      </c>
      <c r="F11693">
        <v>20140807</v>
      </c>
      <c r="G11693" t="s">
        <v>742</v>
      </c>
      <c r="H11693" t="s">
        <v>743</v>
      </c>
      <c r="I11693" t="s">
        <v>21</v>
      </c>
    </row>
    <row r="11694" spans="1:9" x14ac:dyDescent="0.25">
      <c r="A11694">
        <v>20140814</v>
      </c>
      <c r="B11694" t="str">
        <f t="shared" si="667"/>
        <v>116882</v>
      </c>
      <c r="C11694" t="str">
        <f t="shared" si="668"/>
        <v>77173</v>
      </c>
      <c r="D11694" t="s">
        <v>741</v>
      </c>
      <c r="E11694">
        <v>55</v>
      </c>
      <c r="F11694">
        <v>20140807</v>
      </c>
      <c r="G11694" t="s">
        <v>742</v>
      </c>
      <c r="H11694" t="s">
        <v>743</v>
      </c>
      <c r="I11694" t="s">
        <v>21</v>
      </c>
    </row>
    <row r="11695" spans="1:9" x14ac:dyDescent="0.25">
      <c r="A11695">
        <v>20140814</v>
      </c>
      <c r="B11695" t="str">
        <f t="shared" si="667"/>
        <v>116882</v>
      </c>
      <c r="C11695" t="str">
        <f t="shared" si="668"/>
        <v>77173</v>
      </c>
      <c r="D11695" t="s">
        <v>741</v>
      </c>
      <c r="E11695">
        <v>385</v>
      </c>
      <c r="F11695">
        <v>20140807</v>
      </c>
      <c r="G11695" t="s">
        <v>742</v>
      </c>
      <c r="H11695" t="s">
        <v>743</v>
      </c>
      <c r="I11695" t="s">
        <v>21</v>
      </c>
    </row>
    <row r="11696" spans="1:9" x14ac:dyDescent="0.25">
      <c r="A11696">
        <v>20140814</v>
      </c>
      <c r="B11696" t="str">
        <f t="shared" si="667"/>
        <v>116882</v>
      </c>
      <c r="C11696" t="str">
        <f t="shared" si="668"/>
        <v>77173</v>
      </c>
      <c r="D11696" t="s">
        <v>741</v>
      </c>
      <c r="E11696">
        <v>412.66</v>
      </c>
      <c r="F11696">
        <v>20140807</v>
      </c>
      <c r="G11696" t="s">
        <v>742</v>
      </c>
      <c r="H11696" t="s">
        <v>743</v>
      </c>
      <c r="I11696" t="s">
        <v>21</v>
      </c>
    </row>
    <row r="11697" spans="1:9" x14ac:dyDescent="0.25">
      <c r="A11697">
        <v>20140814</v>
      </c>
      <c r="B11697" t="str">
        <f t="shared" si="667"/>
        <v>116882</v>
      </c>
      <c r="C11697" t="str">
        <f t="shared" si="668"/>
        <v>77173</v>
      </c>
      <c r="D11697" t="s">
        <v>741</v>
      </c>
      <c r="E11697">
        <v>467.98</v>
      </c>
      <c r="F11697">
        <v>20140807</v>
      </c>
      <c r="G11697" t="s">
        <v>742</v>
      </c>
      <c r="H11697" t="s">
        <v>743</v>
      </c>
      <c r="I11697" t="s">
        <v>21</v>
      </c>
    </row>
    <row r="11698" spans="1:9" x14ac:dyDescent="0.25">
      <c r="A11698">
        <v>20140814</v>
      </c>
      <c r="B11698" t="str">
        <f t="shared" si="667"/>
        <v>116882</v>
      </c>
      <c r="C11698" t="str">
        <f t="shared" si="668"/>
        <v>77173</v>
      </c>
      <c r="D11698" t="s">
        <v>741</v>
      </c>
      <c r="E11698" s="1">
        <v>1543.78</v>
      </c>
      <c r="F11698">
        <v>20140807</v>
      </c>
      <c r="G11698" t="s">
        <v>742</v>
      </c>
      <c r="H11698" t="s">
        <v>743</v>
      </c>
      <c r="I11698" t="s">
        <v>21</v>
      </c>
    </row>
    <row r="11699" spans="1:9" x14ac:dyDescent="0.25">
      <c r="A11699">
        <v>20140814</v>
      </c>
      <c r="B11699" t="str">
        <f>"116883"</f>
        <v>116883</v>
      </c>
      <c r="C11699" t="str">
        <f>"77705"</f>
        <v>77705</v>
      </c>
      <c r="D11699" t="s">
        <v>2312</v>
      </c>
      <c r="E11699">
        <v>798.78</v>
      </c>
      <c r="F11699">
        <v>20140807</v>
      </c>
      <c r="G11699" t="s">
        <v>1271</v>
      </c>
      <c r="H11699" t="s">
        <v>4928</v>
      </c>
      <c r="I11699" t="s">
        <v>21</v>
      </c>
    </row>
    <row r="11700" spans="1:9" x14ac:dyDescent="0.25">
      <c r="A11700">
        <v>20140814</v>
      </c>
      <c r="B11700" t="str">
        <f t="shared" ref="B11700:B11705" si="669">"116884"</f>
        <v>116884</v>
      </c>
      <c r="C11700" t="str">
        <f t="shared" ref="C11700:C11705" si="670">"83814"</f>
        <v>83814</v>
      </c>
      <c r="D11700" t="s">
        <v>3457</v>
      </c>
      <c r="E11700" s="1">
        <v>8425.39</v>
      </c>
      <c r="F11700">
        <v>20140813</v>
      </c>
      <c r="G11700" t="s">
        <v>1900</v>
      </c>
      <c r="H11700" t="s">
        <v>3458</v>
      </c>
      <c r="I11700" t="s">
        <v>608</v>
      </c>
    </row>
    <row r="11701" spans="1:9" x14ac:dyDescent="0.25">
      <c r="A11701">
        <v>20140814</v>
      </c>
      <c r="B11701" t="str">
        <f t="shared" si="669"/>
        <v>116884</v>
      </c>
      <c r="C11701" t="str">
        <f t="shared" si="670"/>
        <v>83814</v>
      </c>
      <c r="D11701" t="s">
        <v>3457</v>
      </c>
      <c r="E11701" s="1">
        <v>1190.28</v>
      </c>
      <c r="F11701">
        <v>20140813</v>
      </c>
      <c r="G11701" t="s">
        <v>1900</v>
      </c>
      <c r="H11701" t="s">
        <v>3458</v>
      </c>
      <c r="I11701" t="s">
        <v>608</v>
      </c>
    </row>
    <row r="11702" spans="1:9" x14ac:dyDescent="0.25">
      <c r="A11702">
        <v>20140814</v>
      </c>
      <c r="B11702" t="str">
        <f t="shared" si="669"/>
        <v>116884</v>
      </c>
      <c r="C11702" t="str">
        <f t="shared" si="670"/>
        <v>83814</v>
      </c>
      <c r="D11702" t="s">
        <v>3457</v>
      </c>
      <c r="E11702" s="1">
        <v>2456.5100000000002</v>
      </c>
      <c r="F11702">
        <v>20140813</v>
      </c>
      <c r="G11702" t="s">
        <v>1900</v>
      </c>
      <c r="H11702" t="s">
        <v>3458</v>
      </c>
      <c r="I11702" t="s">
        <v>608</v>
      </c>
    </row>
    <row r="11703" spans="1:9" x14ac:dyDescent="0.25">
      <c r="A11703">
        <v>20140814</v>
      </c>
      <c r="B11703" t="str">
        <f t="shared" si="669"/>
        <v>116884</v>
      </c>
      <c r="C11703" t="str">
        <f t="shared" si="670"/>
        <v>83814</v>
      </c>
      <c r="D11703" t="s">
        <v>3457</v>
      </c>
      <c r="E11703" s="1">
        <v>2534.2199999999998</v>
      </c>
      <c r="F11703">
        <v>20140813</v>
      </c>
      <c r="G11703" t="s">
        <v>1900</v>
      </c>
      <c r="H11703" t="s">
        <v>3458</v>
      </c>
      <c r="I11703" t="s">
        <v>608</v>
      </c>
    </row>
    <row r="11704" spans="1:9" x14ac:dyDescent="0.25">
      <c r="A11704">
        <v>20140814</v>
      </c>
      <c r="B11704" t="str">
        <f t="shared" si="669"/>
        <v>116884</v>
      </c>
      <c r="C11704" t="str">
        <f t="shared" si="670"/>
        <v>83814</v>
      </c>
      <c r="D11704" t="s">
        <v>3457</v>
      </c>
      <c r="E11704" s="1">
        <v>3823.03</v>
      </c>
      <c r="F11704">
        <v>20140813</v>
      </c>
      <c r="G11704" t="s">
        <v>1900</v>
      </c>
      <c r="H11704" t="s">
        <v>3458</v>
      </c>
      <c r="I11704" t="s">
        <v>608</v>
      </c>
    </row>
    <row r="11705" spans="1:9" x14ac:dyDescent="0.25">
      <c r="A11705">
        <v>20140814</v>
      </c>
      <c r="B11705" t="str">
        <f t="shared" si="669"/>
        <v>116884</v>
      </c>
      <c r="C11705" t="str">
        <f t="shared" si="670"/>
        <v>83814</v>
      </c>
      <c r="D11705" t="s">
        <v>3457</v>
      </c>
      <c r="E11705" s="1">
        <v>3496.46</v>
      </c>
      <c r="F11705">
        <v>20140813</v>
      </c>
      <c r="G11705" t="s">
        <v>1900</v>
      </c>
      <c r="H11705" t="s">
        <v>3458</v>
      </c>
      <c r="I11705" t="s">
        <v>608</v>
      </c>
    </row>
    <row r="11706" spans="1:9" x14ac:dyDescent="0.25">
      <c r="A11706">
        <v>20140814</v>
      </c>
      <c r="B11706" t="str">
        <f>"116885"</f>
        <v>116885</v>
      </c>
      <c r="C11706" t="str">
        <f>"79500"</f>
        <v>79500</v>
      </c>
      <c r="D11706" t="s">
        <v>987</v>
      </c>
      <c r="E11706">
        <v>31.9</v>
      </c>
      <c r="F11706">
        <v>20140813</v>
      </c>
      <c r="G11706" t="s">
        <v>789</v>
      </c>
      <c r="H11706" t="s">
        <v>790</v>
      </c>
      <c r="I11706" t="s">
        <v>61</v>
      </c>
    </row>
    <row r="11707" spans="1:9" x14ac:dyDescent="0.25">
      <c r="A11707">
        <v>20140814</v>
      </c>
      <c r="B11707" t="str">
        <f>"116885"</f>
        <v>116885</v>
      </c>
      <c r="C11707" t="str">
        <f>"79500"</f>
        <v>79500</v>
      </c>
      <c r="D11707" t="s">
        <v>987</v>
      </c>
      <c r="E11707">
        <v>63.05</v>
      </c>
      <c r="F11707">
        <v>20140813</v>
      </c>
      <c r="G11707" t="s">
        <v>1112</v>
      </c>
      <c r="H11707" t="s">
        <v>365</v>
      </c>
      <c r="I11707" t="s">
        <v>66</v>
      </c>
    </row>
    <row r="11708" spans="1:9" x14ac:dyDescent="0.25">
      <c r="A11708">
        <v>20140814</v>
      </c>
      <c r="B11708" t="str">
        <f>"116886"</f>
        <v>116886</v>
      </c>
      <c r="C11708" t="str">
        <f>"87915"</f>
        <v>87915</v>
      </c>
      <c r="D11708" t="s">
        <v>4836</v>
      </c>
      <c r="E11708">
        <v>275.52999999999997</v>
      </c>
      <c r="F11708">
        <v>20140813</v>
      </c>
      <c r="G11708" t="s">
        <v>4621</v>
      </c>
      <c r="H11708" t="s">
        <v>365</v>
      </c>
      <c r="I11708" t="s">
        <v>21</v>
      </c>
    </row>
    <row r="11709" spans="1:9" x14ac:dyDescent="0.25">
      <c r="A11709">
        <v>20140814</v>
      </c>
      <c r="B11709" t="str">
        <f>"116887"</f>
        <v>116887</v>
      </c>
      <c r="C11709" t="str">
        <f>"81915"</f>
        <v>81915</v>
      </c>
      <c r="D11709" t="s">
        <v>4929</v>
      </c>
      <c r="E11709">
        <v>54.09</v>
      </c>
      <c r="F11709">
        <v>20140813</v>
      </c>
      <c r="G11709" t="s">
        <v>442</v>
      </c>
      <c r="H11709" t="s">
        <v>365</v>
      </c>
      <c r="I11709" t="s">
        <v>66</v>
      </c>
    </row>
    <row r="11710" spans="1:9" x14ac:dyDescent="0.25">
      <c r="A11710">
        <v>20140821</v>
      </c>
      <c r="B11710" t="str">
        <f>"116888"</f>
        <v>116888</v>
      </c>
      <c r="C11710" t="str">
        <f>"00155"</f>
        <v>00155</v>
      </c>
      <c r="D11710" t="s">
        <v>443</v>
      </c>
      <c r="E11710">
        <v>800</v>
      </c>
      <c r="F11710">
        <v>20140819</v>
      </c>
      <c r="G11710" t="s">
        <v>511</v>
      </c>
      <c r="H11710" t="s">
        <v>4930</v>
      </c>
      <c r="I11710" t="s">
        <v>21</v>
      </c>
    </row>
    <row r="11711" spans="1:9" x14ac:dyDescent="0.25">
      <c r="A11711">
        <v>20140821</v>
      </c>
      <c r="B11711" t="str">
        <f>"116889"</f>
        <v>116889</v>
      </c>
      <c r="C11711" t="str">
        <f>"86997"</f>
        <v>86997</v>
      </c>
      <c r="D11711" t="s">
        <v>2098</v>
      </c>
      <c r="E11711" s="1">
        <v>1902.59</v>
      </c>
      <c r="F11711">
        <v>20140820</v>
      </c>
      <c r="G11711" t="s">
        <v>530</v>
      </c>
      <c r="H11711" t="s">
        <v>414</v>
      </c>
      <c r="I11711" t="s">
        <v>21</v>
      </c>
    </row>
    <row r="11712" spans="1:9" x14ac:dyDescent="0.25">
      <c r="A11712">
        <v>20140821</v>
      </c>
      <c r="B11712" t="str">
        <f>"116889"</f>
        <v>116889</v>
      </c>
      <c r="C11712" t="str">
        <f>"86997"</f>
        <v>86997</v>
      </c>
      <c r="D11712" t="s">
        <v>2098</v>
      </c>
      <c r="E11712" s="1">
        <v>1122.73</v>
      </c>
      <c r="F11712">
        <v>20140820</v>
      </c>
      <c r="G11712" t="s">
        <v>530</v>
      </c>
      <c r="H11712" t="s">
        <v>414</v>
      </c>
      <c r="I11712" t="s">
        <v>21</v>
      </c>
    </row>
    <row r="11713" spans="1:9" x14ac:dyDescent="0.25">
      <c r="A11713">
        <v>20140821</v>
      </c>
      <c r="B11713" t="str">
        <f>"116889"</f>
        <v>116889</v>
      </c>
      <c r="C11713" t="str">
        <f>"86997"</f>
        <v>86997</v>
      </c>
      <c r="D11713" t="s">
        <v>2098</v>
      </c>
      <c r="E11713" s="1">
        <v>10375.959999999999</v>
      </c>
      <c r="F11713">
        <v>20140820</v>
      </c>
      <c r="G11713" t="s">
        <v>417</v>
      </c>
      <c r="H11713" t="s">
        <v>414</v>
      </c>
      <c r="I11713" t="s">
        <v>21</v>
      </c>
    </row>
    <row r="11714" spans="1:9" x14ac:dyDescent="0.25">
      <c r="A11714">
        <v>20140821</v>
      </c>
      <c r="B11714" t="str">
        <f>"116890"</f>
        <v>116890</v>
      </c>
      <c r="C11714" t="str">
        <f>"87744"</f>
        <v>87744</v>
      </c>
      <c r="D11714" t="s">
        <v>3357</v>
      </c>
      <c r="E11714">
        <v>320</v>
      </c>
      <c r="F11714">
        <v>20140819</v>
      </c>
      <c r="G11714" t="s">
        <v>624</v>
      </c>
      <c r="H11714" t="s">
        <v>4931</v>
      </c>
      <c r="I11714" t="s">
        <v>21</v>
      </c>
    </row>
    <row r="11715" spans="1:9" x14ac:dyDescent="0.25">
      <c r="A11715">
        <v>20140821</v>
      </c>
      <c r="B11715" t="str">
        <f>"116890"</f>
        <v>116890</v>
      </c>
      <c r="C11715" t="str">
        <f>"87744"</f>
        <v>87744</v>
      </c>
      <c r="D11715" t="s">
        <v>3357</v>
      </c>
      <c r="E11715">
        <v>540</v>
      </c>
      <c r="F11715">
        <v>20140814</v>
      </c>
      <c r="G11715" t="s">
        <v>1027</v>
      </c>
      <c r="H11715" t="s">
        <v>4932</v>
      </c>
      <c r="I11715" t="s">
        <v>21</v>
      </c>
    </row>
    <row r="11716" spans="1:9" x14ac:dyDescent="0.25">
      <c r="A11716">
        <v>20140821</v>
      </c>
      <c r="B11716" t="str">
        <f>"116890"</f>
        <v>116890</v>
      </c>
      <c r="C11716" t="str">
        <f>"87744"</f>
        <v>87744</v>
      </c>
      <c r="D11716" t="s">
        <v>3357</v>
      </c>
      <c r="E11716">
        <v>158</v>
      </c>
      <c r="F11716">
        <v>20140818</v>
      </c>
      <c r="G11716" t="s">
        <v>1027</v>
      </c>
      <c r="H11716" t="s">
        <v>4932</v>
      </c>
      <c r="I11716" t="s">
        <v>21</v>
      </c>
    </row>
    <row r="11717" spans="1:9" x14ac:dyDescent="0.25">
      <c r="A11717">
        <v>20140821</v>
      </c>
      <c r="B11717" t="str">
        <f>"116891"</f>
        <v>116891</v>
      </c>
      <c r="C11717" t="str">
        <f>"00954"</f>
        <v>00954</v>
      </c>
      <c r="D11717" t="s">
        <v>445</v>
      </c>
      <c r="E11717">
        <v>257</v>
      </c>
      <c r="F11717">
        <v>20140815</v>
      </c>
      <c r="G11717" t="s">
        <v>496</v>
      </c>
      <c r="H11717" t="s">
        <v>1138</v>
      </c>
      <c r="I11717" t="s">
        <v>21</v>
      </c>
    </row>
    <row r="11718" spans="1:9" x14ac:dyDescent="0.25">
      <c r="A11718">
        <v>20140821</v>
      </c>
      <c r="B11718" t="str">
        <f>"116892"</f>
        <v>116892</v>
      </c>
      <c r="C11718" t="str">
        <f>"86517"</f>
        <v>86517</v>
      </c>
      <c r="D11718" t="s">
        <v>2101</v>
      </c>
      <c r="E11718" s="1">
        <v>1456</v>
      </c>
      <c r="F11718">
        <v>20140819</v>
      </c>
      <c r="G11718" t="s">
        <v>404</v>
      </c>
      <c r="H11718" t="s">
        <v>2102</v>
      </c>
      <c r="I11718" t="s">
        <v>12</v>
      </c>
    </row>
    <row r="11719" spans="1:9" x14ac:dyDescent="0.25">
      <c r="A11719">
        <v>20140821</v>
      </c>
      <c r="B11719" t="str">
        <f>"116893"</f>
        <v>116893</v>
      </c>
      <c r="C11719" t="str">
        <f>"01840"</f>
        <v>01840</v>
      </c>
      <c r="D11719" t="s">
        <v>3096</v>
      </c>
      <c r="E11719">
        <v>56</v>
      </c>
      <c r="F11719">
        <v>20140815</v>
      </c>
      <c r="G11719" t="s">
        <v>704</v>
      </c>
      <c r="H11719" t="s">
        <v>4933</v>
      </c>
      <c r="I11719" t="s">
        <v>21</v>
      </c>
    </row>
    <row r="11720" spans="1:9" x14ac:dyDescent="0.25">
      <c r="A11720">
        <v>20140821</v>
      </c>
      <c r="B11720" t="str">
        <f>"116893"</f>
        <v>116893</v>
      </c>
      <c r="C11720" t="str">
        <f>"01840"</f>
        <v>01840</v>
      </c>
      <c r="D11720" t="s">
        <v>3096</v>
      </c>
      <c r="E11720">
        <v>72</v>
      </c>
      <c r="F11720">
        <v>20140819</v>
      </c>
      <c r="G11720" t="s">
        <v>704</v>
      </c>
      <c r="H11720" t="s">
        <v>705</v>
      </c>
      <c r="I11720" t="s">
        <v>21</v>
      </c>
    </row>
    <row r="11721" spans="1:9" x14ac:dyDescent="0.25">
      <c r="A11721">
        <v>20140821</v>
      </c>
      <c r="B11721" t="str">
        <f>"116894"</f>
        <v>116894</v>
      </c>
      <c r="C11721" t="str">
        <f>"01890"</f>
        <v>01890</v>
      </c>
      <c r="D11721" t="s">
        <v>447</v>
      </c>
      <c r="E11721">
        <v>162.75</v>
      </c>
      <c r="F11721">
        <v>20140820</v>
      </c>
      <c r="G11721" t="s">
        <v>496</v>
      </c>
      <c r="H11721" t="s">
        <v>414</v>
      </c>
      <c r="I11721" t="s">
        <v>21</v>
      </c>
    </row>
    <row r="11722" spans="1:9" x14ac:dyDescent="0.25">
      <c r="A11722">
        <v>20140821</v>
      </c>
      <c r="B11722" t="str">
        <f>"116894"</f>
        <v>116894</v>
      </c>
      <c r="C11722" t="str">
        <f>"01890"</f>
        <v>01890</v>
      </c>
      <c r="D11722" t="s">
        <v>447</v>
      </c>
      <c r="E11722">
        <v>23.26</v>
      </c>
      <c r="F11722">
        <v>20140820</v>
      </c>
      <c r="G11722" t="s">
        <v>392</v>
      </c>
      <c r="H11722" t="s">
        <v>414</v>
      </c>
      <c r="I11722" t="s">
        <v>21</v>
      </c>
    </row>
    <row r="11723" spans="1:9" x14ac:dyDescent="0.25">
      <c r="A11723">
        <v>20140821</v>
      </c>
      <c r="B11723" t="str">
        <f>"116894"</f>
        <v>116894</v>
      </c>
      <c r="C11723" t="str">
        <f>"01890"</f>
        <v>01890</v>
      </c>
      <c r="D11723" t="s">
        <v>447</v>
      </c>
      <c r="E11723">
        <v>20.99</v>
      </c>
      <c r="F11723">
        <v>20140820</v>
      </c>
      <c r="G11723" t="s">
        <v>1426</v>
      </c>
      <c r="H11723" t="s">
        <v>414</v>
      </c>
      <c r="I11723" t="s">
        <v>38</v>
      </c>
    </row>
    <row r="11724" spans="1:9" x14ac:dyDescent="0.25">
      <c r="A11724">
        <v>20140821</v>
      </c>
      <c r="B11724" t="str">
        <f>"116895"</f>
        <v>116895</v>
      </c>
      <c r="C11724" t="str">
        <f>"02500"</f>
        <v>02500</v>
      </c>
      <c r="D11724" t="s">
        <v>1341</v>
      </c>
      <c r="E11724">
        <v>639.5</v>
      </c>
      <c r="F11724">
        <v>20140818</v>
      </c>
      <c r="G11724" t="s">
        <v>1013</v>
      </c>
      <c r="H11724" t="s">
        <v>4934</v>
      </c>
      <c r="I11724" t="s">
        <v>38</v>
      </c>
    </row>
    <row r="11725" spans="1:9" x14ac:dyDescent="0.25">
      <c r="A11725">
        <v>20140821</v>
      </c>
      <c r="B11725" t="str">
        <f>"116895"</f>
        <v>116895</v>
      </c>
      <c r="C11725" t="str">
        <f>"02500"</f>
        <v>02500</v>
      </c>
      <c r="D11725" t="s">
        <v>1341</v>
      </c>
      <c r="E11725">
        <v>360</v>
      </c>
      <c r="F11725">
        <v>20140820</v>
      </c>
      <c r="G11725" t="s">
        <v>189</v>
      </c>
      <c r="H11725" t="s">
        <v>839</v>
      </c>
      <c r="I11725" t="s">
        <v>25</v>
      </c>
    </row>
    <row r="11726" spans="1:9" x14ac:dyDescent="0.25">
      <c r="A11726">
        <v>20140821</v>
      </c>
      <c r="B11726" t="str">
        <f>"116896"</f>
        <v>116896</v>
      </c>
      <c r="C11726" t="str">
        <f>"87937"</f>
        <v>87937</v>
      </c>
      <c r="D11726" t="s">
        <v>4935</v>
      </c>
      <c r="E11726">
        <v>272.5</v>
      </c>
      <c r="F11726">
        <v>20140819</v>
      </c>
      <c r="G11726" t="s">
        <v>469</v>
      </c>
      <c r="H11726" t="s">
        <v>501</v>
      </c>
      <c r="I11726" t="s">
        <v>21</v>
      </c>
    </row>
    <row r="11727" spans="1:9" x14ac:dyDescent="0.25">
      <c r="A11727">
        <v>20140821</v>
      </c>
      <c r="B11727" t="str">
        <f>"116897"</f>
        <v>116897</v>
      </c>
      <c r="C11727" t="str">
        <f>"87466"</f>
        <v>87466</v>
      </c>
      <c r="D11727" t="s">
        <v>468</v>
      </c>
      <c r="E11727">
        <v>350</v>
      </c>
      <c r="F11727">
        <v>20140819</v>
      </c>
      <c r="G11727" t="s">
        <v>469</v>
      </c>
      <c r="H11727" t="s">
        <v>501</v>
      </c>
      <c r="I11727" t="s">
        <v>21</v>
      </c>
    </row>
    <row r="11728" spans="1:9" x14ac:dyDescent="0.25">
      <c r="A11728">
        <v>20140821</v>
      </c>
      <c r="B11728" t="str">
        <f>"116898"</f>
        <v>116898</v>
      </c>
      <c r="C11728" t="str">
        <f>"86961"</f>
        <v>86961</v>
      </c>
      <c r="D11728" t="s">
        <v>1349</v>
      </c>
      <c r="E11728">
        <v>453</v>
      </c>
      <c r="F11728">
        <v>20140820</v>
      </c>
      <c r="G11728" t="s">
        <v>837</v>
      </c>
      <c r="H11728" t="s">
        <v>4936</v>
      </c>
      <c r="I11728" t="s">
        <v>21</v>
      </c>
    </row>
    <row r="11729" spans="1:9" x14ac:dyDescent="0.25">
      <c r="A11729">
        <v>20140821</v>
      </c>
      <c r="B11729" t="str">
        <f>"116899"</f>
        <v>116899</v>
      </c>
      <c r="C11729" t="str">
        <f>"00500"</f>
        <v>00500</v>
      </c>
      <c r="D11729" t="s">
        <v>486</v>
      </c>
      <c r="E11729" s="1">
        <v>6267.35</v>
      </c>
      <c r="F11729">
        <v>20140814</v>
      </c>
      <c r="G11729" t="s">
        <v>487</v>
      </c>
      <c r="H11729" t="s">
        <v>488</v>
      </c>
      <c r="I11729" t="s">
        <v>21</v>
      </c>
    </row>
    <row r="11730" spans="1:9" x14ac:dyDescent="0.25">
      <c r="A11730">
        <v>20140821</v>
      </c>
      <c r="B11730" t="str">
        <f>"116900"</f>
        <v>116900</v>
      </c>
      <c r="C11730" t="str">
        <f>"00255"</f>
        <v>00255</v>
      </c>
      <c r="D11730" t="s">
        <v>489</v>
      </c>
      <c r="E11730">
        <v>41.26</v>
      </c>
      <c r="F11730">
        <v>20140820</v>
      </c>
      <c r="G11730" t="s">
        <v>771</v>
      </c>
      <c r="H11730" t="s">
        <v>488</v>
      </c>
      <c r="I11730" t="s">
        <v>21</v>
      </c>
    </row>
    <row r="11731" spans="1:9" x14ac:dyDescent="0.25">
      <c r="A11731">
        <v>20140821</v>
      </c>
      <c r="B11731" t="str">
        <f>"116900"</f>
        <v>116900</v>
      </c>
      <c r="C11731" t="str">
        <f>"00255"</f>
        <v>00255</v>
      </c>
      <c r="D11731" t="s">
        <v>489</v>
      </c>
      <c r="E11731">
        <v>128.56</v>
      </c>
      <c r="F11731">
        <v>20140819</v>
      </c>
      <c r="G11731" t="s">
        <v>1186</v>
      </c>
      <c r="H11731" t="s">
        <v>488</v>
      </c>
      <c r="I11731" t="s">
        <v>21</v>
      </c>
    </row>
    <row r="11732" spans="1:9" x14ac:dyDescent="0.25">
      <c r="A11732">
        <v>20140821</v>
      </c>
      <c r="B11732" t="str">
        <f>"116901"</f>
        <v>116901</v>
      </c>
      <c r="C11732" t="str">
        <f>"09600"</f>
        <v>09600</v>
      </c>
      <c r="D11732" t="s">
        <v>497</v>
      </c>
      <c r="E11732">
        <v>975.85</v>
      </c>
      <c r="F11732">
        <v>20140819</v>
      </c>
      <c r="G11732" t="s">
        <v>498</v>
      </c>
      <c r="H11732" t="s">
        <v>499</v>
      </c>
      <c r="I11732" t="s">
        <v>21</v>
      </c>
    </row>
    <row r="11733" spans="1:9" x14ac:dyDescent="0.25">
      <c r="A11733">
        <v>20140821</v>
      </c>
      <c r="B11733" t="str">
        <f>"116902"</f>
        <v>116902</v>
      </c>
      <c r="C11733" t="str">
        <f>"00213"</f>
        <v>00213</v>
      </c>
      <c r="D11733" t="s">
        <v>1006</v>
      </c>
      <c r="E11733">
        <v>421.3</v>
      </c>
      <c r="F11733">
        <v>20140820</v>
      </c>
      <c r="G11733" t="s">
        <v>48</v>
      </c>
      <c r="H11733" t="s">
        <v>414</v>
      </c>
      <c r="I11733" t="s">
        <v>25</v>
      </c>
    </row>
    <row r="11734" spans="1:9" x14ac:dyDescent="0.25">
      <c r="A11734">
        <v>20140821</v>
      </c>
      <c r="B11734" t="str">
        <f>"116903"</f>
        <v>116903</v>
      </c>
      <c r="C11734" t="str">
        <f>"81301"</f>
        <v>81301</v>
      </c>
      <c r="D11734" t="s">
        <v>779</v>
      </c>
      <c r="E11734">
        <v>156.72</v>
      </c>
      <c r="F11734">
        <v>20140815</v>
      </c>
      <c r="G11734" t="s">
        <v>3962</v>
      </c>
      <c r="H11734" t="s">
        <v>365</v>
      </c>
      <c r="I11734" t="s">
        <v>79</v>
      </c>
    </row>
    <row r="11735" spans="1:9" x14ac:dyDescent="0.25">
      <c r="A11735">
        <v>20140821</v>
      </c>
      <c r="B11735" t="str">
        <f>"116904"</f>
        <v>116904</v>
      </c>
      <c r="C11735" t="str">
        <f>"85773"</f>
        <v>85773</v>
      </c>
      <c r="D11735" t="s">
        <v>4937</v>
      </c>
      <c r="E11735" s="1">
        <v>2250</v>
      </c>
      <c r="F11735">
        <v>20140815</v>
      </c>
      <c r="G11735" t="s">
        <v>1408</v>
      </c>
      <c r="H11735" t="s">
        <v>4938</v>
      </c>
      <c r="I11735" t="s">
        <v>12</v>
      </c>
    </row>
    <row r="11736" spans="1:9" x14ac:dyDescent="0.25">
      <c r="A11736">
        <v>20140821</v>
      </c>
      <c r="B11736" t="str">
        <f>"116905"</f>
        <v>116905</v>
      </c>
      <c r="C11736" t="str">
        <f>"12140"</f>
        <v>12140</v>
      </c>
      <c r="D11736" t="s">
        <v>406</v>
      </c>
      <c r="E11736">
        <v>207.2</v>
      </c>
      <c r="F11736">
        <v>20140819</v>
      </c>
      <c r="G11736" t="s">
        <v>404</v>
      </c>
      <c r="H11736" t="s">
        <v>408</v>
      </c>
      <c r="I11736" t="s">
        <v>12</v>
      </c>
    </row>
    <row r="11737" spans="1:9" x14ac:dyDescent="0.25">
      <c r="A11737">
        <v>20140821</v>
      </c>
      <c r="B11737" t="str">
        <f>"116905"</f>
        <v>116905</v>
      </c>
      <c r="C11737" t="str">
        <f>"12140"</f>
        <v>12140</v>
      </c>
      <c r="D11737" t="s">
        <v>406</v>
      </c>
      <c r="E11737">
        <v>657.8</v>
      </c>
      <c r="F11737">
        <v>20140819</v>
      </c>
      <c r="G11737" t="s">
        <v>4772</v>
      </c>
      <c r="H11737" t="s">
        <v>408</v>
      </c>
      <c r="I11737" t="s">
        <v>218</v>
      </c>
    </row>
    <row r="11738" spans="1:9" x14ac:dyDescent="0.25">
      <c r="A11738">
        <v>20140821</v>
      </c>
      <c r="B11738" t="str">
        <f>"116906"</f>
        <v>116906</v>
      </c>
      <c r="C11738" t="str">
        <f>"86533"</f>
        <v>86533</v>
      </c>
      <c r="D11738" t="s">
        <v>505</v>
      </c>
      <c r="E11738">
        <v>72.25</v>
      </c>
      <c r="F11738">
        <v>20140820</v>
      </c>
      <c r="G11738" t="s">
        <v>794</v>
      </c>
      <c r="H11738" t="s">
        <v>525</v>
      </c>
      <c r="I11738" t="s">
        <v>21</v>
      </c>
    </row>
    <row r="11739" spans="1:9" x14ac:dyDescent="0.25">
      <c r="A11739">
        <v>20140821</v>
      </c>
      <c r="B11739" t="str">
        <f>"116906"</f>
        <v>116906</v>
      </c>
      <c r="C11739" t="str">
        <f>"86533"</f>
        <v>86533</v>
      </c>
      <c r="D11739" t="s">
        <v>505</v>
      </c>
      <c r="E11739">
        <v>42.25</v>
      </c>
      <c r="F11739">
        <v>20140820</v>
      </c>
      <c r="G11739" t="s">
        <v>794</v>
      </c>
      <c r="H11739" t="s">
        <v>525</v>
      </c>
      <c r="I11739" t="s">
        <v>21</v>
      </c>
    </row>
    <row r="11740" spans="1:9" x14ac:dyDescent="0.25">
      <c r="A11740">
        <v>20140821</v>
      </c>
      <c r="B11740" t="str">
        <f>"116907"</f>
        <v>116907</v>
      </c>
      <c r="C11740" t="str">
        <f>"87916"</f>
        <v>87916</v>
      </c>
      <c r="D11740" t="s">
        <v>4939</v>
      </c>
      <c r="E11740">
        <v>217.29</v>
      </c>
      <c r="F11740">
        <v>20140815</v>
      </c>
      <c r="G11740" t="s">
        <v>837</v>
      </c>
      <c r="H11740" t="s">
        <v>4940</v>
      </c>
      <c r="I11740" t="s">
        <v>21</v>
      </c>
    </row>
    <row r="11741" spans="1:9" x14ac:dyDescent="0.25">
      <c r="A11741">
        <v>20140821</v>
      </c>
      <c r="B11741" t="str">
        <f>"116908"</f>
        <v>116908</v>
      </c>
      <c r="C11741" t="str">
        <f>"10075"</f>
        <v>10075</v>
      </c>
      <c r="D11741" t="s">
        <v>1199</v>
      </c>
      <c r="E11741" s="1">
        <v>2400</v>
      </c>
      <c r="F11741">
        <v>20140815</v>
      </c>
      <c r="G11741" t="s">
        <v>1200</v>
      </c>
      <c r="H11741" t="s">
        <v>414</v>
      </c>
      <c r="I11741" t="s">
        <v>61</v>
      </c>
    </row>
    <row r="11742" spans="1:9" x14ac:dyDescent="0.25">
      <c r="A11742">
        <v>20140821</v>
      </c>
      <c r="B11742" t="str">
        <f>"116908"</f>
        <v>116908</v>
      </c>
      <c r="C11742" t="str">
        <f>"10075"</f>
        <v>10075</v>
      </c>
      <c r="D11742" t="s">
        <v>1199</v>
      </c>
      <c r="E11742" s="1">
        <v>1287.5</v>
      </c>
      <c r="F11742">
        <v>20140815</v>
      </c>
      <c r="G11742" t="s">
        <v>1200</v>
      </c>
      <c r="H11742" t="s">
        <v>839</v>
      </c>
      <c r="I11742" t="s">
        <v>61</v>
      </c>
    </row>
    <row r="11743" spans="1:9" x14ac:dyDescent="0.25">
      <c r="A11743">
        <v>20140821</v>
      </c>
      <c r="B11743" t="str">
        <f>"116908"</f>
        <v>116908</v>
      </c>
      <c r="C11743" t="str">
        <f>"10075"</f>
        <v>10075</v>
      </c>
      <c r="D11743" t="s">
        <v>1199</v>
      </c>
      <c r="E11743">
        <v>975</v>
      </c>
      <c r="F11743">
        <v>20140820</v>
      </c>
      <c r="G11743" t="s">
        <v>1729</v>
      </c>
      <c r="H11743" t="s">
        <v>4941</v>
      </c>
      <c r="I11743" t="s">
        <v>61</v>
      </c>
    </row>
    <row r="11744" spans="1:9" x14ac:dyDescent="0.25">
      <c r="A11744">
        <v>20140821</v>
      </c>
      <c r="B11744" t="str">
        <f t="shared" ref="B11744:B11768" si="671">"116909"</f>
        <v>116909</v>
      </c>
      <c r="C11744" t="str">
        <f t="shared" ref="C11744:C11768" si="672">"83878"</f>
        <v>83878</v>
      </c>
      <c r="D11744" t="s">
        <v>1016</v>
      </c>
      <c r="E11744" s="1">
        <v>5244.94</v>
      </c>
      <c r="F11744">
        <v>20140820</v>
      </c>
      <c r="G11744" t="s">
        <v>1019</v>
      </c>
      <c r="H11744" t="s">
        <v>4726</v>
      </c>
      <c r="I11744" t="s">
        <v>131</v>
      </c>
    </row>
    <row r="11745" spans="1:9" x14ac:dyDescent="0.25">
      <c r="A11745">
        <v>20140821</v>
      </c>
      <c r="B11745" t="str">
        <f t="shared" si="671"/>
        <v>116909</v>
      </c>
      <c r="C11745" t="str">
        <f t="shared" si="672"/>
        <v>83878</v>
      </c>
      <c r="D11745" t="s">
        <v>1016</v>
      </c>
      <c r="E11745">
        <v>87.62</v>
      </c>
      <c r="F11745">
        <v>20140820</v>
      </c>
      <c r="G11745" t="s">
        <v>4942</v>
      </c>
      <c r="H11745" t="s">
        <v>4726</v>
      </c>
      <c r="I11745" t="s">
        <v>21</v>
      </c>
    </row>
    <row r="11746" spans="1:9" x14ac:dyDescent="0.25">
      <c r="A11746">
        <v>20140821</v>
      </c>
      <c r="B11746" t="str">
        <f t="shared" si="671"/>
        <v>116909</v>
      </c>
      <c r="C11746" t="str">
        <f t="shared" si="672"/>
        <v>83878</v>
      </c>
      <c r="D11746" t="s">
        <v>1016</v>
      </c>
      <c r="E11746">
        <v>553.72</v>
      </c>
      <c r="F11746">
        <v>20140820</v>
      </c>
      <c r="G11746" t="s">
        <v>3748</v>
      </c>
      <c r="H11746" t="s">
        <v>4726</v>
      </c>
      <c r="I11746" t="s">
        <v>21</v>
      </c>
    </row>
    <row r="11747" spans="1:9" x14ac:dyDescent="0.25">
      <c r="A11747">
        <v>20140821</v>
      </c>
      <c r="B11747" t="str">
        <f t="shared" si="671"/>
        <v>116909</v>
      </c>
      <c r="C11747" t="str">
        <f t="shared" si="672"/>
        <v>83878</v>
      </c>
      <c r="D11747" t="s">
        <v>1016</v>
      </c>
      <c r="E11747">
        <v>749.97</v>
      </c>
      <c r="F11747">
        <v>20140820</v>
      </c>
      <c r="G11747" t="s">
        <v>2441</v>
      </c>
      <c r="H11747" t="s">
        <v>4726</v>
      </c>
      <c r="I11747" t="s">
        <v>21</v>
      </c>
    </row>
    <row r="11748" spans="1:9" x14ac:dyDescent="0.25">
      <c r="A11748">
        <v>20140821</v>
      </c>
      <c r="B11748" t="str">
        <f t="shared" si="671"/>
        <v>116909</v>
      </c>
      <c r="C11748" t="str">
        <f t="shared" si="672"/>
        <v>83878</v>
      </c>
      <c r="D11748" t="s">
        <v>1016</v>
      </c>
      <c r="E11748">
        <v>417.24</v>
      </c>
      <c r="F11748">
        <v>20140820</v>
      </c>
      <c r="G11748" t="s">
        <v>1227</v>
      </c>
      <c r="H11748" t="s">
        <v>4726</v>
      </c>
      <c r="I11748" t="s">
        <v>21</v>
      </c>
    </row>
    <row r="11749" spans="1:9" x14ac:dyDescent="0.25">
      <c r="A11749">
        <v>20140821</v>
      </c>
      <c r="B11749" t="str">
        <f t="shared" si="671"/>
        <v>116909</v>
      </c>
      <c r="C11749" t="str">
        <f t="shared" si="672"/>
        <v>83878</v>
      </c>
      <c r="D11749" t="s">
        <v>1016</v>
      </c>
      <c r="E11749">
        <v>469.7</v>
      </c>
      <c r="F11749">
        <v>20140820</v>
      </c>
      <c r="G11749" t="s">
        <v>1329</v>
      </c>
      <c r="H11749" t="s">
        <v>4726</v>
      </c>
      <c r="I11749" t="s">
        <v>21</v>
      </c>
    </row>
    <row r="11750" spans="1:9" x14ac:dyDescent="0.25">
      <c r="A11750">
        <v>20140821</v>
      </c>
      <c r="B11750" t="str">
        <f t="shared" si="671"/>
        <v>116909</v>
      </c>
      <c r="C11750" t="str">
        <f t="shared" si="672"/>
        <v>83878</v>
      </c>
      <c r="D11750" t="s">
        <v>1016</v>
      </c>
      <c r="E11750">
        <v>92.22</v>
      </c>
      <c r="F11750">
        <v>20140820</v>
      </c>
      <c r="G11750" t="s">
        <v>496</v>
      </c>
      <c r="H11750" t="s">
        <v>4726</v>
      </c>
      <c r="I11750" t="s">
        <v>21</v>
      </c>
    </row>
    <row r="11751" spans="1:9" x14ac:dyDescent="0.25">
      <c r="A11751">
        <v>20140821</v>
      </c>
      <c r="B11751" t="str">
        <f t="shared" si="671"/>
        <v>116909</v>
      </c>
      <c r="C11751" t="str">
        <f t="shared" si="672"/>
        <v>83878</v>
      </c>
      <c r="D11751" t="s">
        <v>1016</v>
      </c>
      <c r="E11751">
        <v>844.71</v>
      </c>
      <c r="F11751">
        <v>20140820</v>
      </c>
      <c r="G11751" t="s">
        <v>585</v>
      </c>
      <c r="H11751" t="s">
        <v>4726</v>
      </c>
      <c r="I11751" t="s">
        <v>21</v>
      </c>
    </row>
    <row r="11752" spans="1:9" x14ac:dyDescent="0.25">
      <c r="A11752">
        <v>20140821</v>
      </c>
      <c r="B11752" t="str">
        <f t="shared" si="671"/>
        <v>116909</v>
      </c>
      <c r="C11752" t="str">
        <f t="shared" si="672"/>
        <v>83878</v>
      </c>
      <c r="D11752" t="s">
        <v>1016</v>
      </c>
      <c r="E11752">
        <v>248</v>
      </c>
      <c r="F11752">
        <v>20140820</v>
      </c>
      <c r="G11752" t="s">
        <v>137</v>
      </c>
      <c r="H11752" t="s">
        <v>4726</v>
      </c>
      <c r="I11752" t="s">
        <v>21</v>
      </c>
    </row>
    <row r="11753" spans="1:9" x14ac:dyDescent="0.25">
      <c r="A11753">
        <v>20140821</v>
      </c>
      <c r="B11753" t="str">
        <f t="shared" si="671"/>
        <v>116909</v>
      </c>
      <c r="C11753" t="str">
        <f t="shared" si="672"/>
        <v>83878</v>
      </c>
      <c r="D11753" t="s">
        <v>1016</v>
      </c>
      <c r="E11753">
        <v>817.68</v>
      </c>
      <c r="F11753">
        <v>20140820</v>
      </c>
      <c r="G11753" t="s">
        <v>837</v>
      </c>
      <c r="H11753" t="s">
        <v>4726</v>
      </c>
      <c r="I11753" t="s">
        <v>21</v>
      </c>
    </row>
    <row r="11754" spans="1:9" x14ac:dyDescent="0.25">
      <c r="A11754">
        <v>20140821</v>
      </c>
      <c r="B11754" t="str">
        <f t="shared" si="671"/>
        <v>116909</v>
      </c>
      <c r="C11754" t="str">
        <f t="shared" si="672"/>
        <v>83878</v>
      </c>
      <c r="D11754" t="s">
        <v>1016</v>
      </c>
      <c r="E11754">
        <v>273.92</v>
      </c>
      <c r="F11754">
        <v>20140820</v>
      </c>
      <c r="G11754" t="s">
        <v>364</v>
      </c>
      <c r="H11754" t="s">
        <v>4726</v>
      </c>
      <c r="I11754" t="s">
        <v>21</v>
      </c>
    </row>
    <row r="11755" spans="1:9" x14ac:dyDescent="0.25">
      <c r="A11755">
        <v>20140821</v>
      </c>
      <c r="B11755" t="str">
        <f t="shared" si="671"/>
        <v>116909</v>
      </c>
      <c r="C11755" t="str">
        <f t="shared" si="672"/>
        <v>83878</v>
      </c>
      <c r="D11755" t="s">
        <v>1016</v>
      </c>
      <c r="E11755">
        <v>256.12</v>
      </c>
      <c r="F11755">
        <v>20140820</v>
      </c>
      <c r="G11755" t="s">
        <v>367</v>
      </c>
      <c r="H11755" t="s">
        <v>4726</v>
      </c>
      <c r="I11755" t="s">
        <v>21</v>
      </c>
    </row>
    <row r="11756" spans="1:9" x14ac:dyDescent="0.25">
      <c r="A11756">
        <v>20140821</v>
      </c>
      <c r="B11756" t="str">
        <f t="shared" si="671"/>
        <v>116909</v>
      </c>
      <c r="C11756" t="str">
        <f t="shared" si="672"/>
        <v>83878</v>
      </c>
      <c r="D11756" t="s">
        <v>1016</v>
      </c>
      <c r="E11756">
        <v>53.88</v>
      </c>
      <c r="F11756">
        <v>20140820</v>
      </c>
      <c r="G11756" t="s">
        <v>704</v>
      </c>
      <c r="H11756" t="s">
        <v>4726</v>
      </c>
      <c r="I11756" t="s">
        <v>21</v>
      </c>
    </row>
    <row r="11757" spans="1:9" x14ac:dyDescent="0.25">
      <c r="A11757">
        <v>20140821</v>
      </c>
      <c r="B11757" t="str">
        <f t="shared" si="671"/>
        <v>116909</v>
      </c>
      <c r="C11757" t="str">
        <f t="shared" si="672"/>
        <v>83878</v>
      </c>
      <c r="D11757" t="s">
        <v>1016</v>
      </c>
      <c r="E11757">
        <v>202.7</v>
      </c>
      <c r="F11757">
        <v>20140820</v>
      </c>
      <c r="G11757" t="s">
        <v>99</v>
      </c>
      <c r="H11757" t="s">
        <v>4726</v>
      </c>
      <c r="I11757" t="s">
        <v>21</v>
      </c>
    </row>
    <row r="11758" spans="1:9" x14ac:dyDescent="0.25">
      <c r="A11758">
        <v>20140821</v>
      </c>
      <c r="B11758" t="str">
        <f t="shared" si="671"/>
        <v>116909</v>
      </c>
      <c r="C11758" t="str">
        <f t="shared" si="672"/>
        <v>83878</v>
      </c>
      <c r="D11758" t="s">
        <v>1016</v>
      </c>
      <c r="E11758">
        <v>94.38</v>
      </c>
      <c r="F11758">
        <v>20140820</v>
      </c>
      <c r="G11758" t="s">
        <v>1219</v>
      </c>
      <c r="H11758" t="s">
        <v>4726</v>
      </c>
      <c r="I11758" t="s">
        <v>21</v>
      </c>
    </row>
    <row r="11759" spans="1:9" x14ac:dyDescent="0.25">
      <c r="A11759">
        <v>20140821</v>
      </c>
      <c r="B11759" t="str">
        <f t="shared" si="671"/>
        <v>116909</v>
      </c>
      <c r="C11759" t="str">
        <f t="shared" si="672"/>
        <v>83878</v>
      </c>
      <c r="D11759" t="s">
        <v>1016</v>
      </c>
      <c r="E11759">
        <v>133.69999999999999</v>
      </c>
      <c r="F11759">
        <v>20140820</v>
      </c>
      <c r="G11759" t="s">
        <v>530</v>
      </c>
      <c r="H11759" t="s">
        <v>4726</v>
      </c>
      <c r="I11759" t="s">
        <v>21</v>
      </c>
    </row>
    <row r="11760" spans="1:9" x14ac:dyDescent="0.25">
      <c r="A11760">
        <v>20140821</v>
      </c>
      <c r="B11760" t="str">
        <f t="shared" si="671"/>
        <v>116909</v>
      </c>
      <c r="C11760" t="str">
        <f t="shared" si="672"/>
        <v>83878</v>
      </c>
      <c r="D11760" t="s">
        <v>1016</v>
      </c>
      <c r="E11760" s="1">
        <v>1040.3800000000001</v>
      </c>
      <c r="F11760">
        <v>20140820</v>
      </c>
      <c r="G11760" t="s">
        <v>2802</v>
      </c>
      <c r="H11760" t="s">
        <v>4726</v>
      </c>
      <c r="I11760" t="s">
        <v>21</v>
      </c>
    </row>
    <row r="11761" spans="1:9" x14ac:dyDescent="0.25">
      <c r="A11761">
        <v>20140821</v>
      </c>
      <c r="B11761" t="str">
        <f t="shared" si="671"/>
        <v>116909</v>
      </c>
      <c r="C11761" t="str">
        <f t="shared" si="672"/>
        <v>83878</v>
      </c>
      <c r="D11761" t="s">
        <v>1016</v>
      </c>
      <c r="E11761">
        <v>217.33</v>
      </c>
      <c r="F11761">
        <v>20140820</v>
      </c>
      <c r="G11761" t="s">
        <v>840</v>
      </c>
      <c r="H11761" t="s">
        <v>4726</v>
      </c>
      <c r="I11761" t="s">
        <v>21</v>
      </c>
    </row>
    <row r="11762" spans="1:9" x14ac:dyDescent="0.25">
      <c r="A11762">
        <v>20140821</v>
      </c>
      <c r="B11762" t="str">
        <f t="shared" si="671"/>
        <v>116909</v>
      </c>
      <c r="C11762" t="str">
        <f t="shared" si="672"/>
        <v>83878</v>
      </c>
      <c r="D11762" t="s">
        <v>1016</v>
      </c>
      <c r="E11762">
        <v>525</v>
      </c>
      <c r="F11762">
        <v>20140820</v>
      </c>
      <c r="G11762" t="s">
        <v>574</v>
      </c>
      <c r="H11762" t="s">
        <v>4726</v>
      </c>
      <c r="I11762" t="s">
        <v>21</v>
      </c>
    </row>
    <row r="11763" spans="1:9" x14ac:dyDescent="0.25">
      <c r="A11763">
        <v>20140821</v>
      </c>
      <c r="B11763" t="str">
        <f t="shared" si="671"/>
        <v>116909</v>
      </c>
      <c r="C11763" t="str">
        <f t="shared" si="672"/>
        <v>83878</v>
      </c>
      <c r="D11763" t="s">
        <v>1016</v>
      </c>
      <c r="E11763">
        <v>-242.44</v>
      </c>
      <c r="F11763">
        <v>20140821</v>
      </c>
      <c r="G11763" t="s">
        <v>1720</v>
      </c>
      <c r="H11763" t="s">
        <v>4726</v>
      </c>
      <c r="I11763" t="s">
        <v>21</v>
      </c>
    </row>
    <row r="11764" spans="1:9" x14ac:dyDescent="0.25">
      <c r="A11764">
        <v>20140821</v>
      </c>
      <c r="B11764" t="str">
        <f t="shared" si="671"/>
        <v>116909</v>
      </c>
      <c r="C11764" t="str">
        <f t="shared" si="672"/>
        <v>83878</v>
      </c>
      <c r="D11764" t="s">
        <v>1016</v>
      </c>
      <c r="E11764" s="1">
        <v>2018.83</v>
      </c>
      <c r="F11764">
        <v>20140820</v>
      </c>
      <c r="G11764" t="s">
        <v>3820</v>
      </c>
      <c r="H11764" t="s">
        <v>4726</v>
      </c>
      <c r="I11764" t="s">
        <v>21</v>
      </c>
    </row>
    <row r="11765" spans="1:9" x14ac:dyDescent="0.25">
      <c r="A11765">
        <v>20140821</v>
      </c>
      <c r="B11765" t="str">
        <f t="shared" si="671"/>
        <v>116909</v>
      </c>
      <c r="C11765" t="str">
        <f t="shared" si="672"/>
        <v>83878</v>
      </c>
      <c r="D11765" t="s">
        <v>1016</v>
      </c>
      <c r="E11765">
        <v>325</v>
      </c>
      <c r="F11765">
        <v>20140820</v>
      </c>
      <c r="G11765" t="s">
        <v>810</v>
      </c>
      <c r="H11765" t="s">
        <v>4726</v>
      </c>
      <c r="I11765" t="s">
        <v>66</v>
      </c>
    </row>
    <row r="11766" spans="1:9" x14ac:dyDescent="0.25">
      <c r="A11766">
        <v>20140821</v>
      </c>
      <c r="B11766" t="str">
        <f t="shared" si="671"/>
        <v>116909</v>
      </c>
      <c r="C11766" t="str">
        <f t="shared" si="672"/>
        <v>83878</v>
      </c>
      <c r="D11766" t="s">
        <v>1016</v>
      </c>
      <c r="E11766">
        <v>91.06</v>
      </c>
      <c r="F11766">
        <v>20140820</v>
      </c>
      <c r="G11766" t="s">
        <v>36</v>
      </c>
      <c r="H11766" t="s">
        <v>4726</v>
      </c>
      <c r="I11766" t="s">
        <v>38</v>
      </c>
    </row>
    <row r="11767" spans="1:9" x14ac:dyDescent="0.25">
      <c r="A11767">
        <v>20140821</v>
      </c>
      <c r="B11767" t="str">
        <f t="shared" si="671"/>
        <v>116909</v>
      </c>
      <c r="C11767" t="str">
        <f t="shared" si="672"/>
        <v>83878</v>
      </c>
      <c r="D11767" t="s">
        <v>1016</v>
      </c>
      <c r="E11767">
        <v>178.33</v>
      </c>
      <c r="F11767">
        <v>20140820</v>
      </c>
      <c r="G11767" t="s">
        <v>39</v>
      </c>
      <c r="H11767" t="s">
        <v>4726</v>
      </c>
      <c r="I11767" t="s">
        <v>38</v>
      </c>
    </row>
    <row r="11768" spans="1:9" x14ac:dyDescent="0.25">
      <c r="A11768">
        <v>20140821</v>
      </c>
      <c r="B11768" t="str">
        <f t="shared" si="671"/>
        <v>116909</v>
      </c>
      <c r="C11768" t="str">
        <f t="shared" si="672"/>
        <v>83878</v>
      </c>
      <c r="D11768" t="s">
        <v>1016</v>
      </c>
      <c r="E11768">
        <v>191.54</v>
      </c>
      <c r="F11768">
        <v>20140820</v>
      </c>
      <c r="G11768" t="s">
        <v>3122</v>
      </c>
      <c r="H11768" t="s">
        <v>4726</v>
      </c>
      <c r="I11768" t="s">
        <v>244</v>
      </c>
    </row>
    <row r="11769" spans="1:9" x14ac:dyDescent="0.25">
      <c r="A11769">
        <v>20140821</v>
      </c>
      <c r="B11769" t="str">
        <f>"116910"</f>
        <v>116910</v>
      </c>
      <c r="C11769" t="str">
        <f>"15955"</f>
        <v>15955</v>
      </c>
      <c r="D11769" t="s">
        <v>1204</v>
      </c>
      <c r="E11769">
        <v>673.76</v>
      </c>
      <c r="F11769">
        <v>20140815</v>
      </c>
      <c r="G11769" t="s">
        <v>448</v>
      </c>
      <c r="H11769" t="s">
        <v>839</v>
      </c>
      <c r="I11769" t="s">
        <v>21</v>
      </c>
    </row>
    <row r="11770" spans="1:9" x14ac:dyDescent="0.25">
      <c r="A11770">
        <v>20140821</v>
      </c>
      <c r="B11770" t="str">
        <f>"116911"</f>
        <v>116911</v>
      </c>
      <c r="C11770" t="str">
        <f>"87881"</f>
        <v>87881</v>
      </c>
      <c r="D11770" t="s">
        <v>4943</v>
      </c>
      <c r="E11770" s="1">
        <v>23562</v>
      </c>
      <c r="F11770">
        <v>20140820</v>
      </c>
      <c r="G11770" t="s">
        <v>202</v>
      </c>
      <c r="H11770" t="s">
        <v>4944</v>
      </c>
      <c r="I11770" t="s">
        <v>12</v>
      </c>
    </row>
    <row r="11771" spans="1:9" x14ac:dyDescent="0.25">
      <c r="A11771">
        <v>20140821</v>
      </c>
      <c r="B11771" t="str">
        <f>"116912"</f>
        <v>116912</v>
      </c>
      <c r="C11771" t="str">
        <f>"85759"</f>
        <v>85759</v>
      </c>
      <c r="D11771" t="s">
        <v>4409</v>
      </c>
      <c r="E11771" s="1">
        <v>3150</v>
      </c>
      <c r="F11771">
        <v>20140820</v>
      </c>
      <c r="G11771" t="s">
        <v>840</v>
      </c>
      <c r="H11771" t="s">
        <v>414</v>
      </c>
      <c r="I11771" t="s">
        <v>21</v>
      </c>
    </row>
    <row r="11772" spans="1:9" x14ac:dyDescent="0.25">
      <c r="A11772">
        <v>20140821</v>
      </c>
      <c r="B11772" t="str">
        <f>"116913"</f>
        <v>116913</v>
      </c>
      <c r="C11772" t="str">
        <f>"16998"</f>
        <v>16998</v>
      </c>
      <c r="D11772" t="s">
        <v>1372</v>
      </c>
      <c r="E11772">
        <v>19.3</v>
      </c>
      <c r="F11772">
        <v>20140820</v>
      </c>
      <c r="G11772" t="s">
        <v>621</v>
      </c>
      <c r="H11772" t="s">
        <v>4945</v>
      </c>
      <c r="I11772" t="s">
        <v>21</v>
      </c>
    </row>
    <row r="11773" spans="1:9" x14ac:dyDescent="0.25">
      <c r="A11773">
        <v>20140821</v>
      </c>
      <c r="B11773" t="str">
        <f>"116914"</f>
        <v>116914</v>
      </c>
      <c r="C11773" t="str">
        <f>"83876"</f>
        <v>83876</v>
      </c>
      <c r="D11773" t="s">
        <v>1211</v>
      </c>
      <c r="E11773">
        <v>55.89</v>
      </c>
      <c r="F11773">
        <v>20140814</v>
      </c>
      <c r="G11773" t="s">
        <v>473</v>
      </c>
      <c r="H11773" t="s">
        <v>414</v>
      </c>
      <c r="I11773" t="s">
        <v>21</v>
      </c>
    </row>
    <row r="11774" spans="1:9" x14ac:dyDescent="0.25">
      <c r="A11774">
        <v>20140821</v>
      </c>
      <c r="B11774" t="str">
        <f>"116914"</f>
        <v>116914</v>
      </c>
      <c r="C11774" t="str">
        <f>"83876"</f>
        <v>83876</v>
      </c>
      <c r="D11774" t="s">
        <v>1211</v>
      </c>
      <c r="E11774">
        <v>71.97</v>
      </c>
      <c r="F11774">
        <v>20140814</v>
      </c>
      <c r="G11774" t="s">
        <v>473</v>
      </c>
      <c r="H11774" t="s">
        <v>414</v>
      </c>
      <c r="I11774" t="s">
        <v>21</v>
      </c>
    </row>
    <row r="11775" spans="1:9" x14ac:dyDescent="0.25">
      <c r="A11775">
        <v>20140821</v>
      </c>
      <c r="B11775" t="str">
        <f>"116915"</f>
        <v>116915</v>
      </c>
      <c r="C11775" t="str">
        <f>"83326"</f>
        <v>83326</v>
      </c>
      <c r="D11775" t="s">
        <v>4946</v>
      </c>
      <c r="E11775">
        <v>922</v>
      </c>
      <c r="F11775">
        <v>20140819</v>
      </c>
      <c r="G11775" t="s">
        <v>202</v>
      </c>
      <c r="H11775" t="s">
        <v>4947</v>
      </c>
      <c r="I11775" t="s">
        <v>12</v>
      </c>
    </row>
    <row r="11776" spans="1:9" x14ac:dyDescent="0.25">
      <c r="A11776">
        <v>20140821</v>
      </c>
      <c r="B11776" t="str">
        <f>"116916"</f>
        <v>116916</v>
      </c>
      <c r="C11776" t="str">
        <f>"20000"</f>
        <v>20000</v>
      </c>
      <c r="D11776" t="s">
        <v>2634</v>
      </c>
      <c r="E11776">
        <v>14</v>
      </c>
      <c r="F11776">
        <v>20140814</v>
      </c>
      <c r="G11776" t="s">
        <v>289</v>
      </c>
      <c r="H11776" t="s">
        <v>4858</v>
      </c>
      <c r="I11776" t="s">
        <v>38</v>
      </c>
    </row>
    <row r="11777" spans="1:9" x14ac:dyDescent="0.25">
      <c r="A11777">
        <v>20140821</v>
      </c>
      <c r="B11777" t="str">
        <f>"116917"</f>
        <v>116917</v>
      </c>
      <c r="C11777" t="str">
        <f>"20000"</f>
        <v>20000</v>
      </c>
      <c r="D11777" t="s">
        <v>2634</v>
      </c>
      <c r="E11777">
        <v>169.03</v>
      </c>
      <c r="F11777">
        <v>20140818</v>
      </c>
      <c r="G11777" t="s">
        <v>41</v>
      </c>
      <c r="H11777" t="s">
        <v>4948</v>
      </c>
      <c r="I11777" t="s">
        <v>38</v>
      </c>
    </row>
    <row r="11778" spans="1:9" x14ac:dyDescent="0.25">
      <c r="A11778">
        <v>20140821</v>
      </c>
      <c r="B11778" t="str">
        <f>"116918"</f>
        <v>116918</v>
      </c>
      <c r="C11778" t="str">
        <f>"21325"</f>
        <v>21325</v>
      </c>
      <c r="D11778" t="s">
        <v>1216</v>
      </c>
      <c r="E11778">
        <v>454.73</v>
      </c>
      <c r="F11778">
        <v>20140820</v>
      </c>
      <c r="G11778" t="s">
        <v>855</v>
      </c>
      <c r="H11778" t="s">
        <v>4949</v>
      </c>
      <c r="I11778" t="s">
        <v>857</v>
      </c>
    </row>
    <row r="11779" spans="1:9" x14ac:dyDescent="0.25">
      <c r="A11779">
        <v>20140821</v>
      </c>
      <c r="B11779" t="str">
        <f>"116918"</f>
        <v>116918</v>
      </c>
      <c r="C11779" t="str">
        <f>"21325"</f>
        <v>21325</v>
      </c>
      <c r="D11779" t="s">
        <v>1216</v>
      </c>
      <c r="E11779">
        <v>744.97</v>
      </c>
      <c r="F11779">
        <v>20140820</v>
      </c>
      <c r="G11779" t="s">
        <v>585</v>
      </c>
      <c r="H11779" t="s">
        <v>4949</v>
      </c>
      <c r="I11779" t="s">
        <v>21</v>
      </c>
    </row>
    <row r="11780" spans="1:9" x14ac:dyDescent="0.25">
      <c r="A11780">
        <v>20140821</v>
      </c>
      <c r="B11780" t="str">
        <f>"116918"</f>
        <v>116918</v>
      </c>
      <c r="C11780" t="str">
        <f>"21325"</f>
        <v>21325</v>
      </c>
      <c r="D11780" t="s">
        <v>1216</v>
      </c>
      <c r="E11780">
        <v>48.99</v>
      </c>
      <c r="F11780">
        <v>20140815</v>
      </c>
      <c r="G11780" t="s">
        <v>1193</v>
      </c>
      <c r="H11780" t="s">
        <v>4950</v>
      </c>
      <c r="I11780" t="s">
        <v>25</v>
      </c>
    </row>
    <row r="11781" spans="1:9" x14ac:dyDescent="0.25">
      <c r="A11781">
        <v>20140821</v>
      </c>
      <c r="B11781" t="str">
        <f>"116919"</f>
        <v>116919</v>
      </c>
      <c r="C11781" t="str">
        <f>"11856"</f>
        <v>11856</v>
      </c>
      <c r="D11781" t="s">
        <v>801</v>
      </c>
      <c r="E11781">
        <v>200</v>
      </c>
      <c r="F11781">
        <v>20140818</v>
      </c>
      <c r="G11781" t="s">
        <v>271</v>
      </c>
      <c r="H11781" t="s">
        <v>802</v>
      </c>
      <c r="I11781" t="s">
        <v>25</v>
      </c>
    </row>
    <row r="11782" spans="1:9" x14ac:dyDescent="0.25">
      <c r="A11782">
        <v>20140821</v>
      </c>
      <c r="B11782" t="str">
        <f>"116920"</f>
        <v>116920</v>
      </c>
      <c r="C11782" t="str">
        <f>"21800"</f>
        <v>21800</v>
      </c>
      <c r="D11782" t="s">
        <v>4056</v>
      </c>
      <c r="E11782">
        <v>795</v>
      </c>
      <c r="F11782">
        <v>20140815</v>
      </c>
      <c r="G11782" t="s">
        <v>99</v>
      </c>
      <c r="H11782" t="s">
        <v>4951</v>
      </c>
      <c r="I11782" t="s">
        <v>21</v>
      </c>
    </row>
    <row r="11783" spans="1:9" x14ac:dyDescent="0.25">
      <c r="A11783">
        <v>20140821</v>
      </c>
      <c r="B11783" t="str">
        <f>"116921"</f>
        <v>116921</v>
      </c>
      <c r="C11783" t="str">
        <f>"81251"</f>
        <v>81251</v>
      </c>
      <c r="D11783" t="s">
        <v>1571</v>
      </c>
      <c r="E11783">
        <v>89.33</v>
      </c>
      <c r="F11783">
        <v>20140819</v>
      </c>
      <c r="G11783" t="s">
        <v>404</v>
      </c>
      <c r="H11783" t="s">
        <v>4518</v>
      </c>
      <c r="I11783" t="s">
        <v>12</v>
      </c>
    </row>
    <row r="11784" spans="1:9" x14ac:dyDescent="0.25">
      <c r="A11784">
        <v>20140821</v>
      </c>
      <c r="B11784" t="str">
        <f>"116921"</f>
        <v>116921</v>
      </c>
      <c r="C11784" t="str">
        <f>"81251"</f>
        <v>81251</v>
      </c>
      <c r="D11784" t="s">
        <v>1571</v>
      </c>
      <c r="E11784">
        <v>32</v>
      </c>
      <c r="F11784">
        <v>20140819</v>
      </c>
      <c r="G11784" t="s">
        <v>202</v>
      </c>
      <c r="H11784" t="s">
        <v>4952</v>
      </c>
      <c r="I11784" t="s">
        <v>12</v>
      </c>
    </row>
    <row r="11785" spans="1:9" x14ac:dyDescent="0.25">
      <c r="A11785">
        <v>20140821</v>
      </c>
      <c r="B11785" t="str">
        <f>"116921"</f>
        <v>116921</v>
      </c>
      <c r="C11785" t="str">
        <f>"81251"</f>
        <v>81251</v>
      </c>
      <c r="D11785" t="s">
        <v>1571</v>
      </c>
      <c r="E11785">
        <v>38.29</v>
      </c>
      <c r="F11785">
        <v>20140819</v>
      </c>
      <c r="G11785" t="s">
        <v>4772</v>
      </c>
      <c r="H11785" t="s">
        <v>4953</v>
      </c>
      <c r="I11785" t="s">
        <v>218</v>
      </c>
    </row>
    <row r="11786" spans="1:9" x14ac:dyDescent="0.25">
      <c r="A11786">
        <v>20140821</v>
      </c>
      <c r="B11786" t="str">
        <f>"116921"</f>
        <v>116921</v>
      </c>
      <c r="C11786" t="str">
        <f>"81251"</f>
        <v>81251</v>
      </c>
      <c r="D11786" t="s">
        <v>1571</v>
      </c>
      <c r="E11786">
        <v>2.31</v>
      </c>
      <c r="F11786">
        <v>20140819</v>
      </c>
      <c r="G11786" t="s">
        <v>4795</v>
      </c>
      <c r="H11786" t="s">
        <v>4954</v>
      </c>
      <c r="I11786" t="s">
        <v>218</v>
      </c>
    </row>
    <row r="11787" spans="1:9" x14ac:dyDescent="0.25">
      <c r="A11787">
        <v>20140821</v>
      </c>
      <c r="B11787" t="str">
        <f>"116922"</f>
        <v>116922</v>
      </c>
      <c r="C11787" t="str">
        <f>"22200"</f>
        <v>22200</v>
      </c>
      <c r="D11787" t="s">
        <v>519</v>
      </c>
      <c r="E11787">
        <v>64.87</v>
      </c>
      <c r="F11787">
        <v>20140819</v>
      </c>
      <c r="G11787" t="s">
        <v>202</v>
      </c>
      <c r="H11787" t="s">
        <v>1394</v>
      </c>
      <c r="I11787" t="s">
        <v>12</v>
      </c>
    </row>
    <row r="11788" spans="1:9" x14ac:dyDescent="0.25">
      <c r="A11788">
        <v>20140821</v>
      </c>
      <c r="B11788" t="str">
        <f>"116922"</f>
        <v>116922</v>
      </c>
      <c r="C11788" t="str">
        <f>"22200"</f>
        <v>22200</v>
      </c>
      <c r="D11788" t="s">
        <v>519</v>
      </c>
      <c r="E11788">
        <v>21.25</v>
      </c>
      <c r="F11788">
        <v>20140819</v>
      </c>
      <c r="G11788" t="s">
        <v>4779</v>
      </c>
      <c r="H11788" t="s">
        <v>1394</v>
      </c>
      <c r="I11788" t="s">
        <v>218</v>
      </c>
    </row>
    <row r="11789" spans="1:9" x14ac:dyDescent="0.25">
      <c r="A11789">
        <v>20140821</v>
      </c>
      <c r="B11789" t="str">
        <f>"116923"</f>
        <v>116923</v>
      </c>
      <c r="C11789" t="str">
        <f>"22200"</f>
        <v>22200</v>
      </c>
      <c r="D11789" t="s">
        <v>519</v>
      </c>
      <c r="E11789">
        <v>38.39</v>
      </c>
      <c r="F11789">
        <v>20140815</v>
      </c>
      <c r="G11789" t="s">
        <v>737</v>
      </c>
      <c r="H11789" t="s">
        <v>2640</v>
      </c>
      <c r="I11789" t="s">
        <v>21</v>
      </c>
    </row>
    <row r="11790" spans="1:9" x14ac:dyDescent="0.25">
      <c r="A11790">
        <v>20140821</v>
      </c>
      <c r="B11790" t="str">
        <f>"116924"</f>
        <v>116924</v>
      </c>
      <c r="C11790" t="str">
        <f>"22210"</f>
        <v>22210</v>
      </c>
      <c r="D11790" t="s">
        <v>4205</v>
      </c>
      <c r="E11790" s="1">
        <v>1679.27</v>
      </c>
      <c r="F11790">
        <v>20140819</v>
      </c>
      <c r="G11790" t="s">
        <v>367</v>
      </c>
      <c r="H11790" t="s">
        <v>4955</v>
      </c>
      <c r="I11790" t="s">
        <v>21</v>
      </c>
    </row>
    <row r="11791" spans="1:9" x14ac:dyDescent="0.25">
      <c r="A11791">
        <v>20140821</v>
      </c>
      <c r="B11791" t="str">
        <f>"116925"</f>
        <v>116925</v>
      </c>
      <c r="C11791" t="str">
        <f>"23185"</f>
        <v>23185</v>
      </c>
      <c r="D11791" t="s">
        <v>803</v>
      </c>
      <c r="E11791">
        <v>339.13</v>
      </c>
      <c r="F11791">
        <v>20140819</v>
      </c>
      <c r="G11791" t="s">
        <v>627</v>
      </c>
      <c r="H11791" t="s">
        <v>414</v>
      </c>
      <c r="I11791" t="s">
        <v>21</v>
      </c>
    </row>
    <row r="11792" spans="1:9" x14ac:dyDescent="0.25">
      <c r="A11792">
        <v>20140821</v>
      </c>
      <c r="B11792" t="str">
        <f>"116926"</f>
        <v>116926</v>
      </c>
      <c r="C11792" t="str">
        <f>"82014"</f>
        <v>82014</v>
      </c>
      <c r="D11792" t="s">
        <v>1574</v>
      </c>
      <c r="E11792">
        <v>432.5</v>
      </c>
      <c r="F11792">
        <v>20140820</v>
      </c>
      <c r="G11792" t="s">
        <v>496</v>
      </c>
      <c r="H11792" t="s">
        <v>414</v>
      </c>
      <c r="I11792" t="s">
        <v>21</v>
      </c>
    </row>
    <row r="11793" spans="1:9" x14ac:dyDescent="0.25">
      <c r="A11793">
        <v>20140821</v>
      </c>
      <c r="B11793" t="str">
        <f>"116927"</f>
        <v>116927</v>
      </c>
      <c r="C11793" t="str">
        <f>"87942"</f>
        <v>87942</v>
      </c>
      <c r="D11793" t="s">
        <v>4956</v>
      </c>
      <c r="E11793">
        <v>49.45</v>
      </c>
      <c r="F11793">
        <v>20140820</v>
      </c>
      <c r="G11793" t="s">
        <v>367</v>
      </c>
      <c r="H11793" t="s">
        <v>354</v>
      </c>
      <c r="I11793" t="s">
        <v>21</v>
      </c>
    </row>
    <row r="11794" spans="1:9" x14ac:dyDescent="0.25">
      <c r="A11794">
        <v>20140821</v>
      </c>
      <c r="B11794" t="str">
        <f t="shared" ref="B11794:B11803" si="673">"116928"</f>
        <v>116928</v>
      </c>
      <c r="C11794" t="str">
        <f t="shared" ref="C11794:C11803" si="674">"23827"</f>
        <v>23827</v>
      </c>
      <c r="D11794" t="s">
        <v>528</v>
      </c>
      <c r="E11794">
        <v>778.82</v>
      </c>
      <c r="F11794">
        <v>20140815</v>
      </c>
      <c r="G11794" t="s">
        <v>4331</v>
      </c>
      <c r="H11794" t="s">
        <v>839</v>
      </c>
      <c r="I11794" t="s">
        <v>38</v>
      </c>
    </row>
    <row r="11795" spans="1:9" x14ac:dyDescent="0.25">
      <c r="A11795">
        <v>20140821</v>
      </c>
      <c r="B11795" t="str">
        <f t="shared" si="673"/>
        <v>116928</v>
      </c>
      <c r="C11795" t="str">
        <f t="shared" si="674"/>
        <v>23827</v>
      </c>
      <c r="D11795" t="s">
        <v>528</v>
      </c>
      <c r="E11795">
        <v>798</v>
      </c>
      <c r="F11795">
        <v>20140815</v>
      </c>
      <c r="G11795" t="s">
        <v>214</v>
      </c>
      <c r="H11795" t="s">
        <v>3816</v>
      </c>
      <c r="I11795" t="s">
        <v>38</v>
      </c>
    </row>
    <row r="11796" spans="1:9" x14ac:dyDescent="0.25">
      <c r="A11796">
        <v>20140821</v>
      </c>
      <c r="B11796" t="str">
        <f t="shared" si="673"/>
        <v>116928</v>
      </c>
      <c r="C11796" t="str">
        <f t="shared" si="674"/>
        <v>23827</v>
      </c>
      <c r="D11796" t="s">
        <v>528</v>
      </c>
      <c r="E11796">
        <v>20.85</v>
      </c>
      <c r="F11796">
        <v>20140819</v>
      </c>
      <c r="G11796" t="s">
        <v>36</v>
      </c>
      <c r="H11796" t="s">
        <v>513</v>
      </c>
      <c r="I11796" t="s">
        <v>38</v>
      </c>
    </row>
    <row r="11797" spans="1:9" x14ac:dyDescent="0.25">
      <c r="A11797">
        <v>20140821</v>
      </c>
      <c r="B11797" t="str">
        <f t="shared" si="673"/>
        <v>116928</v>
      </c>
      <c r="C11797" t="str">
        <f t="shared" si="674"/>
        <v>23827</v>
      </c>
      <c r="D11797" t="s">
        <v>528</v>
      </c>
      <c r="E11797">
        <v>703.98</v>
      </c>
      <c r="F11797">
        <v>20140819</v>
      </c>
      <c r="G11797" t="s">
        <v>191</v>
      </c>
      <c r="H11797" t="s">
        <v>513</v>
      </c>
      <c r="I11797" t="s">
        <v>25</v>
      </c>
    </row>
    <row r="11798" spans="1:9" x14ac:dyDescent="0.25">
      <c r="A11798">
        <v>20140821</v>
      </c>
      <c r="B11798" t="str">
        <f t="shared" si="673"/>
        <v>116928</v>
      </c>
      <c r="C11798" t="str">
        <f t="shared" si="674"/>
        <v>23827</v>
      </c>
      <c r="D11798" t="s">
        <v>528</v>
      </c>
      <c r="E11798">
        <v>755.64</v>
      </c>
      <c r="F11798">
        <v>20140819</v>
      </c>
      <c r="G11798" t="s">
        <v>191</v>
      </c>
      <c r="H11798" t="s">
        <v>513</v>
      </c>
      <c r="I11798" t="s">
        <v>25</v>
      </c>
    </row>
    <row r="11799" spans="1:9" x14ac:dyDescent="0.25">
      <c r="A11799">
        <v>20140821</v>
      </c>
      <c r="B11799" t="str">
        <f t="shared" si="673"/>
        <v>116928</v>
      </c>
      <c r="C11799" t="str">
        <f t="shared" si="674"/>
        <v>23827</v>
      </c>
      <c r="D11799" t="s">
        <v>528</v>
      </c>
      <c r="E11799">
        <v>291.89999999999998</v>
      </c>
      <c r="F11799">
        <v>20140814</v>
      </c>
      <c r="G11799" t="s">
        <v>150</v>
      </c>
      <c r="H11799" t="s">
        <v>513</v>
      </c>
      <c r="I11799" t="s">
        <v>25</v>
      </c>
    </row>
    <row r="11800" spans="1:9" x14ac:dyDescent="0.25">
      <c r="A11800">
        <v>20140821</v>
      </c>
      <c r="B11800" t="str">
        <f t="shared" si="673"/>
        <v>116928</v>
      </c>
      <c r="C11800" t="str">
        <f t="shared" si="674"/>
        <v>23827</v>
      </c>
      <c r="D11800" t="s">
        <v>528</v>
      </c>
      <c r="E11800">
        <v>463.84</v>
      </c>
      <c r="F11800">
        <v>20140814</v>
      </c>
      <c r="G11800" t="s">
        <v>150</v>
      </c>
      <c r="H11800" t="s">
        <v>513</v>
      </c>
      <c r="I11800" t="s">
        <v>25</v>
      </c>
    </row>
    <row r="11801" spans="1:9" x14ac:dyDescent="0.25">
      <c r="A11801">
        <v>20140821</v>
      </c>
      <c r="B11801" t="str">
        <f t="shared" si="673"/>
        <v>116928</v>
      </c>
      <c r="C11801" t="str">
        <f t="shared" si="674"/>
        <v>23827</v>
      </c>
      <c r="D11801" t="s">
        <v>528</v>
      </c>
      <c r="E11801">
        <v>448</v>
      </c>
      <c r="F11801">
        <v>20140814</v>
      </c>
      <c r="G11801" t="s">
        <v>150</v>
      </c>
      <c r="H11801" t="s">
        <v>4957</v>
      </c>
      <c r="I11801" t="s">
        <v>25</v>
      </c>
    </row>
    <row r="11802" spans="1:9" x14ac:dyDescent="0.25">
      <c r="A11802">
        <v>20140821</v>
      </c>
      <c r="B11802" t="str">
        <f t="shared" si="673"/>
        <v>116928</v>
      </c>
      <c r="C11802" t="str">
        <f t="shared" si="674"/>
        <v>23827</v>
      </c>
      <c r="D11802" t="s">
        <v>528</v>
      </c>
      <c r="E11802">
        <v>456</v>
      </c>
      <c r="F11802">
        <v>20140814</v>
      </c>
      <c r="G11802" t="s">
        <v>150</v>
      </c>
      <c r="H11802" t="s">
        <v>4958</v>
      </c>
      <c r="I11802" t="s">
        <v>25</v>
      </c>
    </row>
    <row r="11803" spans="1:9" x14ac:dyDescent="0.25">
      <c r="A11803">
        <v>20140821</v>
      </c>
      <c r="B11803" t="str">
        <f t="shared" si="673"/>
        <v>116928</v>
      </c>
      <c r="C11803" t="str">
        <f t="shared" si="674"/>
        <v>23827</v>
      </c>
      <c r="D11803" t="s">
        <v>528</v>
      </c>
      <c r="E11803">
        <v>921.5</v>
      </c>
      <c r="F11803">
        <v>20140818</v>
      </c>
      <c r="G11803" t="s">
        <v>271</v>
      </c>
      <c r="H11803" t="s">
        <v>513</v>
      </c>
      <c r="I11803" t="s">
        <v>25</v>
      </c>
    </row>
    <row r="11804" spans="1:9" x14ac:dyDescent="0.25">
      <c r="A11804">
        <v>20140821</v>
      </c>
      <c r="B11804" t="str">
        <f>"116929"</f>
        <v>116929</v>
      </c>
      <c r="C11804" t="str">
        <f>"87899"</f>
        <v>87899</v>
      </c>
      <c r="D11804" t="s">
        <v>4959</v>
      </c>
      <c r="E11804">
        <v>120</v>
      </c>
      <c r="F11804">
        <v>20140815</v>
      </c>
      <c r="G11804" t="s">
        <v>1721</v>
      </c>
      <c r="H11804" t="s">
        <v>1054</v>
      </c>
      <c r="I11804" t="s">
        <v>21</v>
      </c>
    </row>
    <row r="11805" spans="1:9" x14ac:dyDescent="0.25">
      <c r="A11805">
        <v>20140821</v>
      </c>
      <c r="B11805" t="str">
        <f t="shared" ref="B11805:B11819" si="675">"116930"</f>
        <v>116930</v>
      </c>
      <c r="C11805" t="str">
        <f t="shared" ref="C11805:C11819" si="676">"87714"</f>
        <v>87714</v>
      </c>
      <c r="D11805" t="s">
        <v>3141</v>
      </c>
      <c r="E11805" s="1">
        <v>3496.39</v>
      </c>
      <c r="F11805">
        <v>20140815</v>
      </c>
      <c r="G11805" t="s">
        <v>717</v>
      </c>
      <c r="H11805" t="s">
        <v>488</v>
      </c>
      <c r="I11805" t="s">
        <v>21</v>
      </c>
    </row>
    <row r="11806" spans="1:9" x14ac:dyDescent="0.25">
      <c r="A11806">
        <v>20140821</v>
      </c>
      <c r="B11806" t="str">
        <f t="shared" si="675"/>
        <v>116930</v>
      </c>
      <c r="C11806" t="str">
        <f t="shared" si="676"/>
        <v>87714</v>
      </c>
      <c r="D11806" t="s">
        <v>3141</v>
      </c>
      <c r="E11806" s="1">
        <v>35352.39</v>
      </c>
      <c r="F11806">
        <v>20140815</v>
      </c>
      <c r="G11806" t="s">
        <v>718</v>
      </c>
      <c r="H11806" t="s">
        <v>488</v>
      </c>
      <c r="I11806" t="s">
        <v>21</v>
      </c>
    </row>
    <row r="11807" spans="1:9" x14ac:dyDescent="0.25">
      <c r="A11807">
        <v>20140821</v>
      </c>
      <c r="B11807" t="str">
        <f t="shared" si="675"/>
        <v>116930</v>
      </c>
      <c r="C11807" t="str">
        <f t="shared" si="676"/>
        <v>87714</v>
      </c>
      <c r="D11807" t="s">
        <v>3141</v>
      </c>
      <c r="E11807" s="1">
        <v>12709.47</v>
      </c>
      <c r="F11807">
        <v>20140815</v>
      </c>
      <c r="G11807" t="s">
        <v>719</v>
      </c>
      <c r="H11807" t="s">
        <v>488</v>
      </c>
      <c r="I11807" t="s">
        <v>21</v>
      </c>
    </row>
    <row r="11808" spans="1:9" x14ac:dyDescent="0.25">
      <c r="A11808">
        <v>20140821</v>
      </c>
      <c r="B11808" t="str">
        <f t="shared" si="675"/>
        <v>116930</v>
      </c>
      <c r="C11808" t="str">
        <f t="shared" si="676"/>
        <v>87714</v>
      </c>
      <c r="D11808" t="s">
        <v>3141</v>
      </c>
      <c r="E11808" s="1">
        <v>6605.68</v>
      </c>
      <c r="F11808">
        <v>20140815</v>
      </c>
      <c r="G11808" t="s">
        <v>720</v>
      </c>
      <c r="H11808" t="s">
        <v>488</v>
      </c>
      <c r="I11808" t="s">
        <v>21</v>
      </c>
    </row>
    <row r="11809" spans="1:9" x14ac:dyDescent="0.25">
      <c r="A11809">
        <v>20140821</v>
      </c>
      <c r="B11809" t="str">
        <f t="shared" si="675"/>
        <v>116930</v>
      </c>
      <c r="C11809" t="str">
        <f t="shared" si="676"/>
        <v>87714</v>
      </c>
      <c r="D11809" t="s">
        <v>3141</v>
      </c>
      <c r="E11809" s="1">
        <v>8620.68</v>
      </c>
      <c r="F11809">
        <v>20140815</v>
      </c>
      <c r="G11809" t="s">
        <v>721</v>
      </c>
      <c r="H11809" t="s">
        <v>488</v>
      </c>
      <c r="I11809" t="s">
        <v>21</v>
      </c>
    </row>
    <row r="11810" spans="1:9" x14ac:dyDescent="0.25">
      <c r="A11810">
        <v>20140821</v>
      </c>
      <c r="B11810" t="str">
        <f t="shared" si="675"/>
        <v>116930</v>
      </c>
      <c r="C11810" t="str">
        <f t="shared" si="676"/>
        <v>87714</v>
      </c>
      <c r="D11810" t="s">
        <v>3141</v>
      </c>
      <c r="E11810" s="1">
        <v>8384.1200000000008</v>
      </c>
      <c r="F11810">
        <v>20140815</v>
      </c>
      <c r="G11810" t="s">
        <v>722</v>
      </c>
      <c r="H11810" t="s">
        <v>488</v>
      </c>
      <c r="I11810" t="s">
        <v>21</v>
      </c>
    </row>
    <row r="11811" spans="1:9" x14ac:dyDescent="0.25">
      <c r="A11811">
        <v>20140821</v>
      </c>
      <c r="B11811" t="str">
        <f t="shared" si="675"/>
        <v>116930</v>
      </c>
      <c r="C11811" t="str">
        <f t="shared" si="676"/>
        <v>87714</v>
      </c>
      <c r="D11811" t="s">
        <v>3141</v>
      </c>
      <c r="E11811" s="1">
        <v>6827.44</v>
      </c>
      <c r="F11811">
        <v>20140815</v>
      </c>
      <c r="G11811" t="s">
        <v>723</v>
      </c>
      <c r="H11811" t="s">
        <v>488</v>
      </c>
      <c r="I11811" t="s">
        <v>21</v>
      </c>
    </row>
    <row r="11812" spans="1:9" x14ac:dyDescent="0.25">
      <c r="A11812">
        <v>20140821</v>
      </c>
      <c r="B11812" t="str">
        <f t="shared" si="675"/>
        <v>116930</v>
      </c>
      <c r="C11812" t="str">
        <f t="shared" si="676"/>
        <v>87714</v>
      </c>
      <c r="D11812" t="s">
        <v>3141</v>
      </c>
      <c r="E11812">
        <v>508.18</v>
      </c>
      <c r="F11812">
        <v>20140815</v>
      </c>
      <c r="G11812" t="s">
        <v>724</v>
      </c>
      <c r="H11812" t="s">
        <v>488</v>
      </c>
      <c r="I11812" t="s">
        <v>21</v>
      </c>
    </row>
    <row r="11813" spans="1:9" x14ac:dyDescent="0.25">
      <c r="A11813">
        <v>20140821</v>
      </c>
      <c r="B11813" t="str">
        <f t="shared" si="675"/>
        <v>116930</v>
      </c>
      <c r="C11813" t="str">
        <f t="shared" si="676"/>
        <v>87714</v>
      </c>
      <c r="D11813" t="s">
        <v>3141</v>
      </c>
      <c r="E11813" s="1">
        <v>8446.59</v>
      </c>
      <c r="F11813">
        <v>20140815</v>
      </c>
      <c r="G11813" t="s">
        <v>725</v>
      </c>
      <c r="H11813" t="s">
        <v>488</v>
      </c>
      <c r="I11813" t="s">
        <v>21</v>
      </c>
    </row>
    <row r="11814" spans="1:9" x14ac:dyDescent="0.25">
      <c r="A11814">
        <v>20140821</v>
      </c>
      <c r="B11814" t="str">
        <f t="shared" si="675"/>
        <v>116930</v>
      </c>
      <c r="C11814" t="str">
        <f t="shared" si="676"/>
        <v>87714</v>
      </c>
      <c r="D11814" t="s">
        <v>3141</v>
      </c>
      <c r="E11814" s="1">
        <v>1734.03</v>
      </c>
      <c r="F11814">
        <v>20140815</v>
      </c>
      <c r="G11814" t="s">
        <v>726</v>
      </c>
      <c r="H11814" t="s">
        <v>488</v>
      </c>
      <c r="I11814" t="s">
        <v>21</v>
      </c>
    </row>
    <row r="11815" spans="1:9" x14ac:dyDescent="0.25">
      <c r="A11815">
        <v>20140821</v>
      </c>
      <c r="B11815" t="str">
        <f t="shared" si="675"/>
        <v>116930</v>
      </c>
      <c r="C11815" t="str">
        <f t="shared" si="676"/>
        <v>87714</v>
      </c>
      <c r="D11815" t="s">
        <v>3141</v>
      </c>
      <c r="E11815" s="1">
        <v>4071.89</v>
      </c>
      <c r="F11815">
        <v>20140815</v>
      </c>
      <c r="G11815" t="s">
        <v>727</v>
      </c>
      <c r="H11815" t="s">
        <v>488</v>
      </c>
      <c r="I11815" t="s">
        <v>21</v>
      </c>
    </row>
    <row r="11816" spans="1:9" x14ac:dyDescent="0.25">
      <c r="A11816">
        <v>20140821</v>
      </c>
      <c r="B11816" t="str">
        <f t="shared" si="675"/>
        <v>116930</v>
      </c>
      <c r="C11816" t="str">
        <f t="shared" si="676"/>
        <v>87714</v>
      </c>
      <c r="D11816" t="s">
        <v>3141</v>
      </c>
      <c r="E11816" s="1">
        <v>2495.1999999999998</v>
      </c>
      <c r="F11816">
        <v>20140815</v>
      </c>
      <c r="G11816" t="s">
        <v>728</v>
      </c>
      <c r="H11816" t="s">
        <v>488</v>
      </c>
      <c r="I11816" t="s">
        <v>21</v>
      </c>
    </row>
    <row r="11817" spans="1:9" x14ac:dyDescent="0.25">
      <c r="A11817">
        <v>20140821</v>
      </c>
      <c r="B11817" t="str">
        <f t="shared" si="675"/>
        <v>116930</v>
      </c>
      <c r="C11817" t="str">
        <f t="shared" si="676"/>
        <v>87714</v>
      </c>
      <c r="D11817" t="s">
        <v>3141</v>
      </c>
      <c r="E11817" s="1">
        <v>4157.8900000000003</v>
      </c>
      <c r="F11817">
        <v>20140815</v>
      </c>
      <c r="G11817" t="s">
        <v>729</v>
      </c>
      <c r="H11817" t="s">
        <v>488</v>
      </c>
      <c r="I11817" t="s">
        <v>21</v>
      </c>
    </row>
    <row r="11818" spans="1:9" x14ac:dyDescent="0.25">
      <c r="A11818">
        <v>20140821</v>
      </c>
      <c r="B11818" t="str">
        <f t="shared" si="675"/>
        <v>116930</v>
      </c>
      <c r="C11818" t="str">
        <f t="shared" si="676"/>
        <v>87714</v>
      </c>
      <c r="D11818" t="s">
        <v>3141</v>
      </c>
      <c r="E11818">
        <v>94.27</v>
      </c>
      <c r="F11818">
        <v>20140815</v>
      </c>
      <c r="G11818" t="s">
        <v>643</v>
      </c>
      <c r="H11818" t="s">
        <v>488</v>
      </c>
      <c r="I11818" t="s">
        <v>21</v>
      </c>
    </row>
    <row r="11819" spans="1:9" x14ac:dyDescent="0.25">
      <c r="A11819">
        <v>20140821</v>
      </c>
      <c r="B11819" t="str">
        <f t="shared" si="675"/>
        <v>116930</v>
      </c>
      <c r="C11819" t="str">
        <f t="shared" si="676"/>
        <v>87714</v>
      </c>
      <c r="D11819" t="s">
        <v>3141</v>
      </c>
      <c r="E11819">
        <v>11.43</v>
      </c>
      <c r="F11819">
        <v>20140815</v>
      </c>
      <c r="G11819" t="s">
        <v>467</v>
      </c>
      <c r="H11819" t="s">
        <v>488</v>
      </c>
      <c r="I11819" t="s">
        <v>21</v>
      </c>
    </row>
    <row r="11820" spans="1:9" x14ac:dyDescent="0.25">
      <c r="A11820">
        <v>20140821</v>
      </c>
      <c r="B11820" t="str">
        <f>"116931"</f>
        <v>116931</v>
      </c>
      <c r="C11820" t="str">
        <f>"87501"</f>
        <v>87501</v>
      </c>
      <c r="D11820" t="s">
        <v>814</v>
      </c>
      <c r="E11820" s="1">
        <v>1407.96</v>
      </c>
      <c r="F11820">
        <v>20140815</v>
      </c>
      <c r="G11820" t="s">
        <v>48</v>
      </c>
      <c r="H11820" t="s">
        <v>4960</v>
      </c>
      <c r="I11820" t="s">
        <v>25</v>
      </c>
    </row>
    <row r="11821" spans="1:9" x14ac:dyDescent="0.25">
      <c r="A11821">
        <v>20140821</v>
      </c>
      <c r="B11821" t="str">
        <f>"116931"</f>
        <v>116931</v>
      </c>
      <c r="C11821" t="str">
        <f>"87501"</f>
        <v>87501</v>
      </c>
      <c r="D11821" t="s">
        <v>814</v>
      </c>
      <c r="E11821">
        <v>278.54000000000002</v>
      </c>
      <c r="F11821">
        <v>20140819</v>
      </c>
      <c r="G11821" t="s">
        <v>48</v>
      </c>
      <c r="H11821" t="s">
        <v>1043</v>
      </c>
      <c r="I11821" t="s">
        <v>25</v>
      </c>
    </row>
    <row r="11822" spans="1:9" x14ac:dyDescent="0.25">
      <c r="A11822">
        <v>20140821</v>
      </c>
      <c r="B11822" t="str">
        <f t="shared" ref="B11822:B11832" si="677">"116932"</f>
        <v>116932</v>
      </c>
      <c r="C11822" t="str">
        <f t="shared" ref="C11822:C11832" si="678">"25516"</f>
        <v>25516</v>
      </c>
      <c r="D11822" t="s">
        <v>529</v>
      </c>
      <c r="E11822">
        <v>154.18</v>
      </c>
      <c r="F11822">
        <v>20140819</v>
      </c>
      <c r="G11822" t="s">
        <v>413</v>
      </c>
      <c r="H11822" t="s">
        <v>414</v>
      </c>
      <c r="I11822" t="s">
        <v>21</v>
      </c>
    </row>
    <row r="11823" spans="1:9" x14ac:dyDescent="0.25">
      <c r="A11823">
        <v>20140821</v>
      </c>
      <c r="B11823" t="str">
        <f t="shared" si="677"/>
        <v>116932</v>
      </c>
      <c r="C11823" t="str">
        <f t="shared" si="678"/>
        <v>25516</v>
      </c>
      <c r="D11823" t="s">
        <v>529</v>
      </c>
      <c r="E11823" s="1">
        <v>3886.1</v>
      </c>
      <c r="F11823">
        <v>20140819</v>
      </c>
      <c r="G11823" t="s">
        <v>473</v>
      </c>
      <c r="H11823" t="s">
        <v>414</v>
      </c>
      <c r="I11823" t="s">
        <v>21</v>
      </c>
    </row>
    <row r="11824" spans="1:9" x14ac:dyDescent="0.25">
      <c r="A11824">
        <v>20140821</v>
      </c>
      <c r="B11824" t="str">
        <f t="shared" si="677"/>
        <v>116932</v>
      </c>
      <c r="C11824" t="str">
        <f t="shared" si="678"/>
        <v>25516</v>
      </c>
      <c r="D11824" t="s">
        <v>529</v>
      </c>
      <c r="E11824">
        <v>289.27999999999997</v>
      </c>
      <c r="F11824">
        <v>20140819</v>
      </c>
      <c r="G11824" t="s">
        <v>475</v>
      </c>
      <c r="H11824" t="s">
        <v>414</v>
      </c>
      <c r="I11824" t="s">
        <v>21</v>
      </c>
    </row>
    <row r="11825" spans="1:9" x14ac:dyDescent="0.25">
      <c r="A11825">
        <v>20140821</v>
      </c>
      <c r="B11825" t="str">
        <f t="shared" si="677"/>
        <v>116932</v>
      </c>
      <c r="C11825" t="str">
        <f t="shared" si="678"/>
        <v>25516</v>
      </c>
      <c r="D11825" t="s">
        <v>529</v>
      </c>
      <c r="E11825">
        <v>626.53</v>
      </c>
      <c r="F11825">
        <v>20140819</v>
      </c>
      <c r="G11825" t="s">
        <v>476</v>
      </c>
      <c r="H11825" t="s">
        <v>414</v>
      </c>
      <c r="I11825" t="s">
        <v>21</v>
      </c>
    </row>
    <row r="11826" spans="1:9" x14ac:dyDescent="0.25">
      <c r="A11826">
        <v>20140821</v>
      </c>
      <c r="B11826" t="str">
        <f t="shared" si="677"/>
        <v>116932</v>
      </c>
      <c r="C11826" t="str">
        <f t="shared" si="678"/>
        <v>25516</v>
      </c>
      <c r="D11826" t="s">
        <v>529</v>
      </c>
      <c r="E11826">
        <v>185</v>
      </c>
      <c r="F11826">
        <v>20140819</v>
      </c>
      <c r="G11826" t="s">
        <v>480</v>
      </c>
      <c r="H11826" t="s">
        <v>414</v>
      </c>
      <c r="I11826" t="s">
        <v>21</v>
      </c>
    </row>
    <row r="11827" spans="1:9" x14ac:dyDescent="0.25">
      <c r="A11827">
        <v>20140821</v>
      </c>
      <c r="B11827" t="str">
        <f t="shared" si="677"/>
        <v>116932</v>
      </c>
      <c r="C11827" t="str">
        <f t="shared" si="678"/>
        <v>25516</v>
      </c>
      <c r="D11827" t="s">
        <v>529</v>
      </c>
      <c r="E11827">
        <v>861.23</v>
      </c>
      <c r="F11827">
        <v>20140819</v>
      </c>
      <c r="G11827" t="s">
        <v>481</v>
      </c>
      <c r="H11827" t="s">
        <v>414</v>
      </c>
      <c r="I11827" t="s">
        <v>21</v>
      </c>
    </row>
    <row r="11828" spans="1:9" x14ac:dyDescent="0.25">
      <c r="A11828">
        <v>20140821</v>
      </c>
      <c r="B11828" t="str">
        <f t="shared" si="677"/>
        <v>116932</v>
      </c>
      <c r="C11828" t="str">
        <f t="shared" si="678"/>
        <v>25516</v>
      </c>
      <c r="D11828" t="s">
        <v>529</v>
      </c>
      <c r="E11828" s="1">
        <v>6153.26</v>
      </c>
      <c r="F11828">
        <v>20140819</v>
      </c>
      <c r="G11828" t="s">
        <v>482</v>
      </c>
      <c r="H11828" t="s">
        <v>414</v>
      </c>
      <c r="I11828" t="s">
        <v>21</v>
      </c>
    </row>
    <row r="11829" spans="1:9" x14ac:dyDescent="0.25">
      <c r="A11829">
        <v>20140821</v>
      </c>
      <c r="B11829" t="str">
        <f t="shared" si="677"/>
        <v>116932</v>
      </c>
      <c r="C11829" t="str">
        <f t="shared" si="678"/>
        <v>25516</v>
      </c>
      <c r="D11829" t="s">
        <v>529</v>
      </c>
      <c r="E11829">
        <v>568.6</v>
      </c>
      <c r="F11829">
        <v>20140819</v>
      </c>
      <c r="G11829" t="s">
        <v>483</v>
      </c>
      <c r="H11829" t="s">
        <v>414</v>
      </c>
      <c r="I11829" t="s">
        <v>21</v>
      </c>
    </row>
    <row r="11830" spans="1:9" x14ac:dyDescent="0.25">
      <c r="A11830">
        <v>20140821</v>
      </c>
      <c r="B11830" t="str">
        <f t="shared" si="677"/>
        <v>116932</v>
      </c>
      <c r="C11830" t="str">
        <f t="shared" si="678"/>
        <v>25516</v>
      </c>
      <c r="D11830" t="s">
        <v>529</v>
      </c>
      <c r="E11830" s="1">
        <v>1174.8399999999999</v>
      </c>
      <c r="F11830">
        <v>20140819</v>
      </c>
      <c r="G11830" t="s">
        <v>484</v>
      </c>
      <c r="H11830" t="s">
        <v>414</v>
      </c>
      <c r="I11830" t="s">
        <v>21</v>
      </c>
    </row>
    <row r="11831" spans="1:9" x14ac:dyDescent="0.25">
      <c r="A11831">
        <v>20140821</v>
      </c>
      <c r="B11831" t="str">
        <f t="shared" si="677"/>
        <v>116932</v>
      </c>
      <c r="C11831" t="str">
        <f t="shared" si="678"/>
        <v>25516</v>
      </c>
      <c r="D11831" t="s">
        <v>529</v>
      </c>
      <c r="E11831">
        <v>594.65</v>
      </c>
      <c r="F11831">
        <v>20140819</v>
      </c>
      <c r="G11831" t="s">
        <v>485</v>
      </c>
      <c r="H11831" t="s">
        <v>414</v>
      </c>
      <c r="I11831" t="s">
        <v>21</v>
      </c>
    </row>
    <row r="11832" spans="1:9" x14ac:dyDescent="0.25">
      <c r="A11832">
        <v>20140821</v>
      </c>
      <c r="B11832" t="str">
        <f t="shared" si="677"/>
        <v>116932</v>
      </c>
      <c r="C11832" t="str">
        <f t="shared" si="678"/>
        <v>25516</v>
      </c>
      <c r="D11832" t="s">
        <v>529</v>
      </c>
      <c r="E11832">
        <v>31.22</v>
      </c>
      <c r="F11832">
        <v>20140819</v>
      </c>
      <c r="G11832" t="s">
        <v>630</v>
      </c>
      <c r="H11832" t="s">
        <v>414</v>
      </c>
      <c r="I11832" t="s">
        <v>21</v>
      </c>
    </row>
    <row r="11833" spans="1:9" x14ac:dyDescent="0.25">
      <c r="A11833">
        <v>20140821</v>
      </c>
      <c r="B11833" t="str">
        <f>"116933"</f>
        <v>116933</v>
      </c>
      <c r="C11833" t="str">
        <f>"25680"</f>
        <v>25680</v>
      </c>
      <c r="D11833" t="s">
        <v>818</v>
      </c>
      <c r="E11833">
        <v>46</v>
      </c>
      <c r="F11833">
        <v>20140818</v>
      </c>
      <c r="G11833" t="s">
        <v>1052</v>
      </c>
      <c r="H11833" t="s">
        <v>820</v>
      </c>
      <c r="I11833" t="s">
        <v>25</v>
      </c>
    </row>
    <row r="11834" spans="1:9" x14ac:dyDescent="0.25">
      <c r="A11834">
        <v>20140821</v>
      </c>
      <c r="B11834" t="str">
        <f>"116933"</f>
        <v>116933</v>
      </c>
      <c r="C11834" t="str">
        <f>"25680"</f>
        <v>25680</v>
      </c>
      <c r="D11834" t="s">
        <v>818</v>
      </c>
      <c r="E11834">
        <v>21</v>
      </c>
      <c r="F11834">
        <v>20140818</v>
      </c>
      <c r="G11834" t="s">
        <v>271</v>
      </c>
      <c r="H11834" t="s">
        <v>1040</v>
      </c>
      <c r="I11834" t="s">
        <v>25</v>
      </c>
    </row>
    <row r="11835" spans="1:9" x14ac:dyDescent="0.25">
      <c r="A11835">
        <v>20140821</v>
      </c>
      <c r="B11835" t="str">
        <f>"116934"</f>
        <v>116934</v>
      </c>
      <c r="C11835" t="str">
        <f>"82740"</f>
        <v>82740</v>
      </c>
      <c r="D11835" t="s">
        <v>2502</v>
      </c>
      <c r="E11835">
        <v>50</v>
      </c>
      <c r="F11835">
        <v>20140820</v>
      </c>
      <c r="G11835" t="s">
        <v>3122</v>
      </c>
      <c r="H11835" t="s">
        <v>354</v>
      </c>
      <c r="I11835" t="s">
        <v>244</v>
      </c>
    </row>
    <row r="11836" spans="1:9" x14ac:dyDescent="0.25">
      <c r="A11836">
        <v>20140821</v>
      </c>
      <c r="B11836" t="str">
        <f>"116935"</f>
        <v>116935</v>
      </c>
      <c r="C11836" t="str">
        <f>"26990"</f>
        <v>26990</v>
      </c>
      <c r="D11836" t="s">
        <v>548</v>
      </c>
      <c r="E11836">
        <v>140</v>
      </c>
      <c r="F11836">
        <v>20140819</v>
      </c>
      <c r="G11836" t="s">
        <v>36</v>
      </c>
      <c r="H11836" t="s">
        <v>4961</v>
      </c>
      <c r="I11836" t="s">
        <v>38</v>
      </c>
    </row>
    <row r="11837" spans="1:9" x14ac:dyDescent="0.25">
      <c r="A11837">
        <v>20140821</v>
      </c>
      <c r="B11837" t="str">
        <f>"116936"</f>
        <v>116936</v>
      </c>
      <c r="C11837" t="str">
        <f>"26993"</f>
        <v>26993</v>
      </c>
      <c r="D11837" t="s">
        <v>548</v>
      </c>
      <c r="E11837" s="1">
        <v>1100</v>
      </c>
      <c r="F11837">
        <v>20140820</v>
      </c>
      <c r="G11837" t="s">
        <v>3471</v>
      </c>
      <c r="H11837" t="s">
        <v>1054</v>
      </c>
      <c r="I11837" t="s">
        <v>66</v>
      </c>
    </row>
    <row r="11838" spans="1:9" x14ac:dyDescent="0.25">
      <c r="A11838">
        <v>20140821</v>
      </c>
      <c r="B11838" t="str">
        <f>"116937"</f>
        <v>116937</v>
      </c>
      <c r="C11838" t="str">
        <f>"27981"</f>
        <v>27981</v>
      </c>
      <c r="D11838" t="s">
        <v>551</v>
      </c>
      <c r="E11838">
        <v>-86.95</v>
      </c>
      <c r="F11838">
        <v>20140821</v>
      </c>
      <c r="G11838" t="s">
        <v>498</v>
      </c>
      <c r="H11838" t="s">
        <v>499</v>
      </c>
      <c r="I11838" t="s">
        <v>21</v>
      </c>
    </row>
    <row r="11839" spans="1:9" x14ac:dyDescent="0.25">
      <c r="A11839">
        <v>20140821</v>
      </c>
      <c r="B11839" t="str">
        <f>"116937"</f>
        <v>116937</v>
      </c>
      <c r="C11839" t="str">
        <f>"27981"</f>
        <v>27981</v>
      </c>
      <c r="D11839" t="s">
        <v>551</v>
      </c>
      <c r="E11839">
        <v>203</v>
      </c>
      <c r="F11839">
        <v>20140820</v>
      </c>
      <c r="G11839" t="s">
        <v>415</v>
      </c>
      <c r="H11839" t="s">
        <v>414</v>
      </c>
      <c r="I11839" t="s">
        <v>21</v>
      </c>
    </row>
    <row r="11840" spans="1:9" x14ac:dyDescent="0.25">
      <c r="A11840">
        <v>20140821</v>
      </c>
      <c r="B11840" t="str">
        <f>"116937"</f>
        <v>116937</v>
      </c>
      <c r="C11840" t="str">
        <f>"27981"</f>
        <v>27981</v>
      </c>
      <c r="D11840" t="s">
        <v>551</v>
      </c>
      <c r="E11840">
        <v>14.76</v>
      </c>
      <c r="F11840">
        <v>20140820</v>
      </c>
      <c r="G11840" t="s">
        <v>415</v>
      </c>
      <c r="H11840" t="s">
        <v>414</v>
      </c>
      <c r="I11840" t="s">
        <v>21</v>
      </c>
    </row>
    <row r="11841" spans="1:9" x14ac:dyDescent="0.25">
      <c r="A11841">
        <v>20140821</v>
      </c>
      <c r="B11841" t="str">
        <f>"116937"</f>
        <v>116937</v>
      </c>
      <c r="C11841" t="str">
        <f>"27981"</f>
        <v>27981</v>
      </c>
      <c r="D11841" t="s">
        <v>551</v>
      </c>
      <c r="E11841">
        <v>98.4</v>
      </c>
      <c r="F11841">
        <v>20140820</v>
      </c>
      <c r="G11841" t="s">
        <v>628</v>
      </c>
      <c r="H11841" t="s">
        <v>414</v>
      </c>
      <c r="I11841" t="s">
        <v>21</v>
      </c>
    </row>
    <row r="11842" spans="1:9" x14ac:dyDescent="0.25">
      <c r="A11842">
        <v>20140821</v>
      </c>
      <c r="B11842" t="str">
        <f>"116937"</f>
        <v>116937</v>
      </c>
      <c r="C11842" t="str">
        <f>"27981"</f>
        <v>27981</v>
      </c>
      <c r="D11842" t="s">
        <v>551</v>
      </c>
      <c r="E11842">
        <v>197.17</v>
      </c>
      <c r="F11842">
        <v>20140820</v>
      </c>
      <c r="G11842" t="s">
        <v>628</v>
      </c>
      <c r="H11842" t="s">
        <v>414</v>
      </c>
      <c r="I11842" t="s">
        <v>21</v>
      </c>
    </row>
    <row r="11843" spans="1:9" x14ac:dyDescent="0.25">
      <c r="A11843">
        <v>20140821</v>
      </c>
      <c r="B11843" t="str">
        <f>"116938"</f>
        <v>116938</v>
      </c>
      <c r="C11843" t="str">
        <f>"81292"</f>
        <v>81292</v>
      </c>
      <c r="D11843" t="s">
        <v>1417</v>
      </c>
      <c r="E11843">
        <v>26.91</v>
      </c>
      <c r="F11843">
        <v>20140819</v>
      </c>
      <c r="G11843" t="s">
        <v>496</v>
      </c>
      <c r="H11843" t="s">
        <v>414</v>
      </c>
      <c r="I11843" t="s">
        <v>21</v>
      </c>
    </row>
    <row r="11844" spans="1:9" x14ac:dyDescent="0.25">
      <c r="A11844">
        <v>20140821</v>
      </c>
      <c r="B11844" t="str">
        <f>"116939"</f>
        <v>116939</v>
      </c>
      <c r="C11844" t="str">
        <f>"87935"</f>
        <v>87935</v>
      </c>
      <c r="D11844" t="s">
        <v>4962</v>
      </c>
      <c r="E11844" s="1">
        <v>5088</v>
      </c>
      <c r="F11844">
        <v>20140820</v>
      </c>
      <c r="G11844" t="s">
        <v>840</v>
      </c>
      <c r="H11844" t="s">
        <v>4963</v>
      </c>
      <c r="I11844" t="s">
        <v>21</v>
      </c>
    </row>
    <row r="11845" spans="1:9" x14ac:dyDescent="0.25">
      <c r="A11845">
        <v>20140821</v>
      </c>
      <c r="B11845" t="str">
        <f>"116940"</f>
        <v>116940</v>
      </c>
      <c r="C11845" t="str">
        <f>"87471"</f>
        <v>87471</v>
      </c>
      <c r="D11845" t="s">
        <v>1418</v>
      </c>
      <c r="E11845">
        <v>65</v>
      </c>
      <c r="F11845">
        <v>20140815</v>
      </c>
      <c r="G11845" t="s">
        <v>950</v>
      </c>
      <c r="H11845" t="s">
        <v>1355</v>
      </c>
      <c r="I11845" t="s">
        <v>21</v>
      </c>
    </row>
    <row r="11846" spans="1:9" x14ac:dyDescent="0.25">
      <c r="A11846">
        <v>20140821</v>
      </c>
      <c r="B11846" t="str">
        <f>"116940"</f>
        <v>116940</v>
      </c>
      <c r="C11846" t="str">
        <f>"87471"</f>
        <v>87471</v>
      </c>
      <c r="D11846" t="s">
        <v>1418</v>
      </c>
      <c r="E11846">
        <v>200</v>
      </c>
      <c r="F11846">
        <v>20140815</v>
      </c>
      <c r="G11846" t="s">
        <v>450</v>
      </c>
      <c r="H11846" t="s">
        <v>1355</v>
      </c>
      <c r="I11846" t="s">
        <v>21</v>
      </c>
    </row>
    <row r="11847" spans="1:9" x14ac:dyDescent="0.25">
      <c r="A11847">
        <v>20140821</v>
      </c>
      <c r="B11847" t="str">
        <f>"116941"</f>
        <v>116941</v>
      </c>
      <c r="C11847" t="str">
        <f>"30000"</f>
        <v>30000</v>
      </c>
      <c r="D11847" t="s">
        <v>556</v>
      </c>
      <c r="E11847">
        <v>240</v>
      </c>
      <c r="F11847">
        <v>20140815</v>
      </c>
      <c r="G11847" t="s">
        <v>583</v>
      </c>
      <c r="H11847" t="s">
        <v>4964</v>
      </c>
      <c r="I11847" t="s">
        <v>21</v>
      </c>
    </row>
    <row r="11848" spans="1:9" x14ac:dyDescent="0.25">
      <c r="A11848">
        <v>20140821</v>
      </c>
      <c r="B11848" t="str">
        <f>"116941"</f>
        <v>116941</v>
      </c>
      <c r="C11848" t="str">
        <f>"30000"</f>
        <v>30000</v>
      </c>
      <c r="D11848" t="s">
        <v>556</v>
      </c>
      <c r="E11848">
        <v>184.3</v>
      </c>
      <c r="F11848">
        <v>20140815</v>
      </c>
      <c r="G11848" t="s">
        <v>1024</v>
      </c>
      <c r="H11848" t="s">
        <v>839</v>
      </c>
      <c r="I11848" t="s">
        <v>21</v>
      </c>
    </row>
    <row r="11849" spans="1:9" x14ac:dyDescent="0.25">
      <c r="A11849">
        <v>20140821</v>
      </c>
      <c r="B11849" t="str">
        <f>"116941"</f>
        <v>116941</v>
      </c>
      <c r="C11849" t="str">
        <f>"30000"</f>
        <v>30000</v>
      </c>
      <c r="D11849" t="s">
        <v>556</v>
      </c>
      <c r="E11849">
        <v>384.42</v>
      </c>
      <c r="F11849">
        <v>20140820</v>
      </c>
      <c r="G11849" t="s">
        <v>840</v>
      </c>
      <c r="H11849" t="s">
        <v>414</v>
      </c>
      <c r="I11849" t="s">
        <v>21</v>
      </c>
    </row>
    <row r="11850" spans="1:9" x14ac:dyDescent="0.25">
      <c r="A11850">
        <v>20140821</v>
      </c>
      <c r="B11850" t="str">
        <f>"116942"</f>
        <v>116942</v>
      </c>
      <c r="C11850" t="str">
        <f>"84290"</f>
        <v>84290</v>
      </c>
      <c r="D11850" t="s">
        <v>4965</v>
      </c>
      <c r="E11850" s="1">
        <v>2491.4</v>
      </c>
      <c r="F11850">
        <v>20140820</v>
      </c>
      <c r="G11850" t="s">
        <v>184</v>
      </c>
      <c r="H11850" t="s">
        <v>414</v>
      </c>
      <c r="I11850" t="s">
        <v>25</v>
      </c>
    </row>
    <row r="11851" spans="1:9" x14ac:dyDescent="0.25">
      <c r="A11851">
        <v>20140821</v>
      </c>
      <c r="B11851" t="str">
        <f t="shared" ref="B11851:B11866" si="679">"116943"</f>
        <v>116943</v>
      </c>
      <c r="C11851" t="str">
        <f t="shared" ref="C11851:C11866" si="680">"31570"</f>
        <v>31570</v>
      </c>
      <c r="D11851" t="s">
        <v>1244</v>
      </c>
      <c r="E11851">
        <v>316.67</v>
      </c>
      <c r="F11851">
        <v>20140815</v>
      </c>
      <c r="G11851" t="s">
        <v>496</v>
      </c>
      <c r="H11851" t="s">
        <v>414</v>
      </c>
      <c r="I11851" t="s">
        <v>21</v>
      </c>
    </row>
    <row r="11852" spans="1:9" x14ac:dyDescent="0.25">
      <c r="A11852">
        <v>20140821</v>
      </c>
      <c r="B11852" t="str">
        <f t="shared" si="679"/>
        <v>116943</v>
      </c>
      <c r="C11852" t="str">
        <f t="shared" si="680"/>
        <v>31570</v>
      </c>
      <c r="D11852" t="s">
        <v>1244</v>
      </c>
      <c r="E11852">
        <v>261.47000000000003</v>
      </c>
      <c r="F11852">
        <v>20140815</v>
      </c>
      <c r="G11852" t="s">
        <v>413</v>
      </c>
      <c r="H11852" t="s">
        <v>414</v>
      </c>
      <c r="I11852" t="s">
        <v>21</v>
      </c>
    </row>
    <row r="11853" spans="1:9" x14ac:dyDescent="0.25">
      <c r="A11853">
        <v>20140821</v>
      </c>
      <c r="B11853" t="str">
        <f t="shared" si="679"/>
        <v>116943</v>
      </c>
      <c r="C11853" t="str">
        <f t="shared" si="680"/>
        <v>31570</v>
      </c>
      <c r="D11853" t="s">
        <v>1244</v>
      </c>
      <c r="E11853">
        <v>4.9400000000000004</v>
      </c>
      <c r="F11853">
        <v>20140815</v>
      </c>
      <c r="G11853" t="s">
        <v>475</v>
      </c>
      <c r="H11853" t="s">
        <v>414</v>
      </c>
      <c r="I11853" t="s">
        <v>21</v>
      </c>
    </row>
    <row r="11854" spans="1:9" x14ac:dyDescent="0.25">
      <c r="A11854">
        <v>20140821</v>
      </c>
      <c r="B11854" t="str">
        <f t="shared" si="679"/>
        <v>116943</v>
      </c>
      <c r="C11854" t="str">
        <f t="shared" si="680"/>
        <v>31570</v>
      </c>
      <c r="D11854" t="s">
        <v>1244</v>
      </c>
      <c r="E11854">
        <v>142.94</v>
      </c>
      <c r="F11854">
        <v>20140815</v>
      </c>
      <c r="G11854" t="s">
        <v>482</v>
      </c>
      <c r="H11854" t="s">
        <v>414</v>
      </c>
      <c r="I11854" t="s">
        <v>21</v>
      </c>
    </row>
    <row r="11855" spans="1:9" x14ac:dyDescent="0.25">
      <c r="A11855">
        <v>20140821</v>
      </c>
      <c r="B11855" t="str">
        <f t="shared" si="679"/>
        <v>116943</v>
      </c>
      <c r="C11855" t="str">
        <f t="shared" si="680"/>
        <v>31570</v>
      </c>
      <c r="D11855" t="s">
        <v>1244</v>
      </c>
      <c r="E11855">
        <v>582.67999999999995</v>
      </c>
      <c r="F11855">
        <v>20140815</v>
      </c>
      <c r="G11855" t="s">
        <v>415</v>
      </c>
      <c r="H11855" t="s">
        <v>414</v>
      </c>
      <c r="I11855" t="s">
        <v>21</v>
      </c>
    </row>
    <row r="11856" spans="1:9" x14ac:dyDescent="0.25">
      <c r="A11856">
        <v>20140821</v>
      </c>
      <c r="B11856" t="str">
        <f t="shared" si="679"/>
        <v>116943</v>
      </c>
      <c r="C11856" t="str">
        <f t="shared" si="680"/>
        <v>31570</v>
      </c>
      <c r="D11856" t="s">
        <v>1244</v>
      </c>
      <c r="E11856" s="1">
        <v>1645.32</v>
      </c>
      <c r="F11856">
        <v>20140815</v>
      </c>
      <c r="G11856" t="s">
        <v>627</v>
      </c>
      <c r="H11856" t="s">
        <v>414</v>
      </c>
      <c r="I11856" t="s">
        <v>21</v>
      </c>
    </row>
    <row r="11857" spans="1:9" x14ac:dyDescent="0.25">
      <c r="A11857">
        <v>20140821</v>
      </c>
      <c r="B11857" t="str">
        <f t="shared" si="679"/>
        <v>116943</v>
      </c>
      <c r="C11857" t="str">
        <f t="shared" si="680"/>
        <v>31570</v>
      </c>
      <c r="D11857" t="s">
        <v>1244</v>
      </c>
      <c r="E11857">
        <v>77.88</v>
      </c>
      <c r="F11857">
        <v>20140815</v>
      </c>
      <c r="G11857" t="s">
        <v>1222</v>
      </c>
      <c r="H11857" t="s">
        <v>414</v>
      </c>
      <c r="I11857" t="s">
        <v>21</v>
      </c>
    </row>
    <row r="11858" spans="1:9" x14ac:dyDescent="0.25">
      <c r="A11858">
        <v>20140821</v>
      </c>
      <c r="B11858" t="str">
        <f t="shared" si="679"/>
        <v>116943</v>
      </c>
      <c r="C11858" t="str">
        <f t="shared" si="680"/>
        <v>31570</v>
      </c>
      <c r="D11858" t="s">
        <v>1244</v>
      </c>
      <c r="E11858">
        <v>242.01</v>
      </c>
      <c r="F11858">
        <v>20140815</v>
      </c>
      <c r="G11858" t="s">
        <v>628</v>
      </c>
      <c r="H11858" t="s">
        <v>414</v>
      </c>
      <c r="I11858" t="s">
        <v>21</v>
      </c>
    </row>
    <row r="11859" spans="1:9" x14ac:dyDescent="0.25">
      <c r="A11859">
        <v>20140821</v>
      </c>
      <c r="B11859" t="str">
        <f t="shared" si="679"/>
        <v>116943</v>
      </c>
      <c r="C11859" t="str">
        <f t="shared" si="680"/>
        <v>31570</v>
      </c>
      <c r="D11859" t="s">
        <v>1244</v>
      </c>
      <c r="E11859">
        <v>6.74</v>
      </c>
      <c r="F11859">
        <v>20140815</v>
      </c>
      <c r="G11859" t="s">
        <v>630</v>
      </c>
      <c r="H11859" t="s">
        <v>414</v>
      </c>
      <c r="I11859" t="s">
        <v>21</v>
      </c>
    </row>
    <row r="11860" spans="1:9" x14ac:dyDescent="0.25">
      <c r="A11860">
        <v>20140821</v>
      </c>
      <c r="B11860" t="str">
        <f t="shared" si="679"/>
        <v>116943</v>
      </c>
      <c r="C11860" t="str">
        <f t="shared" si="680"/>
        <v>31570</v>
      </c>
      <c r="D11860" t="s">
        <v>1244</v>
      </c>
      <c r="E11860">
        <v>47.2</v>
      </c>
      <c r="F11860">
        <v>20140815</v>
      </c>
      <c r="G11860" t="s">
        <v>530</v>
      </c>
      <c r="H11860" t="s">
        <v>414</v>
      </c>
      <c r="I11860" t="s">
        <v>21</v>
      </c>
    </row>
    <row r="11861" spans="1:9" x14ac:dyDescent="0.25">
      <c r="A11861">
        <v>20140821</v>
      </c>
      <c r="B11861" t="str">
        <f t="shared" si="679"/>
        <v>116943</v>
      </c>
      <c r="C11861" t="str">
        <f t="shared" si="680"/>
        <v>31570</v>
      </c>
      <c r="D11861" t="s">
        <v>1244</v>
      </c>
      <c r="E11861">
        <v>510.45</v>
      </c>
      <c r="F11861">
        <v>20140815</v>
      </c>
      <c r="G11861" t="s">
        <v>631</v>
      </c>
      <c r="H11861" t="s">
        <v>414</v>
      </c>
      <c r="I11861" t="s">
        <v>21</v>
      </c>
    </row>
    <row r="11862" spans="1:9" x14ac:dyDescent="0.25">
      <c r="A11862">
        <v>20140821</v>
      </c>
      <c r="B11862" t="str">
        <f t="shared" si="679"/>
        <v>116943</v>
      </c>
      <c r="C11862" t="str">
        <f t="shared" si="680"/>
        <v>31570</v>
      </c>
      <c r="D11862" t="s">
        <v>1244</v>
      </c>
      <c r="E11862">
        <v>578.95000000000005</v>
      </c>
      <c r="F11862">
        <v>20140815</v>
      </c>
      <c r="G11862" t="s">
        <v>392</v>
      </c>
      <c r="H11862" t="s">
        <v>414</v>
      </c>
      <c r="I11862" t="s">
        <v>21</v>
      </c>
    </row>
    <row r="11863" spans="1:9" x14ac:dyDescent="0.25">
      <c r="A11863">
        <v>20140821</v>
      </c>
      <c r="B11863" t="str">
        <f t="shared" si="679"/>
        <v>116943</v>
      </c>
      <c r="C11863" t="str">
        <f t="shared" si="680"/>
        <v>31570</v>
      </c>
      <c r="D11863" t="s">
        <v>1244</v>
      </c>
      <c r="E11863">
        <v>1.7</v>
      </c>
      <c r="F11863">
        <v>20140815</v>
      </c>
      <c r="G11863" t="s">
        <v>531</v>
      </c>
      <c r="H11863" t="s">
        <v>414</v>
      </c>
      <c r="I11863" t="s">
        <v>21</v>
      </c>
    </row>
    <row r="11864" spans="1:9" x14ac:dyDescent="0.25">
      <c r="A11864">
        <v>20140821</v>
      </c>
      <c r="B11864" t="str">
        <f t="shared" si="679"/>
        <v>116943</v>
      </c>
      <c r="C11864" t="str">
        <f t="shared" si="680"/>
        <v>31570</v>
      </c>
      <c r="D11864" t="s">
        <v>1244</v>
      </c>
      <c r="E11864">
        <v>870</v>
      </c>
      <c r="F11864">
        <v>20140815</v>
      </c>
      <c r="G11864" t="s">
        <v>1245</v>
      </c>
      <c r="H11864" t="s">
        <v>414</v>
      </c>
      <c r="I11864" t="s">
        <v>21</v>
      </c>
    </row>
    <row r="11865" spans="1:9" x14ac:dyDescent="0.25">
      <c r="A11865">
        <v>20140821</v>
      </c>
      <c r="B11865" t="str">
        <f t="shared" si="679"/>
        <v>116943</v>
      </c>
      <c r="C11865" t="str">
        <f t="shared" si="680"/>
        <v>31570</v>
      </c>
      <c r="D11865" t="s">
        <v>1244</v>
      </c>
      <c r="E11865">
        <v>259.32</v>
      </c>
      <c r="F11865">
        <v>20140815</v>
      </c>
      <c r="G11865" t="s">
        <v>417</v>
      </c>
      <c r="H11865" t="s">
        <v>414</v>
      </c>
      <c r="I11865" t="s">
        <v>21</v>
      </c>
    </row>
    <row r="11866" spans="1:9" x14ac:dyDescent="0.25">
      <c r="A11866">
        <v>20140821</v>
      </c>
      <c r="B11866" t="str">
        <f t="shared" si="679"/>
        <v>116943</v>
      </c>
      <c r="C11866" t="str">
        <f t="shared" si="680"/>
        <v>31570</v>
      </c>
      <c r="D11866" t="s">
        <v>1244</v>
      </c>
      <c r="E11866">
        <v>772.42</v>
      </c>
      <c r="F11866">
        <v>20140815</v>
      </c>
      <c r="G11866" t="s">
        <v>3820</v>
      </c>
      <c r="H11866" t="s">
        <v>414</v>
      </c>
      <c r="I11866" t="s">
        <v>21</v>
      </c>
    </row>
    <row r="11867" spans="1:9" x14ac:dyDescent="0.25">
      <c r="A11867">
        <v>20140821</v>
      </c>
      <c r="B11867" t="str">
        <f>"116944"</f>
        <v>116944</v>
      </c>
      <c r="C11867" t="str">
        <f>"87380"</f>
        <v>87380</v>
      </c>
      <c r="D11867" t="s">
        <v>355</v>
      </c>
      <c r="E11867">
        <v>250</v>
      </c>
      <c r="F11867">
        <v>20140818</v>
      </c>
      <c r="G11867" t="s">
        <v>271</v>
      </c>
      <c r="H11867" t="s">
        <v>357</v>
      </c>
      <c r="I11867" t="s">
        <v>25</v>
      </c>
    </row>
    <row r="11868" spans="1:9" x14ac:dyDescent="0.25">
      <c r="A11868">
        <v>20140821</v>
      </c>
      <c r="B11868" t="str">
        <f>"116945"</f>
        <v>116945</v>
      </c>
      <c r="C11868" t="str">
        <f>"87475"</f>
        <v>87475</v>
      </c>
      <c r="D11868" t="s">
        <v>359</v>
      </c>
      <c r="E11868">
        <v>95</v>
      </c>
      <c r="F11868">
        <v>20140820</v>
      </c>
      <c r="G11868" t="s">
        <v>356</v>
      </c>
      <c r="H11868" t="s">
        <v>357</v>
      </c>
      <c r="I11868" t="s">
        <v>61</v>
      </c>
    </row>
    <row r="11869" spans="1:9" x14ac:dyDescent="0.25">
      <c r="A11869">
        <v>20140821</v>
      </c>
      <c r="B11869" t="str">
        <f>"116946"</f>
        <v>116946</v>
      </c>
      <c r="C11869" t="str">
        <f>"32675"</f>
        <v>32675</v>
      </c>
      <c r="D11869" t="s">
        <v>2194</v>
      </c>
      <c r="E11869">
        <v>324.17</v>
      </c>
      <c r="F11869">
        <v>20140819</v>
      </c>
      <c r="G11869" t="s">
        <v>627</v>
      </c>
      <c r="H11869" t="s">
        <v>414</v>
      </c>
      <c r="I11869" t="s">
        <v>21</v>
      </c>
    </row>
    <row r="11870" spans="1:9" x14ac:dyDescent="0.25">
      <c r="A11870">
        <v>20140821</v>
      </c>
      <c r="B11870" t="str">
        <f>"116947"</f>
        <v>116947</v>
      </c>
      <c r="C11870" t="str">
        <f>"84980"</f>
        <v>84980</v>
      </c>
      <c r="D11870" t="s">
        <v>591</v>
      </c>
      <c r="E11870">
        <v>28</v>
      </c>
      <c r="F11870">
        <v>20140815</v>
      </c>
      <c r="G11870" t="s">
        <v>1071</v>
      </c>
      <c r="H11870" t="s">
        <v>3037</v>
      </c>
      <c r="I11870" t="s">
        <v>21</v>
      </c>
    </row>
    <row r="11871" spans="1:9" x14ac:dyDescent="0.25">
      <c r="A11871">
        <v>20140821</v>
      </c>
      <c r="B11871" t="str">
        <f>"116947"</f>
        <v>116947</v>
      </c>
      <c r="C11871" t="str">
        <f>"84980"</f>
        <v>84980</v>
      </c>
      <c r="D11871" t="s">
        <v>591</v>
      </c>
      <c r="E11871">
        <v>7.75</v>
      </c>
      <c r="F11871">
        <v>20140819</v>
      </c>
      <c r="G11871" t="s">
        <v>704</v>
      </c>
      <c r="H11871" t="s">
        <v>4966</v>
      </c>
      <c r="I11871" t="s">
        <v>21</v>
      </c>
    </row>
    <row r="11872" spans="1:9" x14ac:dyDescent="0.25">
      <c r="A11872">
        <v>20140821</v>
      </c>
      <c r="B11872" t="str">
        <f>"116947"</f>
        <v>116947</v>
      </c>
      <c r="C11872" t="str">
        <f>"84980"</f>
        <v>84980</v>
      </c>
      <c r="D11872" t="s">
        <v>591</v>
      </c>
      <c r="E11872">
        <v>28</v>
      </c>
      <c r="F11872">
        <v>20140815</v>
      </c>
      <c r="G11872" t="s">
        <v>840</v>
      </c>
      <c r="H11872" t="s">
        <v>3037</v>
      </c>
      <c r="I11872" t="s">
        <v>21</v>
      </c>
    </row>
    <row r="11873" spans="1:9" x14ac:dyDescent="0.25">
      <c r="A11873">
        <v>20140821</v>
      </c>
      <c r="B11873" t="str">
        <f>"116948"</f>
        <v>116948</v>
      </c>
      <c r="C11873" t="str">
        <f>"86342"</f>
        <v>86342</v>
      </c>
      <c r="D11873" t="s">
        <v>4967</v>
      </c>
      <c r="E11873">
        <v>13.32</v>
      </c>
      <c r="F11873">
        <v>20140820</v>
      </c>
      <c r="G11873" t="s">
        <v>36</v>
      </c>
      <c r="H11873" t="s">
        <v>354</v>
      </c>
      <c r="I11873" t="s">
        <v>38</v>
      </c>
    </row>
    <row r="11874" spans="1:9" x14ac:dyDescent="0.25">
      <c r="A11874">
        <v>20140821</v>
      </c>
      <c r="B11874" t="str">
        <f>"116949"</f>
        <v>116949</v>
      </c>
      <c r="C11874" t="str">
        <f>"84314"</f>
        <v>84314</v>
      </c>
      <c r="D11874" t="s">
        <v>2200</v>
      </c>
      <c r="E11874">
        <v>192.07</v>
      </c>
      <c r="F11874">
        <v>20140819</v>
      </c>
      <c r="G11874" t="s">
        <v>4968</v>
      </c>
      <c r="H11874" t="s">
        <v>354</v>
      </c>
      <c r="I11874" t="s">
        <v>38</v>
      </c>
    </row>
    <row r="11875" spans="1:9" x14ac:dyDescent="0.25">
      <c r="A11875">
        <v>20140821</v>
      </c>
      <c r="B11875" t="str">
        <f>"116950"</f>
        <v>116950</v>
      </c>
      <c r="C11875" t="str">
        <f>"34230"</f>
        <v>34230</v>
      </c>
      <c r="D11875" t="s">
        <v>1094</v>
      </c>
      <c r="E11875">
        <v>356.7</v>
      </c>
      <c r="F11875">
        <v>20140815</v>
      </c>
      <c r="G11875" t="s">
        <v>119</v>
      </c>
      <c r="H11875" t="s">
        <v>2691</v>
      </c>
      <c r="I11875" t="s">
        <v>38</v>
      </c>
    </row>
    <row r="11876" spans="1:9" x14ac:dyDescent="0.25">
      <c r="A11876">
        <v>20140821</v>
      </c>
      <c r="B11876" t="str">
        <f>"116951"</f>
        <v>116951</v>
      </c>
      <c r="C11876" t="str">
        <f>"35337"</f>
        <v>35337</v>
      </c>
      <c r="D11876" t="s">
        <v>599</v>
      </c>
      <c r="E11876">
        <v>155.49</v>
      </c>
      <c r="F11876">
        <v>20140815</v>
      </c>
      <c r="G11876" t="s">
        <v>498</v>
      </c>
      <c r="H11876" t="s">
        <v>499</v>
      </c>
      <c r="I11876" t="s">
        <v>21</v>
      </c>
    </row>
    <row r="11877" spans="1:9" x14ac:dyDescent="0.25">
      <c r="A11877">
        <v>20140821</v>
      </c>
      <c r="B11877" t="str">
        <f>"116952"</f>
        <v>116952</v>
      </c>
      <c r="C11877" t="str">
        <f>"87363"</f>
        <v>87363</v>
      </c>
      <c r="D11877" t="s">
        <v>3355</v>
      </c>
      <c r="E11877">
        <v>37.659999999999997</v>
      </c>
      <c r="F11877">
        <v>20140818</v>
      </c>
      <c r="G11877" t="s">
        <v>189</v>
      </c>
      <c r="H11877" t="s">
        <v>354</v>
      </c>
      <c r="I11877" t="s">
        <v>25</v>
      </c>
    </row>
    <row r="11878" spans="1:9" x14ac:dyDescent="0.25">
      <c r="A11878">
        <v>20140821</v>
      </c>
      <c r="B11878" t="str">
        <f>"116953"</f>
        <v>116953</v>
      </c>
      <c r="C11878" t="str">
        <f>"87363"</f>
        <v>87363</v>
      </c>
      <c r="D11878" t="s">
        <v>3355</v>
      </c>
      <c r="E11878">
        <v>158.80000000000001</v>
      </c>
      <c r="F11878">
        <v>20140819</v>
      </c>
      <c r="G11878" t="s">
        <v>189</v>
      </c>
      <c r="H11878" t="s">
        <v>408</v>
      </c>
      <c r="I11878" t="s">
        <v>25</v>
      </c>
    </row>
    <row r="11879" spans="1:9" x14ac:dyDescent="0.25">
      <c r="A11879">
        <v>20140821</v>
      </c>
      <c r="B11879" t="str">
        <f>"116954"</f>
        <v>116954</v>
      </c>
      <c r="C11879" t="str">
        <f>"00198"</f>
        <v>00198</v>
      </c>
      <c r="D11879" t="s">
        <v>4880</v>
      </c>
      <c r="E11879" s="1">
        <v>196382.95</v>
      </c>
      <c r="F11879">
        <v>20140820</v>
      </c>
      <c r="G11879" t="s">
        <v>606</v>
      </c>
      <c r="H11879" t="s">
        <v>930</v>
      </c>
      <c r="I11879" t="s">
        <v>608</v>
      </c>
    </row>
    <row r="11880" spans="1:9" x14ac:dyDescent="0.25">
      <c r="A11880">
        <v>20140821</v>
      </c>
      <c r="B11880" t="str">
        <f t="shared" ref="B11880:B11892" si="681">"116955"</f>
        <v>116955</v>
      </c>
      <c r="C11880" t="str">
        <f t="shared" ref="C11880:C11892" si="682">"36909"</f>
        <v>36909</v>
      </c>
      <c r="D11880" t="s">
        <v>2208</v>
      </c>
      <c r="E11880">
        <v>219</v>
      </c>
      <c r="F11880">
        <v>20140819</v>
      </c>
      <c r="G11880" t="s">
        <v>734</v>
      </c>
      <c r="H11880" t="s">
        <v>2209</v>
      </c>
      <c r="I11880" t="s">
        <v>21</v>
      </c>
    </row>
    <row r="11881" spans="1:9" x14ac:dyDescent="0.25">
      <c r="A11881">
        <v>20140821</v>
      </c>
      <c r="B11881" t="str">
        <f t="shared" si="681"/>
        <v>116955</v>
      </c>
      <c r="C11881" t="str">
        <f t="shared" si="682"/>
        <v>36909</v>
      </c>
      <c r="D11881" t="s">
        <v>2208</v>
      </c>
      <c r="E11881">
        <v>63.75</v>
      </c>
      <c r="F11881">
        <v>20140819</v>
      </c>
      <c r="G11881" t="s">
        <v>734</v>
      </c>
      <c r="H11881" t="s">
        <v>2209</v>
      </c>
      <c r="I11881" t="s">
        <v>21</v>
      </c>
    </row>
    <row r="11882" spans="1:9" x14ac:dyDescent="0.25">
      <c r="A11882">
        <v>20140821</v>
      </c>
      <c r="B11882" t="str">
        <f t="shared" si="681"/>
        <v>116955</v>
      </c>
      <c r="C11882" t="str">
        <f t="shared" si="682"/>
        <v>36909</v>
      </c>
      <c r="D11882" t="s">
        <v>2208</v>
      </c>
      <c r="E11882">
        <v>135</v>
      </c>
      <c r="F11882">
        <v>20140819</v>
      </c>
      <c r="G11882" t="s">
        <v>734</v>
      </c>
      <c r="H11882" t="s">
        <v>2209</v>
      </c>
      <c r="I11882" t="s">
        <v>21</v>
      </c>
    </row>
    <row r="11883" spans="1:9" x14ac:dyDescent="0.25">
      <c r="A11883">
        <v>20140821</v>
      </c>
      <c r="B11883" t="str">
        <f t="shared" si="681"/>
        <v>116955</v>
      </c>
      <c r="C11883" t="str">
        <f t="shared" si="682"/>
        <v>36909</v>
      </c>
      <c r="D11883" t="s">
        <v>2208</v>
      </c>
      <c r="E11883">
        <v>132.25</v>
      </c>
      <c r="F11883">
        <v>20140819</v>
      </c>
      <c r="G11883" t="s">
        <v>734</v>
      </c>
      <c r="H11883" t="s">
        <v>2209</v>
      </c>
      <c r="I11883" t="s">
        <v>21</v>
      </c>
    </row>
    <row r="11884" spans="1:9" x14ac:dyDescent="0.25">
      <c r="A11884">
        <v>20140821</v>
      </c>
      <c r="B11884" t="str">
        <f t="shared" si="681"/>
        <v>116955</v>
      </c>
      <c r="C11884" t="str">
        <f t="shared" si="682"/>
        <v>36909</v>
      </c>
      <c r="D11884" t="s">
        <v>2208</v>
      </c>
      <c r="E11884">
        <v>176.5</v>
      </c>
      <c r="F11884">
        <v>20140819</v>
      </c>
      <c r="G11884" t="s">
        <v>734</v>
      </c>
      <c r="H11884" t="s">
        <v>2209</v>
      </c>
      <c r="I11884" t="s">
        <v>21</v>
      </c>
    </row>
    <row r="11885" spans="1:9" x14ac:dyDescent="0.25">
      <c r="A11885">
        <v>20140821</v>
      </c>
      <c r="B11885" t="str">
        <f t="shared" si="681"/>
        <v>116955</v>
      </c>
      <c r="C11885" t="str">
        <f t="shared" si="682"/>
        <v>36909</v>
      </c>
      <c r="D11885" t="s">
        <v>2208</v>
      </c>
      <c r="E11885">
        <v>807.5</v>
      </c>
      <c r="F11885">
        <v>20140819</v>
      </c>
      <c r="G11885" t="s">
        <v>734</v>
      </c>
      <c r="H11885" t="s">
        <v>2209</v>
      </c>
      <c r="I11885" t="s">
        <v>21</v>
      </c>
    </row>
    <row r="11886" spans="1:9" x14ac:dyDescent="0.25">
      <c r="A11886">
        <v>20140821</v>
      </c>
      <c r="B11886" t="str">
        <f t="shared" si="681"/>
        <v>116955</v>
      </c>
      <c r="C11886" t="str">
        <f t="shared" si="682"/>
        <v>36909</v>
      </c>
      <c r="D11886" t="s">
        <v>2208</v>
      </c>
      <c r="E11886">
        <v>21.25</v>
      </c>
      <c r="F11886">
        <v>20140819</v>
      </c>
      <c r="G11886" t="s">
        <v>734</v>
      </c>
      <c r="H11886" t="s">
        <v>2209</v>
      </c>
      <c r="I11886" t="s">
        <v>21</v>
      </c>
    </row>
    <row r="11887" spans="1:9" x14ac:dyDescent="0.25">
      <c r="A11887">
        <v>20140821</v>
      </c>
      <c r="B11887" t="str">
        <f t="shared" si="681"/>
        <v>116955</v>
      </c>
      <c r="C11887" t="str">
        <f t="shared" si="682"/>
        <v>36909</v>
      </c>
      <c r="D11887" t="s">
        <v>2208</v>
      </c>
      <c r="E11887">
        <v>146.25</v>
      </c>
      <c r="F11887">
        <v>20140819</v>
      </c>
      <c r="G11887" t="s">
        <v>734</v>
      </c>
      <c r="H11887" t="s">
        <v>2209</v>
      </c>
      <c r="I11887" t="s">
        <v>21</v>
      </c>
    </row>
    <row r="11888" spans="1:9" x14ac:dyDescent="0.25">
      <c r="A11888">
        <v>20140821</v>
      </c>
      <c r="B11888" t="str">
        <f t="shared" si="681"/>
        <v>116955</v>
      </c>
      <c r="C11888" t="str">
        <f t="shared" si="682"/>
        <v>36909</v>
      </c>
      <c r="D11888" t="s">
        <v>2208</v>
      </c>
      <c r="E11888">
        <v>162</v>
      </c>
      <c r="F11888">
        <v>20140819</v>
      </c>
      <c r="G11888" t="s">
        <v>734</v>
      </c>
      <c r="H11888" t="s">
        <v>2209</v>
      </c>
      <c r="I11888" t="s">
        <v>21</v>
      </c>
    </row>
    <row r="11889" spans="1:9" x14ac:dyDescent="0.25">
      <c r="A11889">
        <v>20140821</v>
      </c>
      <c r="B11889" t="str">
        <f t="shared" si="681"/>
        <v>116955</v>
      </c>
      <c r="C11889" t="str">
        <f t="shared" si="682"/>
        <v>36909</v>
      </c>
      <c r="D11889" t="s">
        <v>2208</v>
      </c>
      <c r="E11889">
        <v>248.75</v>
      </c>
      <c r="F11889">
        <v>20140819</v>
      </c>
      <c r="G11889" t="s">
        <v>734</v>
      </c>
      <c r="H11889" t="s">
        <v>2209</v>
      </c>
      <c r="I11889" t="s">
        <v>21</v>
      </c>
    </row>
    <row r="11890" spans="1:9" x14ac:dyDescent="0.25">
      <c r="A11890">
        <v>20140821</v>
      </c>
      <c r="B11890" t="str">
        <f t="shared" si="681"/>
        <v>116955</v>
      </c>
      <c r="C11890" t="str">
        <f t="shared" si="682"/>
        <v>36909</v>
      </c>
      <c r="D11890" t="s">
        <v>2208</v>
      </c>
      <c r="E11890">
        <v>108</v>
      </c>
      <c r="F11890">
        <v>20140819</v>
      </c>
      <c r="G11890" t="s">
        <v>734</v>
      </c>
      <c r="H11890" t="s">
        <v>2209</v>
      </c>
      <c r="I11890" t="s">
        <v>21</v>
      </c>
    </row>
    <row r="11891" spans="1:9" x14ac:dyDescent="0.25">
      <c r="A11891">
        <v>20140821</v>
      </c>
      <c r="B11891" t="str">
        <f t="shared" si="681"/>
        <v>116955</v>
      </c>
      <c r="C11891" t="str">
        <f t="shared" si="682"/>
        <v>36909</v>
      </c>
      <c r="D11891" t="s">
        <v>2208</v>
      </c>
      <c r="E11891">
        <v>334.25</v>
      </c>
      <c r="F11891">
        <v>20140819</v>
      </c>
      <c r="G11891" t="s">
        <v>734</v>
      </c>
      <c r="H11891" t="s">
        <v>2209</v>
      </c>
      <c r="I11891" t="s">
        <v>21</v>
      </c>
    </row>
    <row r="11892" spans="1:9" x14ac:dyDescent="0.25">
      <c r="A11892">
        <v>20140821</v>
      </c>
      <c r="B11892" t="str">
        <f t="shared" si="681"/>
        <v>116955</v>
      </c>
      <c r="C11892" t="str">
        <f t="shared" si="682"/>
        <v>36909</v>
      </c>
      <c r="D11892" t="s">
        <v>2208</v>
      </c>
      <c r="E11892">
        <v>634</v>
      </c>
      <c r="F11892">
        <v>20140819</v>
      </c>
      <c r="G11892" t="s">
        <v>734</v>
      </c>
      <c r="H11892" t="s">
        <v>2209</v>
      </c>
      <c r="I11892" t="s">
        <v>21</v>
      </c>
    </row>
    <row r="11893" spans="1:9" x14ac:dyDescent="0.25">
      <c r="A11893">
        <v>20140821</v>
      </c>
      <c r="B11893" t="str">
        <f>"116956"</f>
        <v>116956</v>
      </c>
      <c r="C11893" t="str">
        <f>"39190"</f>
        <v>39190</v>
      </c>
      <c r="D11893" t="s">
        <v>1100</v>
      </c>
      <c r="E11893" s="1">
        <v>1622.56</v>
      </c>
      <c r="F11893">
        <v>20140814</v>
      </c>
      <c r="G11893" t="s">
        <v>742</v>
      </c>
      <c r="H11893" t="s">
        <v>743</v>
      </c>
      <c r="I11893" t="s">
        <v>21</v>
      </c>
    </row>
    <row r="11894" spans="1:9" x14ac:dyDescent="0.25">
      <c r="A11894">
        <v>20140821</v>
      </c>
      <c r="B11894" t="str">
        <f>"116957"</f>
        <v>116957</v>
      </c>
      <c r="C11894" t="str">
        <f>"87938"</f>
        <v>87938</v>
      </c>
      <c r="D11894" t="s">
        <v>4969</v>
      </c>
      <c r="E11894">
        <v>34.200000000000003</v>
      </c>
      <c r="F11894">
        <v>20140819</v>
      </c>
      <c r="G11894" t="s">
        <v>202</v>
      </c>
      <c r="H11894" t="s">
        <v>411</v>
      </c>
      <c r="I11894" t="s">
        <v>12</v>
      </c>
    </row>
    <row r="11895" spans="1:9" x14ac:dyDescent="0.25">
      <c r="A11895">
        <v>20140821</v>
      </c>
      <c r="B11895" t="str">
        <f>"116958"</f>
        <v>116958</v>
      </c>
      <c r="C11895" t="str">
        <f>"40448"</f>
        <v>40448</v>
      </c>
      <c r="D11895" t="s">
        <v>613</v>
      </c>
      <c r="E11895">
        <v>540</v>
      </c>
      <c r="F11895">
        <v>20140820</v>
      </c>
      <c r="G11895" t="s">
        <v>340</v>
      </c>
      <c r="H11895" t="s">
        <v>614</v>
      </c>
      <c r="I11895" t="s">
        <v>21</v>
      </c>
    </row>
    <row r="11896" spans="1:9" x14ac:dyDescent="0.25">
      <c r="A11896">
        <v>20140821</v>
      </c>
      <c r="B11896" t="str">
        <f>"116958"</f>
        <v>116958</v>
      </c>
      <c r="C11896" t="str">
        <f>"40448"</f>
        <v>40448</v>
      </c>
      <c r="D11896" t="s">
        <v>613</v>
      </c>
      <c r="E11896">
        <v>150</v>
      </c>
      <c r="F11896">
        <v>20140820</v>
      </c>
      <c r="G11896" t="s">
        <v>340</v>
      </c>
      <c r="H11896" t="s">
        <v>1452</v>
      </c>
      <c r="I11896" t="s">
        <v>21</v>
      </c>
    </row>
    <row r="11897" spans="1:9" x14ac:dyDescent="0.25">
      <c r="A11897">
        <v>20140821</v>
      </c>
      <c r="B11897" t="str">
        <f>"116959"</f>
        <v>116959</v>
      </c>
      <c r="C11897" t="str">
        <f>"84987"</f>
        <v>84987</v>
      </c>
      <c r="D11897" t="s">
        <v>1101</v>
      </c>
      <c r="E11897">
        <v>491.03</v>
      </c>
      <c r="F11897">
        <v>20140815</v>
      </c>
      <c r="G11897" t="s">
        <v>186</v>
      </c>
      <c r="H11897" t="s">
        <v>839</v>
      </c>
      <c r="I11897" t="s">
        <v>61</v>
      </c>
    </row>
    <row r="11898" spans="1:9" x14ac:dyDescent="0.25">
      <c r="A11898">
        <v>20140821</v>
      </c>
      <c r="B11898" t="str">
        <f>"116960"</f>
        <v>116960</v>
      </c>
      <c r="C11898" t="str">
        <f>"41253"</f>
        <v>41253</v>
      </c>
      <c r="D11898" t="s">
        <v>421</v>
      </c>
      <c r="E11898">
        <v>534.29</v>
      </c>
      <c r="F11898">
        <v>20140819</v>
      </c>
      <c r="G11898" t="s">
        <v>404</v>
      </c>
      <c r="H11898" t="s">
        <v>4970</v>
      </c>
      <c r="I11898" t="s">
        <v>12</v>
      </c>
    </row>
    <row r="11899" spans="1:9" x14ac:dyDescent="0.25">
      <c r="A11899">
        <v>20140821</v>
      </c>
      <c r="B11899" t="str">
        <f>"116960"</f>
        <v>116960</v>
      </c>
      <c r="C11899" t="str">
        <f>"41253"</f>
        <v>41253</v>
      </c>
      <c r="D11899" t="s">
        <v>421</v>
      </c>
      <c r="E11899">
        <v>70.61</v>
      </c>
      <c r="F11899">
        <v>20140819</v>
      </c>
      <c r="G11899" t="s">
        <v>4795</v>
      </c>
      <c r="H11899" t="s">
        <v>4970</v>
      </c>
      <c r="I11899" t="s">
        <v>218</v>
      </c>
    </row>
    <row r="11900" spans="1:9" x14ac:dyDescent="0.25">
      <c r="A11900">
        <v>20140821</v>
      </c>
      <c r="B11900" t="str">
        <f>"116961"</f>
        <v>116961</v>
      </c>
      <c r="C11900" t="str">
        <f>"42750"</f>
        <v>42750</v>
      </c>
      <c r="D11900" t="s">
        <v>888</v>
      </c>
      <c r="E11900">
        <v>308.93</v>
      </c>
      <c r="F11900">
        <v>20140820</v>
      </c>
      <c r="G11900" t="s">
        <v>181</v>
      </c>
      <c r="H11900" t="s">
        <v>354</v>
      </c>
      <c r="I11900" t="s">
        <v>38</v>
      </c>
    </row>
    <row r="11901" spans="1:9" x14ac:dyDescent="0.25">
      <c r="A11901">
        <v>20140821</v>
      </c>
      <c r="B11901" t="str">
        <f>"116962"</f>
        <v>116962</v>
      </c>
      <c r="C11901" t="str">
        <f>"43193"</f>
        <v>43193</v>
      </c>
      <c r="D11901" t="s">
        <v>1889</v>
      </c>
      <c r="E11901" s="1">
        <v>3608.9</v>
      </c>
      <c r="F11901">
        <v>20140820</v>
      </c>
      <c r="G11901" t="s">
        <v>965</v>
      </c>
      <c r="H11901" t="s">
        <v>4971</v>
      </c>
      <c r="I11901" t="s">
        <v>21</v>
      </c>
    </row>
    <row r="11902" spans="1:9" x14ac:dyDescent="0.25">
      <c r="A11902">
        <v>20140821</v>
      </c>
      <c r="B11902" t="str">
        <f>"116963"</f>
        <v>116963</v>
      </c>
      <c r="C11902" t="str">
        <f>"43745"</f>
        <v>43745</v>
      </c>
      <c r="D11902" t="s">
        <v>4086</v>
      </c>
      <c r="E11902" s="1">
        <v>1150</v>
      </c>
      <c r="F11902">
        <v>20140814</v>
      </c>
      <c r="G11902" t="s">
        <v>150</v>
      </c>
      <c r="H11902" t="s">
        <v>4972</v>
      </c>
      <c r="I11902" t="s">
        <v>25</v>
      </c>
    </row>
    <row r="11903" spans="1:9" x14ac:dyDescent="0.25">
      <c r="A11903">
        <v>20140821</v>
      </c>
      <c r="B11903" t="str">
        <f>"116963"</f>
        <v>116963</v>
      </c>
      <c r="C11903" t="str">
        <f>"43745"</f>
        <v>43745</v>
      </c>
      <c r="D11903" t="s">
        <v>4086</v>
      </c>
      <c r="E11903">
        <v>49.5</v>
      </c>
      <c r="F11903">
        <v>20140819</v>
      </c>
      <c r="G11903" t="s">
        <v>150</v>
      </c>
      <c r="H11903" t="s">
        <v>239</v>
      </c>
      <c r="I11903" t="s">
        <v>25</v>
      </c>
    </row>
    <row r="11904" spans="1:9" x14ac:dyDescent="0.25">
      <c r="A11904">
        <v>20140821</v>
      </c>
      <c r="B11904" t="str">
        <f>"116964"</f>
        <v>116964</v>
      </c>
      <c r="C11904" t="str">
        <f>"87911"</f>
        <v>87911</v>
      </c>
      <c r="D11904" t="s">
        <v>4885</v>
      </c>
      <c r="E11904" s="1">
        <v>10832.42</v>
      </c>
      <c r="F11904">
        <v>20140820</v>
      </c>
      <c r="G11904" t="s">
        <v>606</v>
      </c>
      <c r="H11904" t="s">
        <v>839</v>
      </c>
      <c r="I11904" t="s">
        <v>608</v>
      </c>
    </row>
    <row r="11905" spans="1:9" x14ac:dyDescent="0.25">
      <c r="A11905">
        <v>20140821</v>
      </c>
      <c r="B11905" t="str">
        <f>"116965"</f>
        <v>116965</v>
      </c>
      <c r="C11905" t="str">
        <f>"45605"</f>
        <v>45605</v>
      </c>
      <c r="D11905" t="s">
        <v>1474</v>
      </c>
      <c r="E11905">
        <v>22.76</v>
      </c>
      <c r="F11905">
        <v>20140819</v>
      </c>
      <c r="G11905" t="s">
        <v>417</v>
      </c>
      <c r="H11905" t="s">
        <v>414</v>
      </c>
      <c r="I11905" t="s">
        <v>21</v>
      </c>
    </row>
    <row r="11906" spans="1:9" x14ac:dyDescent="0.25">
      <c r="A11906">
        <v>20140821</v>
      </c>
      <c r="B11906" t="str">
        <f>"116966"</f>
        <v>116966</v>
      </c>
      <c r="C11906" t="str">
        <f>"84239"</f>
        <v>84239</v>
      </c>
      <c r="D11906" t="s">
        <v>632</v>
      </c>
      <c r="E11906">
        <v>655.5</v>
      </c>
      <c r="F11906">
        <v>20140815</v>
      </c>
      <c r="G11906" t="s">
        <v>633</v>
      </c>
      <c r="H11906" t="s">
        <v>634</v>
      </c>
      <c r="I11906" t="s">
        <v>21</v>
      </c>
    </row>
    <row r="11907" spans="1:9" x14ac:dyDescent="0.25">
      <c r="A11907">
        <v>20140821</v>
      </c>
      <c r="B11907" t="str">
        <f>"116967"</f>
        <v>116967</v>
      </c>
      <c r="C11907" t="str">
        <f>"49840"</f>
        <v>49840</v>
      </c>
      <c r="D11907" t="s">
        <v>4973</v>
      </c>
      <c r="E11907">
        <v>674</v>
      </c>
      <c r="F11907">
        <v>20140818</v>
      </c>
      <c r="G11907" t="s">
        <v>327</v>
      </c>
      <c r="H11907" t="s">
        <v>4974</v>
      </c>
      <c r="I11907" t="s">
        <v>25</v>
      </c>
    </row>
    <row r="11908" spans="1:9" x14ac:dyDescent="0.25">
      <c r="A11908">
        <v>20140821</v>
      </c>
      <c r="B11908" t="str">
        <f>"116968"</f>
        <v>116968</v>
      </c>
      <c r="C11908" t="str">
        <f>"85770"</f>
        <v>85770</v>
      </c>
      <c r="D11908" t="s">
        <v>363</v>
      </c>
      <c r="E11908">
        <v>2.59</v>
      </c>
      <c r="F11908">
        <v>20140819</v>
      </c>
      <c r="G11908" t="s">
        <v>137</v>
      </c>
      <c r="H11908" t="s">
        <v>2835</v>
      </c>
      <c r="I11908" t="s">
        <v>21</v>
      </c>
    </row>
    <row r="11909" spans="1:9" x14ac:dyDescent="0.25">
      <c r="A11909">
        <v>20140821</v>
      </c>
      <c r="B11909" t="str">
        <f>"116968"</f>
        <v>116968</v>
      </c>
      <c r="C11909" t="str">
        <f>"85770"</f>
        <v>85770</v>
      </c>
      <c r="D11909" t="s">
        <v>363</v>
      </c>
      <c r="E11909">
        <v>16.920000000000002</v>
      </c>
      <c r="F11909">
        <v>20140819</v>
      </c>
      <c r="G11909" t="s">
        <v>364</v>
      </c>
      <c r="H11909" t="s">
        <v>563</v>
      </c>
      <c r="I11909" t="s">
        <v>21</v>
      </c>
    </row>
    <row r="11910" spans="1:9" x14ac:dyDescent="0.25">
      <c r="A11910">
        <v>20140821</v>
      </c>
      <c r="B11910" t="str">
        <f>"116969"</f>
        <v>116969</v>
      </c>
      <c r="C11910" t="str">
        <f>"52450"</f>
        <v>52450</v>
      </c>
      <c r="D11910" t="s">
        <v>2548</v>
      </c>
      <c r="E11910" s="1">
        <v>1097.25</v>
      </c>
      <c r="F11910">
        <v>20140819</v>
      </c>
      <c r="G11910" t="s">
        <v>417</v>
      </c>
      <c r="H11910" t="s">
        <v>2550</v>
      </c>
      <c r="I11910" t="s">
        <v>21</v>
      </c>
    </row>
    <row r="11911" spans="1:9" x14ac:dyDescent="0.25">
      <c r="A11911">
        <v>20140821</v>
      </c>
      <c r="B11911" t="str">
        <f>"116970"</f>
        <v>116970</v>
      </c>
      <c r="C11911" t="str">
        <f>"52518"</f>
        <v>52518</v>
      </c>
      <c r="D11911" t="s">
        <v>647</v>
      </c>
      <c r="E11911">
        <v>656.74</v>
      </c>
      <c r="F11911">
        <v>20140819</v>
      </c>
      <c r="G11911" t="s">
        <v>498</v>
      </c>
      <c r="H11911" t="s">
        <v>499</v>
      </c>
      <c r="I11911" t="s">
        <v>21</v>
      </c>
    </row>
    <row r="11912" spans="1:9" x14ac:dyDescent="0.25">
      <c r="A11912">
        <v>20140821</v>
      </c>
      <c r="B11912" t="str">
        <f>"116970"</f>
        <v>116970</v>
      </c>
      <c r="C11912" t="str">
        <f>"52518"</f>
        <v>52518</v>
      </c>
      <c r="D11912" t="s">
        <v>647</v>
      </c>
      <c r="E11912">
        <v>329.52</v>
      </c>
      <c r="F11912">
        <v>20140819</v>
      </c>
      <c r="G11912" t="s">
        <v>496</v>
      </c>
      <c r="H11912" t="s">
        <v>414</v>
      </c>
      <c r="I11912" t="s">
        <v>21</v>
      </c>
    </row>
    <row r="11913" spans="1:9" x14ac:dyDescent="0.25">
      <c r="A11913">
        <v>20140821</v>
      </c>
      <c r="B11913" t="str">
        <f>"116971"</f>
        <v>116971</v>
      </c>
      <c r="C11913" t="str">
        <f>"53300"</f>
        <v>53300</v>
      </c>
      <c r="D11913" t="s">
        <v>1491</v>
      </c>
      <c r="E11913">
        <v>11.38</v>
      </c>
      <c r="F11913">
        <v>20140818</v>
      </c>
      <c r="G11913" t="s">
        <v>496</v>
      </c>
      <c r="H11913" t="s">
        <v>414</v>
      </c>
      <c r="I11913" t="s">
        <v>21</v>
      </c>
    </row>
    <row r="11914" spans="1:9" x14ac:dyDescent="0.25">
      <c r="A11914">
        <v>20140821</v>
      </c>
      <c r="B11914" t="str">
        <f>"116971"</f>
        <v>116971</v>
      </c>
      <c r="C11914" t="str">
        <f>"53300"</f>
        <v>53300</v>
      </c>
      <c r="D11914" t="s">
        <v>1491</v>
      </c>
      <c r="E11914">
        <v>19.579999999999998</v>
      </c>
      <c r="F11914">
        <v>20140818</v>
      </c>
      <c r="G11914" t="s">
        <v>413</v>
      </c>
      <c r="H11914" t="s">
        <v>414</v>
      </c>
      <c r="I11914" t="s">
        <v>21</v>
      </c>
    </row>
    <row r="11915" spans="1:9" x14ac:dyDescent="0.25">
      <c r="A11915">
        <v>20140821</v>
      </c>
      <c r="B11915" t="str">
        <f>"116971"</f>
        <v>116971</v>
      </c>
      <c r="C11915" t="str">
        <f>"53300"</f>
        <v>53300</v>
      </c>
      <c r="D11915" t="s">
        <v>1491</v>
      </c>
      <c r="E11915">
        <v>49.22</v>
      </c>
      <c r="F11915">
        <v>20140818</v>
      </c>
      <c r="G11915" t="s">
        <v>392</v>
      </c>
      <c r="H11915" t="s">
        <v>414</v>
      </c>
      <c r="I11915" t="s">
        <v>21</v>
      </c>
    </row>
    <row r="11916" spans="1:9" x14ac:dyDescent="0.25">
      <c r="A11916">
        <v>20140821</v>
      </c>
      <c r="B11916" t="str">
        <f>"116972"</f>
        <v>116972</v>
      </c>
      <c r="C11916" t="str">
        <f>"55675"</f>
        <v>55675</v>
      </c>
      <c r="D11916" t="s">
        <v>1114</v>
      </c>
      <c r="E11916">
        <v>55</v>
      </c>
      <c r="F11916">
        <v>20140814</v>
      </c>
      <c r="G11916" t="s">
        <v>48</v>
      </c>
      <c r="H11916" t="s">
        <v>1788</v>
      </c>
      <c r="I11916" t="s">
        <v>25</v>
      </c>
    </row>
    <row r="11917" spans="1:9" x14ac:dyDescent="0.25">
      <c r="A11917">
        <v>20140821</v>
      </c>
      <c r="B11917" t="str">
        <f>"116972"</f>
        <v>116972</v>
      </c>
      <c r="C11917" t="str">
        <f>"55675"</f>
        <v>55675</v>
      </c>
      <c r="D11917" t="s">
        <v>1114</v>
      </c>
      <c r="E11917">
        <v>55</v>
      </c>
      <c r="F11917">
        <v>20140814</v>
      </c>
      <c r="G11917" t="s">
        <v>48</v>
      </c>
      <c r="H11917" t="s">
        <v>1788</v>
      </c>
      <c r="I11917" t="s">
        <v>25</v>
      </c>
    </row>
    <row r="11918" spans="1:9" x14ac:dyDescent="0.25">
      <c r="A11918">
        <v>20140821</v>
      </c>
      <c r="B11918" t="str">
        <f>"116972"</f>
        <v>116972</v>
      </c>
      <c r="C11918" t="str">
        <f>"55675"</f>
        <v>55675</v>
      </c>
      <c r="D11918" t="s">
        <v>1114</v>
      </c>
      <c r="E11918">
        <v>55</v>
      </c>
      <c r="F11918">
        <v>20140814</v>
      </c>
      <c r="G11918" t="s">
        <v>48</v>
      </c>
      <c r="H11918" t="s">
        <v>1788</v>
      </c>
      <c r="I11918" t="s">
        <v>25</v>
      </c>
    </row>
    <row r="11919" spans="1:9" x14ac:dyDescent="0.25">
      <c r="A11919">
        <v>20140821</v>
      </c>
      <c r="B11919" t="str">
        <f>"116972"</f>
        <v>116972</v>
      </c>
      <c r="C11919" t="str">
        <f>"55675"</f>
        <v>55675</v>
      </c>
      <c r="D11919" t="s">
        <v>1114</v>
      </c>
      <c r="E11919">
        <v>114.99</v>
      </c>
      <c r="F11919">
        <v>20140814</v>
      </c>
      <c r="G11919" t="s">
        <v>48</v>
      </c>
      <c r="H11919" t="s">
        <v>1788</v>
      </c>
      <c r="I11919" t="s">
        <v>25</v>
      </c>
    </row>
    <row r="11920" spans="1:9" x14ac:dyDescent="0.25">
      <c r="A11920">
        <v>20140821</v>
      </c>
      <c r="B11920" t="str">
        <f>"116972"</f>
        <v>116972</v>
      </c>
      <c r="C11920" t="str">
        <f>"55675"</f>
        <v>55675</v>
      </c>
      <c r="D11920" t="s">
        <v>1114</v>
      </c>
      <c r="E11920">
        <v>5</v>
      </c>
      <c r="F11920">
        <v>20140814</v>
      </c>
      <c r="G11920" t="s">
        <v>48</v>
      </c>
      <c r="H11920" t="s">
        <v>1788</v>
      </c>
      <c r="I11920" t="s">
        <v>25</v>
      </c>
    </row>
    <row r="11921" spans="1:9" x14ac:dyDescent="0.25">
      <c r="A11921">
        <v>20140821</v>
      </c>
      <c r="B11921" t="str">
        <f>"116973"</f>
        <v>116973</v>
      </c>
      <c r="C11921" t="str">
        <f>"86492"</f>
        <v>86492</v>
      </c>
      <c r="D11921" t="s">
        <v>2248</v>
      </c>
      <c r="E11921">
        <v>265.31</v>
      </c>
      <c r="F11921">
        <v>20140819</v>
      </c>
      <c r="G11921" t="s">
        <v>810</v>
      </c>
      <c r="H11921" t="s">
        <v>365</v>
      </c>
      <c r="I11921" t="s">
        <v>66</v>
      </c>
    </row>
    <row r="11922" spans="1:9" x14ac:dyDescent="0.25">
      <c r="A11922">
        <v>20140821</v>
      </c>
      <c r="B11922" t="str">
        <f>"116974"</f>
        <v>116974</v>
      </c>
      <c r="C11922" t="str">
        <f>"57041"</f>
        <v>57041</v>
      </c>
      <c r="D11922" t="s">
        <v>1496</v>
      </c>
      <c r="E11922">
        <v>87.6</v>
      </c>
      <c r="F11922">
        <v>20140819</v>
      </c>
      <c r="G11922" t="s">
        <v>392</v>
      </c>
      <c r="H11922" t="s">
        <v>414</v>
      </c>
      <c r="I11922" t="s">
        <v>21</v>
      </c>
    </row>
    <row r="11923" spans="1:9" x14ac:dyDescent="0.25">
      <c r="A11923">
        <v>20140821</v>
      </c>
      <c r="B11923" t="str">
        <f>"116975"</f>
        <v>116975</v>
      </c>
      <c r="C11923" t="str">
        <f>"57046"</f>
        <v>57046</v>
      </c>
      <c r="D11923" t="s">
        <v>1789</v>
      </c>
      <c r="E11923">
        <v>990</v>
      </c>
      <c r="F11923">
        <v>20140818</v>
      </c>
      <c r="G11923" t="s">
        <v>545</v>
      </c>
      <c r="H11923" t="s">
        <v>4438</v>
      </c>
      <c r="I11923" t="s">
        <v>21</v>
      </c>
    </row>
    <row r="11924" spans="1:9" x14ac:dyDescent="0.25">
      <c r="A11924">
        <v>20140821</v>
      </c>
      <c r="B11924" t="str">
        <f>"116976"</f>
        <v>116976</v>
      </c>
      <c r="C11924" t="str">
        <f>"58570"</f>
        <v>58570</v>
      </c>
      <c r="D11924" t="s">
        <v>655</v>
      </c>
      <c r="E11924">
        <v>345.5</v>
      </c>
      <c r="F11924">
        <v>20140819</v>
      </c>
      <c r="G11924" t="s">
        <v>340</v>
      </c>
      <c r="H11924" t="s">
        <v>3944</v>
      </c>
      <c r="I11924" t="s">
        <v>21</v>
      </c>
    </row>
    <row r="11925" spans="1:9" x14ac:dyDescent="0.25">
      <c r="A11925">
        <v>20140821</v>
      </c>
      <c r="B11925" t="str">
        <f>"116977"</f>
        <v>116977</v>
      </c>
      <c r="C11925" t="str">
        <f>"86964"</f>
        <v>86964</v>
      </c>
      <c r="D11925" t="s">
        <v>1280</v>
      </c>
      <c r="E11925">
        <v>243.8</v>
      </c>
      <c r="F11925">
        <v>20140820</v>
      </c>
      <c r="G11925" t="s">
        <v>840</v>
      </c>
      <c r="H11925" t="s">
        <v>4975</v>
      </c>
      <c r="I11925" t="s">
        <v>21</v>
      </c>
    </row>
    <row r="11926" spans="1:9" x14ac:dyDescent="0.25">
      <c r="A11926">
        <v>20140821</v>
      </c>
      <c r="B11926" t="str">
        <f>"116978"</f>
        <v>116978</v>
      </c>
      <c r="C11926" t="str">
        <f>"58675"</f>
        <v>58675</v>
      </c>
      <c r="D11926" t="s">
        <v>657</v>
      </c>
      <c r="E11926">
        <v>508.54</v>
      </c>
      <c r="F11926">
        <v>20140819</v>
      </c>
      <c r="G11926" t="s">
        <v>498</v>
      </c>
      <c r="H11926" t="s">
        <v>499</v>
      </c>
      <c r="I11926" t="s">
        <v>21</v>
      </c>
    </row>
    <row r="11927" spans="1:9" x14ac:dyDescent="0.25">
      <c r="A11927">
        <v>20140821</v>
      </c>
      <c r="B11927" t="str">
        <f>"116979"</f>
        <v>116979</v>
      </c>
      <c r="C11927" t="str">
        <f>"59080"</f>
        <v>59080</v>
      </c>
      <c r="D11927" t="s">
        <v>2880</v>
      </c>
      <c r="E11927" s="1">
        <v>2020</v>
      </c>
      <c r="F11927">
        <v>20140820</v>
      </c>
      <c r="G11927" t="s">
        <v>367</v>
      </c>
      <c r="H11927" t="s">
        <v>2881</v>
      </c>
      <c r="I11927" t="s">
        <v>21</v>
      </c>
    </row>
    <row r="11928" spans="1:9" x14ac:dyDescent="0.25">
      <c r="A11928">
        <v>20140821</v>
      </c>
      <c r="B11928" t="str">
        <f>"116979"</f>
        <v>116979</v>
      </c>
      <c r="C11928" t="str">
        <f>"59080"</f>
        <v>59080</v>
      </c>
      <c r="D11928" t="s">
        <v>2880</v>
      </c>
      <c r="E11928" s="1">
        <v>2020</v>
      </c>
      <c r="F11928">
        <v>20140820</v>
      </c>
      <c r="G11928" t="s">
        <v>99</v>
      </c>
      <c r="H11928" t="s">
        <v>2881</v>
      </c>
      <c r="I11928" t="s">
        <v>21</v>
      </c>
    </row>
    <row r="11929" spans="1:9" x14ac:dyDescent="0.25">
      <c r="A11929">
        <v>20140821</v>
      </c>
      <c r="B11929" t="str">
        <f>"116980"</f>
        <v>116980</v>
      </c>
      <c r="C11929" t="str">
        <f>"86795"</f>
        <v>86795</v>
      </c>
      <c r="D11929" t="s">
        <v>430</v>
      </c>
      <c r="E11929">
        <v>27</v>
      </c>
      <c r="F11929">
        <v>20140819</v>
      </c>
      <c r="G11929" t="s">
        <v>410</v>
      </c>
      <c r="H11929" t="s">
        <v>411</v>
      </c>
      <c r="I11929" t="s">
        <v>12</v>
      </c>
    </row>
    <row r="11930" spans="1:9" x14ac:dyDescent="0.25">
      <c r="A11930">
        <v>20140821</v>
      </c>
      <c r="B11930" t="str">
        <f t="shared" ref="B11930:B11943" si="683">"116981"</f>
        <v>116981</v>
      </c>
      <c r="C11930" t="str">
        <f t="shared" ref="C11930:C11943" si="684">"87771"</f>
        <v>87771</v>
      </c>
      <c r="D11930" t="s">
        <v>3578</v>
      </c>
      <c r="E11930">
        <v>418.19</v>
      </c>
      <c r="F11930">
        <v>20140815</v>
      </c>
      <c r="G11930" t="s">
        <v>453</v>
      </c>
      <c r="H11930" t="s">
        <v>454</v>
      </c>
      <c r="I11930" t="s">
        <v>21</v>
      </c>
    </row>
    <row r="11931" spans="1:9" x14ac:dyDescent="0.25">
      <c r="A11931">
        <v>20140821</v>
      </c>
      <c r="B11931" t="str">
        <f t="shared" si="683"/>
        <v>116981</v>
      </c>
      <c r="C11931" t="str">
        <f t="shared" si="684"/>
        <v>87771</v>
      </c>
      <c r="D11931" t="s">
        <v>3578</v>
      </c>
      <c r="E11931" s="1">
        <v>2327.75</v>
      </c>
      <c r="F11931">
        <v>20140815</v>
      </c>
      <c r="G11931" t="s">
        <v>455</v>
      </c>
      <c r="H11931" t="s">
        <v>4578</v>
      </c>
      <c r="I11931" t="s">
        <v>21</v>
      </c>
    </row>
    <row r="11932" spans="1:9" x14ac:dyDescent="0.25">
      <c r="A11932">
        <v>20140821</v>
      </c>
      <c r="B11932" t="str">
        <f t="shared" si="683"/>
        <v>116981</v>
      </c>
      <c r="C11932" t="str">
        <f t="shared" si="684"/>
        <v>87771</v>
      </c>
      <c r="D11932" t="s">
        <v>3578</v>
      </c>
      <c r="E11932" s="1">
        <v>1149.4000000000001</v>
      </c>
      <c r="F11932">
        <v>20140815</v>
      </c>
      <c r="G11932" t="s">
        <v>456</v>
      </c>
      <c r="H11932" t="s">
        <v>454</v>
      </c>
      <c r="I11932" t="s">
        <v>21</v>
      </c>
    </row>
    <row r="11933" spans="1:9" x14ac:dyDescent="0.25">
      <c r="A11933">
        <v>20140821</v>
      </c>
      <c r="B11933" t="str">
        <f t="shared" si="683"/>
        <v>116981</v>
      </c>
      <c r="C11933" t="str">
        <f t="shared" si="684"/>
        <v>87771</v>
      </c>
      <c r="D11933" t="s">
        <v>3578</v>
      </c>
      <c r="E11933" s="1">
        <v>1046.8399999999999</v>
      </c>
      <c r="F11933">
        <v>20140815</v>
      </c>
      <c r="G11933" t="s">
        <v>457</v>
      </c>
      <c r="H11933" t="s">
        <v>454</v>
      </c>
      <c r="I11933" t="s">
        <v>21</v>
      </c>
    </row>
    <row r="11934" spans="1:9" x14ac:dyDescent="0.25">
      <c r="A11934">
        <v>20140821</v>
      </c>
      <c r="B11934" t="str">
        <f t="shared" si="683"/>
        <v>116981</v>
      </c>
      <c r="C11934" t="str">
        <f t="shared" si="684"/>
        <v>87771</v>
      </c>
      <c r="D11934" t="s">
        <v>3578</v>
      </c>
      <c r="E11934">
        <v>917.97</v>
      </c>
      <c r="F11934">
        <v>20140815</v>
      </c>
      <c r="G11934" t="s">
        <v>458</v>
      </c>
      <c r="H11934" t="s">
        <v>454</v>
      </c>
      <c r="I11934" t="s">
        <v>21</v>
      </c>
    </row>
    <row r="11935" spans="1:9" x14ac:dyDescent="0.25">
      <c r="A11935">
        <v>20140821</v>
      </c>
      <c r="B11935" t="str">
        <f t="shared" si="683"/>
        <v>116981</v>
      </c>
      <c r="C11935" t="str">
        <f t="shared" si="684"/>
        <v>87771</v>
      </c>
      <c r="D11935" t="s">
        <v>3578</v>
      </c>
      <c r="E11935" s="1">
        <v>1046.8399999999999</v>
      </c>
      <c r="F11935">
        <v>20140815</v>
      </c>
      <c r="G11935" t="s">
        <v>459</v>
      </c>
      <c r="H11935" t="s">
        <v>454</v>
      </c>
      <c r="I11935" t="s">
        <v>21</v>
      </c>
    </row>
    <row r="11936" spans="1:9" x14ac:dyDescent="0.25">
      <c r="A11936">
        <v>20140821</v>
      </c>
      <c r="B11936" t="str">
        <f t="shared" si="683"/>
        <v>116981</v>
      </c>
      <c r="C11936" t="str">
        <f t="shared" si="684"/>
        <v>87771</v>
      </c>
      <c r="D11936" t="s">
        <v>3578</v>
      </c>
      <c r="E11936">
        <v>975.84</v>
      </c>
      <c r="F11936">
        <v>20140815</v>
      </c>
      <c r="G11936" t="s">
        <v>460</v>
      </c>
      <c r="H11936" t="s">
        <v>454</v>
      </c>
      <c r="I11936" t="s">
        <v>21</v>
      </c>
    </row>
    <row r="11937" spans="1:9" x14ac:dyDescent="0.25">
      <c r="A11937">
        <v>20140821</v>
      </c>
      <c r="B11937" t="str">
        <f t="shared" si="683"/>
        <v>116981</v>
      </c>
      <c r="C11937" t="str">
        <f t="shared" si="684"/>
        <v>87771</v>
      </c>
      <c r="D11937" t="s">
        <v>3578</v>
      </c>
      <c r="E11937">
        <v>602.36</v>
      </c>
      <c r="F11937">
        <v>20140815</v>
      </c>
      <c r="G11937" t="s">
        <v>461</v>
      </c>
      <c r="H11937" t="s">
        <v>454</v>
      </c>
      <c r="I11937" t="s">
        <v>21</v>
      </c>
    </row>
    <row r="11938" spans="1:9" x14ac:dyDescent="0.25">
      <c r="A11938">
        <v>20140821</v>
      </c>
      <c r="B11938" t="str">
        <f t="shared" si="683"/>
        <v>116981</v>
      </c>
      <c r="C11938" t="str">
        <f t="shared" si="684"/>
        <v>87771</v>
      </c>
      <c r="D11938" t="s">
        <v>3578</v>
      </c>
      <c r="E11938" s="1">
        <v>1046.8399999999999</v>
      </c>
      <c r="F11938">
        <v>20140815</v>
      </c>
      <c r="G11938" t="s">
        <v>462</v>
      </c>
      <c r="H11938" t="s">
        <v>454</v>
      </c>
      <c r="I11938" t="s">
        <v>21</v>
      </c>
    </row>
    <row r="11939" spans="1:9" x14ac:dyDescent="0.25">
      <c r="A11939">
        <v>20140821</v>
      </c>
      <c r="B11939" t="str">
        <f t="shared" si="683"/>
        <v>116981</v>
      </c>
      <c r="C11939" t="str">
        <f t="shared" si="684"/>
        <v>87771</v>
      </c>
      <c r="D11939" t="s">
        <v>3578</v>
      </c>
      <c r="E11939">
        <v>229.17</v>
      </c>
      <c r="F11939">
        <v>20140815</v>
      </c>
      <c r="G11939" t="s">
        <v>463</v>
      </c>
      <c r="H11939" t="s">
        <v>454</v>
      </c>
      <c r="I11939" t="s">
        <v>21</v>
      </c>
    </row>
    <row r="11940" spans="1:9" x14ac:dyDescent="0.25">
      <c r="A11940">
        <v>20140821</v>
      </c>
      <c r="B11940" t="str">
        <f t="shared" si="683"/>
        <v>116981</v>
      </c>
      <c r="C11940" t="str">
        <f t="shared" si="684"/>
        <v>87771</v>
      </c>
      <c r="D11940" t="s">
        <v>3578</v>
      </c>
      <c r="E11940">
        <v>418.19</v>
      </c>
      <c r="F11940">
        <v>20140815</v>
      </c>
      <c r="G11940" t="s">
        <v>464</v>
      </c>
      <c r="H11940" t="s">
        <v>454</v>
      </c>
      <c r="I11940" t="s">
        <v>21</v>
      </c>
    </row>
    <row r="11941" spans="1:9" x14ac:dyDescent="0.25">
      <c r="A11941">
        <v>20140821</v>
      </c>
      <c r="B11941" t="str">
        <f t="shared" si="683"/>
        <v>116981</v>
      </c>
      <c r="C11941" t="str">
        <f t="shared" si="684"/>
        <v>87771</v>
      </c>
      <c r="D11941" t="s">
        <v>3578</v>
      </c>
      <c r="E11941">
        <v>465.55</v>
      </c>
      <c r="F11941">
        <v>20140815</v>
      </c>
      <c r="G11941" t="s">
        <v>465</v>
      </c>
      <c r="H11941" t="s">
        <v>454</v>
      </c>
      <c r="I11941" t="s">
        <v>21</v>
      </c>
    </row>
    <row r="11942" spans="1:9" x14ac:dyDescent="0.25">
      <c r="A11942">
        <v>20140821</v>
      </c>
      <c r="B11942" t="str">
        <f t="shared" si="683"/>
        <v>116981</v>
      </c>
      <c r="C11942" t="str">
        <f t="shared" si="684"/>
        <v>87771</v>
      </c>
      <c r="D11942" t="s">
        <v>3578</v>
      </c>
      <c r="E11942">
        <v>701.7</v>
      </c>
      <c r="F11942">
        <v>20140815</v>
      </c>
      <c r="G11942" t="s">
        <v>466</v>
      </c>
      <c r="H11942" t="s">
        <v>454</v>
      </c>
      <c r="I11942" t="s">
        <v>21</v>
      </c>
    </row>
    <row r="11943" spans="1:9" x14ac:dyDescent="0.25">
      <c r="A11943">
        <v>20140821</v>
      </c>
      <c r="B11943" t="str">
        <f t="shared" si="683"/>
        <v>116981</v>
      </c>
      <c r="C11943" t="str">
        <f t="shared" si="684"/>
        <v>87771</v>
      </c>
      <c r="D11943" t="s">
        <v>3578</v>
      </c>
      <c r="E11943">
        <v>276.18</v>
      </c>
      <c r="F11943">
        <v>20140815</v>
      </c>
      <c r="G11943" t="s">
        <v>467</v>
      </c>
      <c r="H11943" t="s">
        <v>454</v>
      </c>
      <c r="I11943" t="s">
        <v>21</v>
      </c>
    </row>
    <row r="11944" spans="1:9" x14ac:dyDescent="0.25">
      <c r="A11944">
        <v>20140821</v>
      </c>
      <c r="B11944" t="str">
        <f>"116982"</f>
        <v>116982</v>
      </c>
      <c r="C11944" t="str">
        <f>"84597"</f>
        <v>84597</v>
      </c>
      <c r="D11944" t="s">
        <v>1508</v>
      </c>
      <c r="E11944">
        <v>801.43</v>
      </c>
      <c r="F11944">
        <v>20140819</v>
      </c>
      <c r="G11944" t="s">
        <v>498</v>
      </c>
      <c r="H11944" t="s">
        <v>499</v>
      </c>
      <c r="I11944" t="s">
        <v>21</v>
      </c>
    </row>
    <row r="11945" spans="1:9" x14ac:dyDescent="0.25">
      <c r="A11945">
        <v>20140821</v>
      </c>
      <c r="B11945" t="str">
        <f>"116983"</f>
        <v>116983</v>
      </c>
      <c r="C11945" t="str">
        <f>"61999"</f>
        <v>61999</v>
      </c>
      <c r="D11945" t="s">
        <v>942</v>
      </c>
      <c r="E11945">
        <v>270</v>
      </c>
      <c r="F11945">
        <v>20140818</v>
      </c>
      <c r="G11945" t="s">
        <v>41</v>
      </c>
      <c r="H11945" t="s">
        <v>361</v>
      </c>
      <c r="I11945" t="s">
        <v>38</v>
      </c>
    </row>
    <row r="11946" spans="1:9" x14ac:dyDescent="0.25">
      <c r="A11946">
        <v>20140821</v>
      </c>
      <c r="B11946" t="str">
        <f>"116984"</f>
        <v>116984</v>
      </c>
      <c r="C11946" t="str">
        <f>"87940"</f>
        <v>87940</v>
      </c>
      <c r="D11946" t="s">
        <v>4976</v>
      </c>
      <c r="E11946">
        <v>64.75</v>
      </c>
      <c r="F11946">
        <v>20140820</v>
      </c>
      <c r="G11946" t="s">
        <v>1729</v>
      </c>
      <c r="H11946" t="s">
        <v>354</v>
      </c>
      <c r="I11946" t="s">
        <v>61</v>
      </c>
    </row>
    <row r="11947" spans="1:9" x14ac:dyDescent="0.25">
      <c r="A11947">
        <v>20140821</v>
      </c>
      <c r="B11947" t="str">
        <f>"116985"</f>
        <v>116985</v>
      </c>
      <c r="C11947" t="str">
        <f>"65038"</f>
        <v>65038</v>
      </c>
      <c r="D11947" t="s">
        <v>4445</v>
      </c>
      <c r="E11947">
        <v>47.58</v>
      </c>
      <c r="F11947">
        <v>20140820</v>
      </c>
      <c r="G11947" t="s">
        <v>810</v>
      </c>
      <c r="H11947" t="s">
        <v>365</v>
      </c>
      <c r="I11947" t="s">
        <v>66</v>
      </c>
    </row>
    <row r="11948" spans="1:9" x14ac:dyDescent="0.25">
      <c r="A11948">
        <v>20140821</v>
      </c>
      <c r="B11948" t="str">
        <f>"116985"</f>
        <v>116985</v>
      </c>
      <c r="C11948" t="str">
        <f>"65038"</f>
        <v>65038</v>
      </c>
      <c r="D11948" t="s">
        <v>4445</v>
      </c>
      <c r="E11948">
        <v>42.91</v>
      </c>
      <c r="F11948">
        <v>20140820</v>
      </c>
      <c r="G11948" t="s">
        <v>810</v>
      </c>
      <c r="H11948" t="s">
        <v>365</v>
      </c>
      <c r="I11948" t="s">
        <v>66</v>
      </c>
    </row>
    <row r="11949" spans="1:9" x14ac:dyDescent="0.25">
      <c r="A11949">
        <v>20140821</v>
      </c>
      <c r="B11949" t="str">
        <f>"116986"</f>
        <v>116986</v>
      </c>
      <c r="C11949" t="str">
        <f>"87912"</f>
        <v>87912</v>
      </c>
      <c r="D11949" t="s">
        <v>4977</v>
      </c>
      <c r="E11949" s="1">
        <v>39160</v>
      </c>
      <c r="F11949">
        <v>20140820</v>
      </c>
      <c r="G11949" t="s">
        <v>606</v>
      </c>
      <c r="H11949" t="s">
        <v>3054</v>
      </c>
      <c r="I11949" t="s">
        <v>608</v>
      </c>
    </row>
    <row r="11950" spans="1:9" x14ac:dyDescent="0.25">
      <c r="A11950">
        <v>20140821</v>
      </c>
      <c r="B11950" t="str">
        <f>"116987"</f>
        <v>116987</v>
      </c>
      <c r="C11950" t="str">
        <f>"85590"</f>
        <v>85590</v>
      </c>
      <c r="D11950" t="s">
        <v>4978</v>
      </c>
      <c r="E11950">
        <v>210.6</v>
      </c>
      <c r="F11950">
        <v>20140814</v>
      </c>
      <c r="G11950" t="s">
        <v>4117</v>
      </c>
      <c r="H11950" t="s">
        <v>365</v>
      </c>
      <c r="I11950" t="s">
        <v>66</v>
      </c>
    </row>
    <row r="11951" spans="1:9" x14ac:dyDescent="0.25">
      <c r="A11951">
        <v>20140821</v>
      </c>
      <c r="B11951" t="str">
        <f>"116988"</f>
        <v>116988</v>
      </c>
      <c r="C11951" t="str">
        <f>"69331"</f>
        <v>69331</v>
      </c>
      <c r="D11951" t="s">
        <v>383</v>
      </c>
      <c r="E11951" s="1">
        <v>17500</v>
      </c>
      <c r="F11951">
        <v>20140819</v>
      </c>
      <c r="G11951" t="s">
        <v>694</v>
      </c>
      <c r="H11951" t="s">
        <v>4979</v>
      </c>
      <c r="I11951" t="s">
        <v>21</v>
      </c>
    </row>
    <row r="11952" spans="1:9" x14ac:dyDescent="0.25">
      <c r="A11952">
        <v>20140821</v>
      </c>
      <c r="B11952" t="str">
        <f>"116989"</f>
        <v>116989</v>
      </c>
      <c r="C11952" t="str">
        <f>"85180"</f>
        <v>85180</v>
      </c>
      <c r="D11952" t="s">
        <v>3338</v>
      </c>
      <c r="E11952">
        <v>138.29</v>
      </c>
      <c r="F11952">
        <v>20140820</v>
      </c>
      <c r="G11952" t="s">
        <v>39</v>
      </c>
      <c r="H11952" t="s">
        <v>414</v>
      </c>
      <c r="I11952" t="s">
        <v>38</v>
      </c>
    </row>
    <row r="11953" spans="1:9" x14ac:dyDescent="0.25">
      <c r="A11953">
        <v>20140821</v>
      </c>
      <c r="B11953" t="str">
        <f>"116990"</f>
        <v>116990</v>
      </c>
      <c r="C11953" t="str">
        <f>"87908"</f>
        <v>87908</v>
      </c>
      <c r="D11953" t="s">
        <v>4891</v>
      </c>
      <c r="E11953" s="1">
        <v>1399.92</v>
      </c>
      <c r="F11953">
        <v>20140820</v>
      </c>
      <c r="G11953" t="s">
        <v>1200</v>
      </c>
      <c r="H11953" t="s">
        <v>839</v>
      </c>
      <c r="I11953" t="s">
        <v>61</v>
      </c>
    </row>
    <row r="11954" spans="1:9" x14ac:dyDescent="0.25">
      <c r="A11954">
        <v>20140821</v>
      </c>
      <c r="B11954" t="str">
        <f>"116991"</f>
        <v>116991</v>
      </c>
      <c r="C11954" t="str">
        <f>"00332"</f>
        <v>00332</v>
      </c>
      <c r="D11954" t="s">
        <v>1160</v>
      </c>
      <c r="E11954">
        <v>136</v>
      </c>
      <c r="F11954">
        <v>20140818</v>
      </c>
      <c r="G11954" t="s">
        <v>367</v>
      </c>
      <c r="H11954" t="s">
        <v>1161</v>
      </c>
      <c r="I11954" t="s">
        <v>21</v>
      </c>
    </row>
    <row r="11955" spans="1:9" x14ac:dyDescent="0.25">
      <c r="A11955">
        <v>20140821</v>
      </c>
      <c r="B11955" t="str">
        <f>"116992"</f>
        <v>116992</v>
      </c>
      <c r="C11955" t="str">
        <f>"87217"</f>
        <v>87217</v>
      </c>
      <c r="D11955" t="s">
        <v>1826</v>
      </c>
      <c r="E11955">
        <v>34.770000000000003</v>
      </c>
      <c r="F11955">
        <v>20140814</v>
      </c>
      <c r="G11955" t="s">
        <v>289</v>
      </c>
      <c r="H11955" t="s">
        <v>354</v>
      </c>
      <c r="I11955" t="s">
        <v>38</v>
      </c>
    </row>
    <row r="11956" spans="1:9" x14ac:dyDescent="0.25">
      <c r="A11956">
        <v>20140821</v>
      </c>
      <c r="B11956" t="str">
        <f>"116993"</f>
        <v>116993</v>
      </c>
      <c r="C11956" t="str">
        <f>"86941"</f>
        <v>86941</v>
      </c>
      <c r="D11956" t="s">
        <v>4980</v>
      </c>
      <c r="E11956">
        <v>207.42</v>
      </c>
      <c r="F11956">
        <v>20140820</v>
      </c>
      <c r="G11956" t="s">
        <v>1660</v>
      </c>
      <c r="H11956" t="s">
        <v>4981</v>
      </c>
      <c r="I11956" t="s">
        <v>38</v>
      </c>
    </row>
    <row r="11957" spans="1:9" x14ac:dyDescent="0.25">
      <c r="A11957">
        <v>20140821</v>
      </c>
      <c r="B11957" t="str">
        <f>"116994"</f>
        <v>116994</v>
      </c>
      <c r="C11957" t="str">
        <f>"87941"</f>
        <v>87941</v>
      </c>
      <c r="D11957" t="s">
        <v>4982</v>
      </c>
      <c r="E11957">
        <v>100</v>
      </c>
      <c r="F11957">
        <v>20140820</v>
      </c>
      <c r="G11957" t="s">
        <v>347</v>
      </c>
      <c r="H11957" t="s">
        <v>361</v>
      </c>
      <c r="I11957" t="s">
        <v>61</v>
      </c>
    </row>
    <row r="11958" spans="1:9" x14ac:dyDescent="0.25">
      <c r="A11958">
        <v>20140821</v>
      </c>
      <c r="B11958" t="str">
        <f>"116995"</f>
        <v>116995</v>
      </c>
      <c r="C11958" t="str">
        <f>"85763"</f>
        <v>85763</v>
      </c>
      <c r="D11958" t="s">
        <v>3792</v>
      </c>
      <c r="E11958">
        <v>900</v>
      </c>
      <c r="F11958">
        <v>20140815</v>
      </c>
      <c r="G11958" t="s">
        <v>746</v>
      </c>
      <c r="H11958" t="s">
        <v>555</v>
      </c>
      <c r="I11958" t="s">
        <v>21</v>
      </c>
    </row>
    <row r="11959" spans="1:9" x14ac:dyDescent="0.25">
      <c r="A11959">
        <v>20140821</v>
      </c>
      <c r="B11959" t="str">
        <f>"116995"</f>
        <v>116995</v>
      </c>
      <c r="C11959" t="str">
        <f>"85763"</f>
        <v>85763</v>
      </c>
      <c r="D11959" t="s">
        <v>3792</v>
      </c>
      <c r="E11959">
        <v>480</v>
      </c>
      <c r="F11959">
        <v>20140815</v>
      </c>
      <c r="G11959" t="s">
        <v>746</v>
      </c>
      <c r="H11959" t="s">
        <v>555</v>
      </c>
      <c r="I11959" t="s">
        <v>21</v>
      </c>
    </row>
    <row r="11960" spans="1:9" x14ac:dyDescent="0.25">
      <c r="A11960">
        <v>20140821</v>
      </c>
      <c r="B11960" t="str">
        <f>"116996"</f>
        <v>116996</v>
      </c>
      <c r="C11960" t="str">
        <f>"87616"</f>
        <v>87616</v>
      </c>
      <c r="D11960" t="s">
        <v>711</v>
      </c>
      <c r="E11960">
        <v>162</v>
      </c>
      <c r="F11960">
        <v>20140818</v>
      </c>
      <c r="G11960" t="s">
        <v>704</v>
      </c>
      <c r="H11960" t="s">
        <v>2417</v>
      </c>
      <c r="I11960" t="s">
        <v>21</v>
      </c>
    </row>
    <row r="11961" spans="1:9" x14ac:dyDescent="0.25">
      <c r="A11961">
        <v>20140821</v>
      </c>
      <c r="B11961" t="str">
        <f>"116997"</f>
        <v>116997</v>
      </c>
      <c r="C11961" t="str">
        <f>"75600"</f>
        <v>75600</v>
      </c>
      <c r="D11961" t="s">
        <v>714</v>
      </c>
      <c r="E11961" s="1">
        <v>2936.02</v>
      </c>
      <c r="F11961">
        <v>20140820</v>
      </c>
      <c r="G11961" t="s">
        <v>340</v>
      </c>
      <c r="H11961" t="s">
        <v>656</v>
      </c>
      <c r="I11961" t="s">
        <v>21</v>
      </c>
    </row>
    <row r="11962" spans="1:9" x14ac:dyDescent="0.25">
      <c r="A11962">
        <v>20140821</v>
      </c>
      <c r="B11962" t="str">
        <f>"116997"</f>
        <v>116997</v>
      </c>
      <c r="C11962" t="str">
        <f>"75600"</f>
        <v>75600</v>
      </c>
      <c r="D11962" t="s">
        <v>714</v>
      </c>
      <c r="E11962">
        <v>511.11</v>
      </c>
      <c r="F11962">
        <v>20140815</v>
      </c>
      <c r="G11962" t="s">
        <v>498</v>
      </c>
      <c r="H11962" t="s">
        <v>499</v>
      </c>
      <c r="I11962" t="s">
        <v>21</v>
      </c>
    </row>
    <row r="11963" spans="1:9" x14ac:dyDescent="0.25">
      <c r="A11963">
        <v>20140821</v>
      </c>
      <c r="B11963" t="str">
        <f>"116997"</f>
        <v>116997</v>
      </c>
      <c r="C11963" t="str">
        <f>"75600"</f>
        <v>75600</v>
      </c>
      <c r="D11963" t="s">
        <v>714</v>
      </c>
      <c r="E11963">
        <v>550</v>
      </c>
      <c r="F11963">
        <v>20140820</v>
      </c>
      <c r="G11963" t="s">
        <v>498</v>
      </c>
      <c r="H11963" t="s">
        <v>499</v>
      </c>
      <c r="I11963" t="s">
        <v>21</v>
      </c>
    </row>
    <row r="11964" spans="1:9" x14ac:dyDescent="0.25">
      <c r="A11964">
        <v>20140821</v>
      </c>
      <c r="B11964" t="str">
        <f>"116997"</f>
        <v>116997</v>
      </c>
      <c r="C11964" t="str">
        <f>"75600"</f>
        <v>75600</v>
      </c>
      <c r="D11964" t="s">
        <v>714</v>
      </c>
      <c r="E11964">
        <v>375</v>
      </c>
      <c r="F11964">
        <v>20140815</v>
      </c>
      <c r="G11964" t="s">
        <v>496</v>
      </c>
      <c r="H11964" t="s">
        <v>414</v>
      </c>
      <c r="I11964" t="s">
        <v>21</v>
      </c>
    </row>
    <row r="11965" spans="1:9" x14ac:dyDescent="0.25">
      <c r="A11965">
        <v>20140821</v>
      </c>
      <c r="B11965" t="str">
        <f>"116998"</f>
        <v>116998</v>
      </c>
      <c r="C11965" t="str">
        <f>"75581"</f>
        <v>75581</v>
      </c>
      <c r="D11965" t="s">
        <v>391</v>
      </c>
      <c r="E11965" s="1">
        <v>1020.6</v>
      </c>
      <c r="F11965">
        <v>20140819</v>
      </c>
      <c r="G11965" t="s">
        <v>392</v>
      </c>
      <c r="H11965" t="s">
        <v>393</v>
      </c>
      <c r="I11965" t="s">
        <v>21</v>
      </c>
    </row>
    <row r="11966" spans="1:9" x14ac:dyDescent="0.25">
      <c r="A11966">
        <v>20140821</v>
      </c>
      <c r="B11966" t="str">
        <f>"116999"</f>
        <v>116999</v>
      </c>
      <c r="C11966" t="str">
        <f>"87189"</f>
        <v>87189</v>
      </c>
      <c r="D11966" t="s">
        <v>730</v>
      </c>
      <c r="E11966" s="1">
        <v>1301.73</v>
      </c>
      <c r="F11966">
        <v>20140820</v>
      </c>
      <c r="G11966" t="s">
        <v>448</v>
      </c>
      <c r="H11966" t="s">
        <v>414</v>
      </c>
      <c r="I11966" t="s">
        <v>21</v>
      </c>
    </row>
    <row r="11967" spans="1:9" x14ac:dyDescent="0.25">
      <c r="A11967">
        <v>20140821</v>
      </c>
      <c r="B11967" t="str">
        <f>"116999"</f>
        <v>116999</v>
      </c>
      <c r="C11967" t="str">
        <f>"87189"</f>
        <v>87189</v>
      </c>
      <c r="D11967" t="s">
        <v>730</v>
      </c>
      <c r="E11967" s="1">
        <v>2284.84</v>
      </c>
      <c r="F11967">
        <v>20140820</v>
      </c>
      <c r="G11967" t="s">
        <v>448</v>
      </c>
      <c r="H11967" t="s">
        <v>414</v>
      </c>
      <c r="I11967" t="s">
        <v>21</v>
      </c>
    </row>
    <row r="11968" spans="1:9" x14ac:dyDescent="0.25">
      <c r="A11968">
        <v>20140821</v>
      </c>
      <c r="B11968" t="str">
        <f>"116999"</f>
        <v>116999</v>
      </c>
      <c r="C11968" t="str">
        <f>"87189"</f>
        <v>87189</v>
      </c>
      <c r="D11968" t="s">
        <v>730</v>
      </c>
      <c r="E11968" s="1">
        <v>1130.78</v>
      </c>
      <c r="F11968">
        <v>20140820</v>
      </c>
      <c r="G11968" t="s">
        <v>448</v>
      </c>
      <c r="H11968" t="s">
        <v>414</v>
      </c>
      <c r="I11968" t="s">
        <v>21</v>
      </c>
    </row>
    <row r="11969" spans="1:9" x14ac:dyDescent="0.25">
      <c r="A11969">
        <v>20140821</v>
      </c>
      <c r="B11969" t="str">
        <f>"117000"</f>
        <v>117000</v>
      </c>
      <c r="C11969" t="str">
        <f>"87560"</f>
        <v>87560</v>
      </c>
      <c r="D11969" t="s">
        <v>2304</v>
      </c>
      <c r="E11969" s="1">
        <v>3000</v>
      </c>
      <c r="F11969">
        <v>20140814</v>
      </c>
      <c r="G11969" t="s">
        <v>1504</v>
      </c>
      <c r="H11969" t="s">
        <v>4983</v>
      </c>
      <c r="I11969" t="s">
        <v>21</v>
      </c>
    </row>
    <row r="11970" spans="1:9" x14ac:dyDescent="0.25">
      <c r="A11970">
        <v>20140821</v>
      </c>
      <c r="B11970" t="str">
        <f>"117000"</f>
        <v>117000</v>
      </c>
      <c r="C11970" t="str">
        <f>"87560"</f>
        <v>87560</v>
      </c>
      <c r="D11970" t="s">
        <v>2304</v>
      </c>
      <c r="E11970" s="1">
        <v>3000</v>
      </c>
      <c r="F11970">
        <v>20140814</v>
      </c>
      <c r="G11970" t="s">
        <v>1504</v>
      </c>
      <c r="H11970" t="s">
        <v>4984</v>
      </c>
      <c r="I11970" t="s">
        <v>21</v>
      </c>
    </row>
    <row r="11971" spans="1:9" x14ac:dyDescent="0.25">
      <c r="A11971">
        <v>20140821</v>
      </c>
      <c r="B11971" t="str">
        <f>"117001"</f>
        <v>117001</v>
      </c>
      <c r="C11971" t="str">
        <f>"81358"</f>
        <v>81358</v>
      </c>
      <c r="D11971" t="s">
        <v>736</v>
      </c>
      <c r="E11971" s="1">
        <v>2218.19</v>
      </c>
      <c r="F11971">
        <v>20140815</v>
      </c>
      <c r="G11971" t="s">
        <v>1543</v>
      </c>
      <c r="H11971" t="s">
        <v>738</v>
      </c>
      <c r="I11971" t="s">
        <v>21</v>
      </c>
    </row>
    <row r="11972" spans="1:9" x14ac:dyDescent="0.25">
      <c r="A11972">
        <v>20140821</v>
      </c>
      <c r="B11972" t="str">
        <f>"117001"</f>
        <v>117001</v>
      </c>
      <c r="C11972" t="str">
        <f>"81358"</f>
        <v>81358</v>
      </c>
      <c r="D11972" t="s">
        <v>736</v>
      </c>
      <c r="E11972" s="1">
        <v>5848.41</v>
      </c>
      <c r="F11972">
        <v>20140815</v>
      </c>
      <c r="G11972" t="s">
        <v>737</v>
      </c>
      <c r="H11972" t="s">
        <v>738</v>
      </c>
      <c r="I11972" t="s">
        <v>21</v>
      </c>
    </row>
    <row r="11973" spans="1:9" x14ac:dyDescent="0.25">
      <c r="A11973">
        <v>20140821</v>
      </c>
      <c r="B11973" t="str">
        <f>"117002"</f>
        <v>117002</v>
      </c>
      <c r="C11973" t="str">
        <f>"81358"</f>
        <v>81358</v>
      </c>
      <c r="D11973" t="s">
        <v>736</v>
      </c>
      <c r="E11973">
        <v>371.04</v>
      </c>
      <c r="F11973">
        <v>20140815</v>
      </c>
      <c r="G11973" t="s">
        <v>737</v>
      </c>
      <c r="H11973" t="s">
        <v>738</v>
      </c>
      <c r="I11973" t="s">
        <v>21</v>
      </c>
    </row>
    <row r="11974" spans="1:9" x14ac:dyDescent="0.25">
      <c r="A11974">
        <v>20140821</v>
      </c>
      <c r="B11974" t="str">
        <f>"117003"</f>
        <v>117003</v>
      </c>
      <c r="C11974" t="str">
        <f>"81358"</f>
        <v>81358</v>
      </c>
      <c r="D11974" t="s">
        <v>736</v>
      </c>
      <c r="E11974">
        <v>78.760000000000005</v>
      </c>
      <c r="F11974">
        <v>20140815</v>
      </c>
      <c r="G11974" t="s">
        <v>737</v>
      </c>
      <c r="H11974" t="s">
        <v>738</v>
      </c>
      <c r="I11974" t="s">
        <v>21</v>
      </c>
    </row>
    <row r="11975" spans="1:9" x14ac:dyDescent="0.25">
      <c r="A11975">
        <v>20140821</v>
      </c>
      <c r="B11975" t="str">
        <f>"117004"</f>
        <v>117004</v>
      </c>
      <c r="C11975" t="str">
        <f>"87936"</f>
        <v>87936</v>
      </c>
      <c r="D11975" t="s">
        <v>4985</v>
      </c>
      <c r="E11975">
        <v>39.22</v>
      </c>
      <c r="F11975">
        <v>20140814</v>
      </c>
      <c r="G11975" t="s">
        <v>1712</v>
      </c>
      <c r="H11975" t="s">
        <v>354</v>
      </c>
      <c r="I11975" t="s">
        <v>21</v>
      </c>
    </row>
    <row r="11976" spans="1:9" x14ac:dyDescent="0.25">
      <c r="A11976">
        <v>20140821</v>
      </c>
      <c r="B11976" t="str">
        <f>"117005"</f>
        <v>117005</v>
      </c>
      <c r="C11976" t="str">
        <f>"76904"</f>
        <v>76904</v>
      </c>
      <c r="D11976" t="s">
        <v>1323</v>
      </c>
      <c r="E11976">
        <v>70</v>
      </c>
      <c r="F11976">
        <v>20140820</v>
      </c>
      <c r="G11976" t="s">
        <v>704</v>
      </c>
      <c r="H11976" t="s">
        <v>784</v>
      </c>
      <c r="I11976" t="s">
        <v>21</v>
      </c>
    </row>
    <row r="11977" spans="1:9" x14ac:dyDescent="0.25">
      <c r="A11977">
        <v>20140821</v>
      </c>
      <c r="B11977" t="str">
        <f>"117006"</f>
        <v>117006</v>
      </c>
      <c r="C11977" t="str">
        <f>"84732"</f>
        <v>84732</v>
      </c>
      <c r="D11977" t="s">
        <v>4986</v>
      </c>
      <c r="E11977">
        <v>50</v>
      </c>
      <c r="F11977">
        <v>20140819</v>
      </c>
      <c r="G11977" t="s">
        <v>323</v>
      </c>
      <c r="H11977" t="s">
        <v>4566</v>
      </c>
      <c r="I11977" t="s">
        <v>21</v>
      </c>
    </row>
    <row r="11978" spans="1:9" x14ac:dyDescent="0.25">
      <c r="A11978">
        <v>20140821</v>
      </c>
      <c r="B11978" t="str">
        <f>"117007"</f>
        <v>117007</v>
      </c>
      <c r="C11978" t="str">
        <f>"80825"</f>
        <v>80825</v>
      </c>
      <c r="D11978" t="s">
        <v>747</v>
      </c>
      <c r="E11978">
        <v>276.89999999999998</v>
      </c>
      <c r="F11978">
        <v>20140818</v>
      </c>
      <c r="G11978" t="s">
        <v>748</v>
      </c>
      <c r="H11978" t="s">
        <v>749</v>
      </c>
      <c r="I11978" t="s">
        <v>21</v>
      </c>
    </row>
    <row r="11979" spans="1:9" x14ac:dyDescent="0.25">
      <c r="A11979">
        <v>20140822</v>
      </c>
      <c r="B11979" t="str">
        <f>"117008"</f>
        <v>117008</v>
      </c>
      <c r="C11979" t="str">
        <f>"00954"</f>
        <v>00954</v>
      </c>
      <c r="D11979" t="s">
        <v>445</v>
      </c>
      <c r="E11979">
        <v>68</v>
      </c>
      <c r="F11979">
        <v>20140822</v>
      </c>
      <c r="G11979" t="s">
        <v>392</v>
      </c>
      <c r="H11979" t="s">
        <v>1138</v>
      </c>
      <c r="I11979" t="s">
        <v>21</v>
      </c>
    </row>
    <row r="11980" spans="1:9" x14ac:dyDescent="0.25">
      <c r="A11980">
        <v>20140822</v>
      </c>
      <c r="B11980" t="str">
        <f>"117009"</f>
        <v>117009</v>
      </c>
      <c r="C11980" t="str">
        <f>"09600"</f>
        <v>09600</v>
      </c>
      <c r="D11980" t="s">
        <v>497</v>
      </c>
      <c r="E11980">
        <v>478.9</v>
      </c>
      <c r="F11980">
        <v>20140821</v>
      </c>
      <c r="G11980" t="s">
        <v>498</v>
      </c>
      <c r="H11980" t="s">
        <v>499</v>
      </c>
      <c r="I11980" t="s">
        <v>21</v>
      </c>
    </row>
    <row r="11981" spans="1:9" x14ac:dyDescent="0.25">
      <c r="A11981">
        <v>20140822</v>
      </c>
      <c r="B11981" t="str">
        <f>"117009"</f>
        <v>117009</v>
      </c>
      <c r="C11981" t="str">
        <f>"09600"</f>
        <v>09600</v>
      </c>
      <c r="D11981" t="s">
        <v>497</v>
      </c>
      <c r="E11981">
        <v>185.8</v>
      </c>
      <c r="F11981">
        <v>20140822</v>
      </c>
      <c r="G11981" t="s">
        <v>498</v>
      </c>
      <c r="H11981" t="s">
        <v>499</v>
      </c>
      <c r="I11981" t="s">
        <v>21</v>
      </c>
    </row>
    <row r="11982" spans="1:9" x14ac:dyDescent="0.25">
      <c r="A11982">
        <v>20140822</v>
      </c>
      <c r="B11982" t="str">
        <f>"117009"</f>
        <v>117009</v>
      </c>
      <c r="C11982" t="str">
        <f>"09600"</f>
        <v>09600</v>
      </c>
      <c r="D11982" t="s">
        <v>497</v>
      </c>
      <c r="E11982">
        <v>134.05000000000001</v>
      </c>
      <c r="F11982">
        <v>20140822</v>
      </c>
      <c r="G11982" t="s">
        <v>496</v>
      </c>
      <c r="H11982" t="s">
        <v>414</v>
      </c>
      <c r="I11982" t="s">
        <v>21</v>
      </c>
    </row>
    <row r="11983" spans="1:9" x14ac:dyDescent="0.25">
      <c r="A11983">
        <v>20140822</v>
      </c>
      <c r="B11983" t="str">
        <f>"117010"</f>
        <v>117010</v>
      </c>
      <c r="C11983" t="str">
        <f>"86219"</f>
        <v>86219</v>
      </c>
      <c r="D11983" t="s">
        <v>4987</v>
      </c>
      <c r="E11983">
        <v>67.7</v>
      </c>
      <c r="F11983">
        <v>20140822</v>
      </c>
      <c r="G11983" t="s">
        <v>4117</v>
      </c>
      <c r="H11983" t="s">
        <v>365</v>
      </c>
      <c r="I11983" t="s">
        <v>66</v>
      </c>
    </row>
    <row r="11984" spans="1:9" x14ac:dyDescent="0.25">
      <c r="A11984">
        <v>20140822</v>
      </c>
      <c r="B11984" t="str">
        <f>"117011"</f>
        <v>117011</v>
      </c>
      <c r="C11984" t="str">
        <f>"87916"</f>
        <v>87916</v>
      </c>
      <c r="D11984" t="s">
        <v>4939</v>
      </c>
      <c r="E11984" s="1">
        <v>1366.87</v>
      </c>
      <c r="F11984">
        <v>20140822</v>
      </c>
      <c r="G11984" t="s">
        <v>837</v>
      </c>
      <c r="H11984" t="s">
        <v>839</v>
      </c>
      <c r="I11984" t="s">
        <v>21</v>
      </c>
    </row>
    <row r="11985" spans="1:9" x14ac:dyDescent="0.25">
      <c r="A11985">
        <v>20140822</v>
      </c>
      <c r="B11985" t="str">
        <f>"117011"</f>
        <v>117011</v>
      </c>
      <c r="C11985" t="str">
        <f>"87916"</f>
        <v>87916</v>
      </c>
      <c r="D11985" t="s">
        <v>4939</v>
      </c>
      <c r="E11985" s="1">
        <v>1795.86</v>
      </c>
      <c r="F11985">
        <v>20140822</v>
      </c>
      <c r="G11985" t="s">
        <v>1039</v>
      </c>
      <c r="H11985" t="s">
        <v>839</v>
      </c>
      <c r="I11985" t="s">
        <v>38</v>
      </c>
    </row>
    <row r="11986" spans="1:9" x14ac:dyDescent="0.25">
      <c r="A11986">
        <v>20140822</v>
      </c>
      <c r="B11986" t="str">
        <f>"117012"</f>
        <v>117012</v>
      </c>
      <c r="C11986" t="str">
        <f>"87943"</f>
        <v>87943</v>
      </c>
      <c r="D11986" t="s">
        <v>4988</v>
      </c>
      <c r="E11986">
        <v>382.25</v>
      </c>
      <c r="F11986">
        <v>20140822</v>
      </c>
      <c r="G11986" t="s">
        <v>4989</v>
      </c>
      <c r="H11986" t="s">
        <v>1392</v>
      </c>
      <c r="I11986" t="s">
        <v>21</v>
      </c>
    </row>
    <row r="11987" spans="1:9" x14ac:dyDescent="0.25">
      <c r="A11987">
        <v>20140822</v>
      </c>
      <c r="B11987" t="str">
        <f>"117013"</f>
        <v>117013</v>
      </c>
      <c r="C11987" t="str">
        <f>"87481"</f>
        <v>87481</v>
      </c>
      <c r="D11987" t="s">
        <v>2487</v>
      </c>
      <c r="E11987">
        <v>656.18</v>
      </c>
      <c r="F11987">
        <v>20140822</v>
      </c>
      <c r="G11987" t="s">
        <v>1167</v>
      </c>
      <c r="H11987" t="s">
        <v>414</v>
      </c>
      <c r="I11987" t="s">
        <v>21</v>
      </c>
    </row>
    <row r="11988" spans="1:9" x14ac:dyDescent="0.25">
      <c r="A11988">
        <v>20140822</v>
      </c>
      <c r="B11988" t="str">
        <f>"117014"</f>
        <v>117014</v>
      </c>
      <c r="C11988" t="str">
        <f>"16998"</f>
        <v>16998</v>
      </c>
      <c r="D11988" t="s">
        <v>1372</v>
      </c>
      <c r="E11988">
        <v>179.65</v>
      </c>
      <c r="F11988">
        <v>20140821</v>
      </c>
      <c r="G11988" t="s">
        <v>621</v>
      </c>
      <c r="H11988" t="s">
        <v>4777</v>
      </c>
      <c r="I11988" t="s">
        <v>21</v>
      </c>
    </row>
    <row r="11989" spans="1:9" x14ac:dyDescent="0.25">
      <c r="A11989">
        <v>20140822</v>
      </c>
      <c r="B11989" t="str">
        <f>"117014"</f>
        <v>117014</v>
      </c>
      <c r="C11989" t="str">
        <f>"16998"</f>
        <v>16998</v>
      </c>
      <c r="D11989" t="s">
        <v>1372</v>
      </c>
      <c r="E11989">
        <v>134.65</v>
      </c>
      <c r="F11989">
        <v>20140821</v>
      </c>
      <c r="G11989" t="s">
        <v>1380</v>
      </c>
      <c r="H11989" t="s">
        <v>4777</v>
      </c>
      <c r="I11989" t="s">
        <v>21</v>
      </c>
    </row>
    <row r="11990" spans="1:9" x14ac:dyDescent="0.25">
      <c r="A11990">
        <v>20140822</v>
      </c>
      <c r="B11990" t="str">
        <f>"117014"</f>
        <v>117014</v>
      </c>
      <c r="C11990" t="str">
        <f>"16998"</f>
        <v>16998</v>
      </c>
      <c r="D11990" t="s">
        <v>1372</v>
      </c>
      <c r="E11990">
        <v>89.65</v>
      </c>
      <c r="F11990">
        <v>20140822</v>
      </c>
      <c r="G11990" t="s">
        <v>1380</v>
      </c>
      <c r="H11990" t="s">
        <v>4990</v>
      </c>
      <c r="I11990" t="s">
        <v>21</v>
      </c>
    </row>
    <row r="11991" spans="1:9" x14ac:dyDescent="0.25">
      <c r="A11991">
        <v>20140822</v>
      </c>
      <c r="B11991" t="str">
        <f>"117015"</f>
        <v>117015</v>
      </c>
      <c r="C11991" t="str">
        <f>"87566"</f>
        <v>87566</v>
      </c>
      <c r="D11991" t="s">
        <v>2139</v>
      </c>
      <c r="E11991">
        <v>505.5</v>
      </c>
      <c r="F11991">
        <v>20140822</v>
      </c>
      <c r="G11991" t="s">
        <v>417</v>
      </c>
      <c r="H11991" t="s">
        <v>414</v>
      </c>
      <c r="I11991" t="s">
        <v>21</v>
      </c>
    </row>
    <row r="11992" spans="1:9" x14ac:dyDescent="0.25">
      <c r="A11992">
        <v>20140822</v>
      </c>
      <c r="B11992" t="str">
        <f>"117016"</f>
        <v>117016</v>
      </c>
      <c r="C11992" t="str">
        <f>"23185"</f>
        <v>23185</v>
      </c>
      <c r="D11992" t="s">
        <v>803</v>
      </c>
      <c r="E11992">
        <v>144</v>
      </c>
      <c r="F11992">
        <v>20140821</v>
      </c>
      <c r="G11992" t="s">
        <v>628</v>
      </c>
      <c r="H11992" t="s">
        <v>414</v>
      </c>
      <c r="I11992" t="s">
        <v>21</v>
      </c>
    </row>
    <row r="11993" spans="1:9" x14ac:dyDescent="0.25">
      <c r="A11993">
        <v>20140822</v>
      </c>
      <c r="B11993" t="str">
        <f>"117017"</f>
        <v>117017</v>
      </c>
      <c r="C11993" t="str">
        <f>"23827"</f>
        <v>23827</v>
      </c>
      <c r="D11993" t="s">
        <v>528</v>
      </c>
      <c r="E11993" s="1">
        <v>1000</v>
      </c>
      <c r="F11993">
        <v>20140821</v>
      </c>
      <c r="G11993" t="s">
        <v>191</v>
      </c>
      <c r="H11993" t="s">
        <v>4991</v>
      </c>
      <c r="I11993" t="s">
        <v>25</v>
      </c>
    </row>
    <row r="11994" spans="1:9" x14ac:dyDescent="0.25">
      <c r="A11994">
        <v>20140822</v>
      </c>
      <c r="B11994" t="str">
        <f t="shared" ref="B11994:B12004" si="685">"117018"</f>
        <v>117018</v>
      </c>
      <c r="C11994" t="str">
        <f t="shared" ref="C11994:C12004" si="686">"24530"</f>
        <v>24530</v>
      </c>
      <c r="D11994" t="s">
        <v>412</v>
      </c>
      <c r="E11994">
        <v>351.51</v>
      </c>
      <c r="F11994">
        <v>20140821</v>
      </c>
      <c r="G11994" t="s">
        <v>482</v>
      </c>
      <c r="H11994" t="s">
        <v>414</v>
      </c>
      <c r="I11994" t="s">
        <v>21</v>
      </c>
    </row>
    <row r="11995" spans="1:9" x14ac:dyDescent="0.25">
      <c r="A11995">
        <v>20140822</v>
      </c>
      <c r="B11995" t="str">
        <f t="shared" si="685"/>
        <v>117018</v>
      </c>
      <c r="C11995" t="str">
        <f t="shared" si="686"/>
        <v>24530</v>
      </c>
      <c r="D11995" t="s">
        <v>412</v>
      </c>
      <c r="E11995">
        <v>206.9</v>
      </c>
      <c r="F11995">
        <v>20140821</v>
      </c>
      <c r="G11995" t="s">
        <v>415</v>
      </c>
      <c r="H11995" t="s">
        <v>414</v>
      </c>
      <c r="I11995" t="s">
        <v>21</v>
      </c>
    </row>
    <row r="11996" spans="1:9" x14ac:dyDescent="0.25">
      <c r="A11996">
        <v>20140822</v>
      </c>
      <c r="B11996" t="str">
        <f t="shared" si="685"/>
        <v>117018</v>
      </c>
      <c r="C11996" t="str">
        <f t="shared" si="686"/>
        <v>24530</v>
      </c>
      <c r="D11996" t="s">
        <v>412</v>
      </c>
      <c r="E11996">
        <v>319</v>
      </c>
      <c r="F11996">
        <v>20140821</v>
      </c>
      <c r="G11996" t="s">
        <v>415</v>
      </c>
      <c r="H11996" t="s">
        <v>414</v>
      </c>
      <c r="I11996" t="s">
        <v>21</v>
      </c>
    </row>
    <row r="11997" spans="1:9" x14ac:dyDescent="0.25">
      <c r="A11997">
        <v>20140822</v>
      </c>
      <c r="B11997" t="str">
        <f t="shared" si="685"/>
        <v>117018</v>
      </c>
      <c r="C11997" t="str">
        <f t="shared" si="686"/>
        <v>24530</v>
      </c>
      <c r="D11997" t="s">
        <v>412</v>
      </c>
      <c r="E11997">
        <v>41.05</v>
      </c>
      <c r="F11997">
        <v>20140822</v>
      </c>
      <c r="G11997" t="s">
        <v>415</v>
      </c>
      <c r="H11997" t="s">
        <v>414</v>
      </c>
      <c r="I11997" t="s">
        <v>21</v>
      </c>
    </row>
    <row r="11998" spans="1:9" x14ac:dyDescent="0.25">
      <c r="A11998">
        <v>20140822</v>
      </c>
      <c r="B11998" t="str">
        <f t="shared" si="685"/>
        <v>117018</v>
      </c>
      <c r="C11998" t="str">
        <f t="shared" si="686"/>
        <v>24530</v>
      </c>
      <c r="D11998" t="s">
        <v>412</v>
      </c>
      <c r="E11998">
        <v>103.74</v>
      </c>
      <c r="F11998">
        <v>20140821</v>
      </c>
      <c r="G11998" t="s">
        <v>627</v>
      </c>
      <c r="H11998" t="s">
        <v>414</v>
      </c>
      <c r="I11998" t="s">
        <v>21</v>
      </c>
    </row>
    <row r="11999" spans="1:9" x14ac:dyDescent="0.25">
      <c r="A11999">
        <v>20140822</v>
      </c>
      <c r="B11999" t="str">
        <f t="shared" si="685"/>
        <v>117018</v>
      </c>
      <c r="C11999" t="str">
        <f t="shared" si="686"/>
        <v>24530</v>
      </c>
      <c r="D11999" t="s">
        <v>412</v>
      </c>
      <c r="E11999">
        <v>369.57</v>
      </c>
      <c r="F11999">
        <v>20140822</v>
      </c>
      <c r="G11999" t="s">
        <v>627</v>
      </c>
      <c r="H11999" t="s">
        <v>414</v>
      </c>
      <c r="I11999" t="s">
        <v>21</v>
      </c>
    </row>
    <row r="12000" spans="1:9" x14ac:dyDescent="0.25">
      <c r="A12000">
        <v>20140822</v>
      </c>
      <c r="B12000" t="str">
        <f t="shared" si="685"/>
        <v>117018</v>
      </c>
      <c r="C12000" t="str">
        <f t="shared" si="686"/>
        <v>24530</v>
      </c>
      <c r="D12000" t="s">
        <v>412</v>
      </c>
      <c r="E12000">
        <v>619.79</v>
      </c>
      <c r="F12000">
        <v>20140821</v>
      </c>
      <c r="G12000" t="s">
        <v>1222</v>
      </c>
      <c r="H12000" t="s">
        <v>414</v>
      </c>
      <c r="I12000" t="s">
        <v>21</v>
      </c>
    </row>
    <row r="12001" spans="1:9" x14ac:dyDescent="0.25">
      <c r="A12001">
        <v>20140822</v>
      </c>
      <c r="B12001" t="str">
        <f t="shared" si="685"/>
        <v>117018</v>
      </c>
      <c r="C12001" t="str">
        <f t="shared" si="686"/>
        <v>24530</v>
      </c>
      <c r="D12001" t="s">
        <v>412</v>
      </c>
      <c r="E12001">
        <v>370.63</v>
      </c>
      <c r="F12001">
        <v>20140821</v>
      </c>
      <c r="G12001" t="s">
        <v>530</v>
      </c>
      <c r="H12001" t="s">
        <v>414</v>
      </c>
      <c r="I12001" t="s">
        <v>21</v>
      </c>
    </row>
    <row r="12002" spans="1:9" x14ac:dyDescent="0.25">
      <c r="A12002">
        <v>20140822</v>
      </c>
      <c r="B12002" t="str">
        <f t="shared" si="685"/>
        <v>117018</v>
      </c>
      <c r="C12002" t="str">
        <f t="shared" si="686"/>
        <v>24530</v>
      </c>
      <c r="D12002" t="s">
        <v>412</v>
      </c>
      <c r="E12002">
        <v>313.26</v>
      </c>
      <c r="F12002">
        <v>20140821</v>
      </c>
      <c r="G12002" t="s">
        <v>417</v>
      </c>
      <c r="H12002" t="s">
        <v>414</v>
      </c>
      <c r="I12002" t="s">
        <v>21</v>
      </c>
    </row>
    <row r="12003" spans="1:9" x14ac:dyDescent="0.25">
      <c r="A12003">
        <v>20140822</v>
      </c>
      <c r="B12003" t="str">
        <f t="shared" si="685"/>
        <v>117018</v>
      </c>
      <c r="C12003" t="str">
        <f t="shared" si="686"/>
        <v>24530</v>
      </c>
      <c r="D12003" t="s">
        <v>412</v>
      </c>
      <c r="E12003">
        <v>13.75</v>
      </c>
      <c r="F12003">
        <v>20140821</v>
      </c>
      <c r="G12003" t="s">
        <v>3820</v>
      </c>
      <c r="H12003" t="s">
        <v>414</v>
      </c>
      <c r="I12003" t="s">
        <v>21</v>
      </c>
    </row>
    <row r="12004" spans="1:9" x14ac:dyDescent="0.25">
      <c r="A12004">
        <v>20140822</v>
      </c>
      <c r="B12004" t="str">
        <f t="shared" si="685"/>
        <v>117018</v>
      </c>
      <c r="C12004" t="str">
        <f t="shared" si="686"/>
        <v>24530</v>
      </c>
      <c r="D12004" t="s">
        <v>412</v>
      </c>
      <c r="E12004">
        <v>55.69</v>
      </c>
      <c r="F12004">
        <v>20140821</v>
      </c>
      <c r="G12004" t="s">
        <v>1408</v>
      </c>
      <c r="H12004" t="s">
        <v>656</v>
      </c>
      <c r="I12004" t="s">
        <v>12</v>
      </c>
    </row>
    <row r="12005" spans="1:9" x14ac:dyDescent="0.25">
      <c r="A12005">
        <v>20140822</v>
      </c>
      <c r="B12005" t="str">
        <f>"117019"</f>
        <v>117019</v>
      </c>
      <c r="C12005" t="str">
        <f>"81871"</f>
        <v>81871</v>
      </c>
      <c r="D12005" t="s">
        <v>3914</v>
      </c>
      <c r="E12005">
        <v>55.35</v>
      </c>
      <c r="F12005">
        <v>20140822</v>
      </c>
      <c r="G12005" t="s">
        <v>1227</v>
      </c>
      <c r="H12005" t="s">
        <v>365</v>
      </c>
      <c r="I12005" t="s">
        <v>21</v>
      </c>
    </row>
    <row r="12006" spans="1:9" x14ac:dyDescent="0.25">
      <c r="A12006">
        <v>20140822</v>
      </c>
      <c r="B12006" t="str">
        <f t="shared" ref="B12006:B12018" si="687">"117020"</f>
        <v>117020</v>
      </c>
      <c r="C12006" t="str">
        <f t="shared" ref="C12006:C12018" si="688">"25516"</f>
        <v>25516</v>
      </c>
      <c r="D12006" t="s">
        <v>529</v>
      </c>
      <c r="E12006">
        <v>302.27999999999997</v>
      </c>
      <c r="F12006">
        <v>20140821</v>
      </c>
      <c r="G12006" t="s">
        <v>496</v>
      </c>
      <c r="H12006" t="s">
        <v>414</v>
      </c>
      <c r="I12006" t="s">
        <v>21</v>
      </c>
    </row>
    <row r="12007" spans="1:9" x14ac:dyDescent="0.25">
      <c r="A12007">
        <v>20140822</v>
      </c>
      <c r="B12007" t="str">
        <f t="shared" si="687"/>
        <v>117020</v>
      </c>
      <c r="C12007" t="str">
        <f t="shared" si="688"/>
        <v>25516</v>
      </c>
      <c r="D12007" t="s">
        <v>529</v>
      </c>
      <c r="E12007">
        <v>-259.8</v>
      </c>
      <c r="F12007">
        <v>20140822</v>
      </c>
      <c r="G12007" t="s">
        <v>413</v>
      </c>
      <c r="H12007" t="s">
        <v>414</v>
      </c>
      <c r="I12007" t="s">
        <v>21</v>
      </c>
    </row>
    <row r="12008" spans="1:9" x14ac:dyDescent="0.25">
      <c r="A12008">
        <v>20140822</v>
      </c>
      <c r="B12008" t="str">
        <f t="shared" si="687"/>
        <v>117020</v>
      </c>
      <c r="C12008" t="str">
        <f t="shared" si="688"/>
        <v>25516</v>
      </c>
      <c r="D12008" t="s">
        <v>529</v>
      </c>
      <c r="E12008" s="1">
        <v>1193.23</v>
      </c>
      <c r="F12008">
        <v>20140821</v>
      </c>
      <c r="G12008" t="s">
        <v>473</v>
      </c>
      <c r="H12008" t="s">
        <v>414</v>
      </c>
      <c r="I12008" t="s">
        <v>21</v>
      </c>
    </row>
    <row r="12009" spans="1:9" x14ac:dyDescent="0.25">
      <c r="A12009">
        <v>20140822</v>
      </c>
      <c r="B12009" t="str">
        <f t="shared" si="687"/>
        <v>117020</v>
      </c>
      <c r="C12009" t="str">
        <f t="shared" si="688"/>
        <v>25516</v>
      </c>
      <c r="D12009" t="s">
        <v>529</v>
      </c>
      <c r="E12009">
        <v>812.1</v>
      </c>
      <c r="F12009">
        <v>20140821</v>
      </c>
      <c r="G12009" t="s">
        <v>475</v>
      </c>
      <c r="H12009" t="s">
        <v>414</v>
      </c>
      <c r="I12009" t="s">
        <v>21</v>
      </c>
    </row>
    <row r="12010" spans="1:9" x14ac:dyDescent="0.25">
      <c r="A12010">
        <v>20140822</v>
      </c>
      <c r="B12010" t="str">
        <f t="shared" si="687"/>
        <v>117020</v>
      </c>
      <c r="C12010" t="str">
        <f t="shared" si="688"/>
        <v>25516</v>
      </c>
      <c r="D12010" t="s">
        <v>529</v>
      </c>
      <c r="E12010">
        <v>648.16999999999996</v>
      </c>
      <c r="F12010">
        <v>20140821</v>
      </c>
      <c r="G12010" t="s">
        <v>476</v>
      </c>
      <c r="H12010" t="s">
        <v>414</v>
      </c>
      <c r="I12010" t="s">
        <v>21</v>
      </c>
    </row>
    <row r="12011" spans="1:9" x14ac:dyDescent="0.25">
      <c r="A12011">
        <v>20140822</v>
      </c>
      <c r="B12011" t="str">
        <f t="shared" si="687"/>
        <v>117020</v>
      </c>
      <c r="C12011" t="str">
        <f t="shared" si="688"/>
        <v>25516</v>
      </c>
      <c r="D12011" t="s">
        <v>529</v>
      </c>
      <c r="E12011">
        <v>694.12</v>
      </c>
      <c r="F12011">
        <v>20140821</v>
      </c>
      <c r="G12011" t="s">
        <v>477</v>
      </c>
      <c r="H12011" t="s">
        <v>414</v>
      </c>
      <c r="I12011" t="s">
        <v>21</v>
      </c>
    </row>
    <row r="12012" spans="1:9" x14ac:dyDescent="0.25">
      <c r="A12012">
        <v>20140822</v>
      </c>
      <c r="B12012" t="str">
        <f t="shared" si="687"/>
        <v>117020</v>
      </c>
      <c r="C12012" t="str">
        <f t="shared" si="688"/>
        <v>25516</v>
      </c>
      <c r="D12012" t="s">
        <v>529</v>
      </c>
      <c r="E12012">
        <v>854.92</v>
      </c>
      <c r="F12012">
        <v>20140821</v>
      </c>
      <c r="G12012" t="s">
        <v>478</v>
      </c>
      <c r="H12012" t="s">
        <v>414</v>
      </c>
      <c r="I12012" t="s">
        <v>21</v>
      </c>
    </row>
    <row r="12013" spans="1:9" x14ac:dyDescent="0.25">
      <c r="A12013">
        <v>20140822</v>
      </c>
      <c r="B12013" t="str">
        <f t="shared" si="687"/>
        <v>117020</v>
      </c>
      <c r="C12013" t="str">
        <f t="shared" si="688"/>
        <v>25516</v>
      </c>
      <c r="D12013" t="s">
        <v>529</v>
      </c>
      <c r="E12013">
        <v>719.98</v>
      </c>
      <c r="F12013">
        <v>20140821</v>
      </c>
      <c r="G12013" t="s">
        <v>479</v>
      </c>
      <c r="H12013" t="s">
        <v>414</v>
      </c>
      <c r="I12013" t="s">
        <v>21</v>
      </c>
    </row>
    <row r="12014" spans="1:9" x14ac:dyDescent="0.25">
      <c r="A12014">
        <v>20140822</v>
      </c>
      <c r="B12014" t="str">
        <f t="shared" si="687"/>
        <v>117020</v>
      </c>
      <c r="C12014" t="str">
        <f t="shared" si="688"/>
        <v>25516</v>
      </c>
      <c r="D12014" t="s">
        <v>529</v>
      </c>
      <c r="E12014">
        <v>512.59</v>
      </c>
      <c r="F12014">
        <v>20140821</v>
      </c>
      <c r="G12014" t="s">
        <v>480</v>
      </c>
      <c r="H12014" t="s">
        <v>414</v>
      </c>
      <c r="I12014" t="s">
        <v>21</v>
      </c>
    </row>
    <row r="12015" spans="1:9" x14ac:dyDescent="0.25">
      <c r="A12015">
        <v>20140822</v>
      </c>
      <c r="B12015" t="str">
        <f t="shared" si="687"/>
        <v>117020</v>
      </c>
      <c r="C12015" t="str">
        <f t="shared" si="688"/>
        <v>25516</v>
      </c>
      <c r="D12015" t="s">
        <v>529</v>
      </c>
      <c r="E12015">
        <v>169.88</v>
      </c>
      <c r="F12015">
        <v>20140821</v>
      </c>
      <c r="G12015" t="s">
        <v>481</v>
      </c>
      <c r="H12015" t="s">
        <v>414</v>
      </c>
      <c r="I12015" t="s">
        <v>21</v>
      </c>
    </row>
    <row r="12016" spans="1:9" x14ac:dyDescent="0.25">
      <c r="A12016">
        <v>20140822</v>
      </c>
      <c r="B12016" t="str">
        <f t="shared" si="687"/>
        <v>117020</v>
      </c>
      <c r="C12016" t="str">
        <f t="shared" si="688"/>
        <v>25516</v>
      </c>
      <c r="D12016" t="s">
        <v>529</v>
      </c>
      <c r="E12016" s="1">
        <v>1561</v>
      </c>
      <c r="F12016">
        <v>20140821</v>
      </c>
      <c r="G12016" t="s">
        <v>482</v>
      </c>
      <c r="H12016" t="s">
        <v>414</v>
      </c>
      <c r="I12016" t="s">
        <v>21</v>
      </c>
    </row>
    <row r="12017" spans="1:9" x14ac:dyDescent="0.25">
      <c r="A12017">
        <v>20140822</v>
      </c>
      <c r="B12017" t="str">
        <f t="shared" si="687"/>
        <v>117020</v>
      </c>
      <c r="C12017" t="str">
        <f t="shared" si="688"/>
        <v>25516</v>
      </c>
      <c r="D12017" t="s">
        <v>529</v>
      </c>
      <c r="E12017">
        <v>102.46</v>
      </c>
      <c r="F12017">
        <v>20140821</v>
      </c>
      <c r="G12017" t="s">
        <v>483</v>
      </c>
      <c r="H12017" t="s">
        <v>414</v>
      </c>
      <c r="I12017" t="s">
        <v>21</v>
      </c>
    </row>
    <row r="12018" spans="1:9" x14ac:dyDescent="0.25">
      <c r="A12018">
        <v>20140822</v>
      </c>
      <c r="B12018" t="str">
        <f t="shared" si="687"/>
        <v>117020</v>
      </c>
      <c r="C12018" t="str">
        <f t="shared" si="688"/>
        <v>25516</v>
      </c>
      <c r="D12018" t="s">
        <v>529</v>
      </c>
      <c r="E12018">
        <v>935.12</v>
      </c>
      <c r="F12018">
        <v>20140822</v>
      </c>
      <c r="G12018" t="s">
        <v>484</v>
      </c>
      <c r="H12018" t="s">
        <v>414</v>
      </c>
      <c r="I12018" t="s">
        <v>21</v>
      </c>
    </row>
    <row r="12019" spans="1:9" x14ac:dyDescent="0.25">
      <c r="A12019">
        <v>20140822</v>
      </c>
      <c r="B12019" t="str">
        <f>"117021"</f>
        <v>117021</v>
      </c>
      <c r="C12019" t="str">
        <f>"26990"</f>
        <v>26990</v>
      </c>
      <c r="D12019" t="s">
        <v>548</v>
      </c>
      <c r="E12019">
        <v>695</v>
      </c>
      <c r="F12019">
        <v>20140822</v>
      </c>
      <c r="G12019" t="s">
        <v>1548</v>
      </c>
      <c r="H12019" t="s">
        <v>4992</v>
      </c>
      <c r="I12019" t="s">
        <v>21</v>
      </c>
    </row>
    <row r="12020" spans="1:9" x14ac:dyDescent="0.25">
      <c r="A12020">
        <v>20140822</v>
      </c>
      <c r="B12020" t="str">
        <f>"117022"</f>
        <v>117022</v>
      </c>
      <c r="C12020" t="str">
        <f>"27981"</f>
        <v>27981</v>
      </c>
      <c r="D12020" t="s">
        <v>551</v>
      </c>
      <c r="E12020">
        <v>34.68</v>
      </c>
      <c r="F12020">
        <v>20140821</v>
      </c>
      <c r="G12020" t="s">
        <v>627</v>
      </c>
      <c r="H12020" t="s">
        <v>414</v>
      </c>
      <c r="I12020" t="s">
        <v>21</v>
      </c>
    </row>
    <row r="12021" spans="1:9" x14ac:dyDescent="0.25">
      <c r="A12021">
        <v>20140822</v>
      </c>
      <c r="B12021" t="str">
        <f>"117023"</f>
        <v>117023</v>
      </c>
      <c r="C12021" t="str">
        <f>"81292"</f>
        <v>81292</v>
      </c>
      <c r="D12021" t="s">
        <v>1417</v>
      </c>
      <c r="E12021">
        <v>17.05</v>
      </c>
      <c r="F12021">
        <v>20140822</v>
      </c>
      <c r="G12021" t="s">
        <v>496</v>
      </c>
      <c r="H12021" t="s">
        <v>414</v>
      </c>
      <c r="I12021" t="s">
        <v>21</v>
      </c>
    </row>
    <row r="12022" spans="1:9" x14ac:dyDescent="0.25">
      <c r="A12022">
        <v>20140822</v>
      </c>
      <c r="B12022" t="str">
        <f>"117023"</f>
        <v>117023</v>
      </c>
      <c r="C12022" t="str">
        <f>"81292"</f>
        <v>81292</v>
      </c>
      <c r="D12022" t="s">
        <v>1417</v>
      </c>
      <c r="E12022">
        <v>26.04</v>
      </c>
      <c r="F12022">
        <v>20140822</v>
      </c>
      <c r="G12022" t="s">
        <v>496</v>
      </c>
      <c r="H12022" t="s">
        <v>414</v>
      </c>
      <c r="I12022" t="s">
        <v>21</v>
      </c>
    </row>
    <row r="12023" spans="1:9" x14ac:dyDescent="0.25">
      <c r="A12023">
        <v>20140822</v>
      </c>
      <c r="B12023" t="str">
        <f>"117023"</f>
        <v>117023</v>
      </c>
      <c r="C12023" t="str">
        <f>"81292"</f>
        <v>81292</v>
      </c>
      <c r="D12023" t="s">
        <v>1417</v>
      </c>
      <c r="E12023">
        <v>36.450000000000003</v>
      </c>
      <c r="F12023">
        <v>20140822</v>
      </c>
      <c r="G12023" t="s">
        <v>496</v>
      </c>
      <c r="H12023" t="s">
        <v>414</v>
      </c>
      <c r="I12023" t="s">
        <v>21</v>
      </c>
    </row>
    <row r="12024" spans="1:9" x14ac:dyDescent="0.25">
      <c r="A12024">
        <v>20140822</v>
      </c>
      <c r="B12024" t="str">
        <f>"117023"</f>
        <v>117023</v>
      </c>
      <c r="C12024" t="str">
        <f>"81292"</f>
        <v>81292</v>
      </c>
      <c r="D12024" t="s">
        <v>1417</v>
      </c>
      <c r="E12024">
        <v>1.2</v>
      </c>
      <c r="F12024">
        <v>20140822</v>
      </c>
      <c r="G12024" t="s">
        <v>496</v>
      </c>
      <c r="H12024" t="s">
        <v>414</v>
      </c>
      <c r="I12024" t="s">
        <v>21</v>
      </c>
    </row>
    <row r="12025" spans="1:9" x14ac:dyDescent="0.25">
      <c r="A12025">
        <v>20140822</v>
      </c>
      <c r="B12025" t="str">
        <f t="shared" ref="B12025:B12051" si="689">"117024"</f>
        <v>117024</v>
      </c>
      <c r="C12025" t="str">
        <f t="shared" ref="C12025:C12051" si="690">"31570"</f>
        <v>31570</v>
      </c>
      <c r="D12025" t="s">
        <v>1244</v>
      </c>
      <c r="E12025">
        <v>35.76</v>
      </c>
      <c r="F12025">
        <v>20140821</v>
      </c>
      <c r="G12025" t="s">
        <v>498</v>
      </c>
      <c r="H12025" t="s">
        <v>499</v>
      </c>
      <c r="I12025" t="s">
        <v>21</v>
      </c>
    </row>
    <row r="12026" spans="1:9" x14ac:dyDescent="0.25">
      <c r="A12026">
        <v>20140822</v>
      </c>
      <c r="B12026" t="str">
        <f t="shared" si="689"/>
        <v>117024</v>
      </c>
      <c r="C12026" t="str">
        <f t="shared" si="690"/>
        <v>31570</v>
      </c>
      <c r="D12026" t="s">
        <v>1244</v>
      </c>
      <c r="E12026">
        <v>282.77</v>
      </c>
      <c r="F12026">
        <v>20140821</v>
      </c>
      <c r="G12026" t="s">
        <v>496</v>
      </c>
      <c r="H12026" t="s">
        <v>414</v>
      </c>
      <c r="I12026" t="s">
        <v>21</v>
      </c>
    </row>
    <row r="12027" spans="1:9" x14ac:dyDescent="0.25">
      <c r="A12027">
        <v>20140822</v>
      </c>
      <c r="B12027" t="str">
        <f t="shared" si="689"/>
        <v>117024</v>
      </c>
      <c r="C12027" t="str">
        <f t="shared" si="690"/>
        <v>31570</v>
      </c>
      <c r="D12027" t="s">
        <v>1244</v>
      </c>
      <c r="E12027">
        <v>36.06</v>
      </c>
      <c r="F12027">
        <v>20140822</v>
      </c>
      <c r="G12027" t="s">
        <v>496</v>
      </c>
      <c r="H12027" t="s">
        <v>414</v>
      </c>
      <c r="I12027" t="s">
        <v>21</v>
      </c>
    </row>
    <row r="12028" spans="1:9" x14ac:dyDescent="0.25">
      <c r="A12028">
        <v>20140822</v>
      </c>
      <c r="B12028" t="str">
        <f t="shared" si="689"/>
        <v>117024</v>
      </c>
      <c r="C12028" t="str">
        <f t="shared" si="690"/>
        <v>31570</v>
      </c>
      <c r="D12028" t="s">
        <v>1244</v>
      </c>
      <c r="E12028">
        <v>694.1</v>
      </c>
      <c r="F12028">
        <v>20140821</v>
      </c>
      <c r="G12028" t="s">
        <v>413</v>
      </c>
      <c r="H12028" t="s">
        <v>414</v>
      </c>
      <c r="I12028" t="s">
        <v>21</v>
      </c>
    </row>
    <row r="12029" spans="1:9" x14ac:dyDescent="0.25">
      <c r="A12029">
        <v>20140822</v>
      </c>
      <c r="B12029" t="str">
        <f t="shared" si="689"/>
        <v>117024</v>
      </c>
      <c r="C12029" t="str">
        <f t="shared" si="690"/>
        <v>31570</v>
      </c>
      <c r="D12029" t="s">
        <v>1244</v>
      </c>
      <c r="E12029">
        <v>26.4</v>
      </c>
      <c r="F12029">
        <v>20140821</v>
      </c>
      <c r="G12029" t="s">
        <v>413</v>
      </c>
      <c r="H12029" t="s">
        <v>414</v>
      </c>
      <c r="I12029" t="s">
        <v>21</v>
      </c>
    </row>
    <row r="12030" spans="1:9" x14ac:dyDescent="0.25">
      <c r="A12030">
        <v>20140822</v>
      </c>
      <c r="B12030" t="str">
        <f t="shared" si="689"/>
        <v>117024</v>
      </c>
      <c r="C12030" t="str">
        <f t="shared" si="690"/>
        <v>31570</v>
      </c>
      <c r="D12030" t="s">
        <v>1244</v>
      </c>
      <c r="E12030">
        <v>9.75</v>
      </c>
      <c r="F12030">
        <v>20140821</v>
      </c>
      <c r="G12030" t="s">
        <v>476</v>
      </c>
      <c r="H12030" t="s">
        <v>414</v>
      </c>
      <c r="I12030" t="s">
        <v>21</v>
      </c>
    </row>
    <row r="12031" spans="1:9" x14ac:dyDescent="0.25">
      <c r="A12031">
        <v>20140822</v>
      </c>
      <c r="B12031" t="str">
        <f t="shared" si="689"/>
        <v>117024</v>
      </c>
      <c r="C12031" t="str">
        <f t="shared" si="690"/>
        <v>31570</v>
      </c>
      <c r="D12031" t="s">
        <v>1244</v>
      </c>
      <c r="E12031">
        <v>282.67</v>
      </c>
      <c r="F12031">
        <v>20140821</v>
      </c>
      <c r="G12031" t="s">
        <v>415</v>
      </c>
      <c r="H12031" t="s">
        <v>414</v>
      </c>
      <c r="I12031" t="s">
        <v>21</v>
      </c>
    </row>
    <row r="12032" spans="1:9" x14ac:dyDescent="0.25">
      <c r="A12032">
        <v>20140822</v>
      </c>
      <c r="B12032" t="str">
        <f t="shared" si="689"/>
        <v>117024</v>
      </c>
      <c r="C12032" t="str">
        <f t="shared" si="690"/>
        <v>31570</v>
      </c>
      <c r="D12032" t="s">
        <v>1244</v>
      </c>
      <c r="E12032">
        <v>55.93</v>
      </c>
      <c r="F12032">
        <v>20140822</v>
      </c>
      <c r="G12032" t="s">
        <v>415</v>
      </c>
      <c r="H12032" t="s">
        <v>414</v>
      </c>
      <c r="I12032" t="s">
        <v>21</v>
      </c>
    </row>
    <row r="12033" spans="1:9" x14ac:dyDescent="0.25">
      <c r="A12033">
        <v>20140822</v>
      </c>
      <c r="B12033" t="str">
        <f t="shared" si="689"/>
        <v>117024</v>
      </c>
      <c r="C12033" t="str">
        <f t="shared" si="690"/>
        <v>31570</v>
      </c>
      <c r="D12033" t="s">
        <v>1244</v>
      </c>
      <c r="E12033" s="1">
        <v>1013.99</v>
      </c>
      <c r="F12033">
        <v>20140821</v>
      </c>
      <c r="G12033" t="s">
        <v>627</v>
      </c>
      <c r="H12033" t="s">
        <v>414</v>
      </c>
      <c r="I12033" t="s">
        <v>21</v>
      </c>
    </row>
    <row r="12034" spans="1:9" x14ac:dyDescent="0.25">
      <c r="A12034">
        <v>20140822</v>
      </c>
      <c r="B12034" t="str">
        <f t="shared" si="689"/>
        <v>117024</v>
      </c>
      <c r="C12034" t="str">
        <f t="shared" si="690"/>
        <v>31570</v>
      </c>
      <c r="D12034" t="s">
        <v>1244</v>
      </c>
      <c r="E12034">
        <v>39.479999999999997</v>
      </c>
      <c r="F12034">
        <v>20140821</v>
      </c>
      <c r="G12034" t="s">
        <v>627</v>
      </c>
      <c r="H12034" t="s">
        <v>414</v>
      </c>
      <c r="I12034" t="s">
        <v>21</v>
      </c>
    </row>
    <row r="12035" spans="1:9" x14ac:dyDescent="0.25">
      <c r="A12035">
        <v>20140822</v>
      </c>
      <c r="B12035" t="str">
        <f t="shared" si="689"/>
        <v>117024</v>
      </c>
      <c r="C12035" t="str">
        <f t="shared" si="690"/>
        <v>31570</v>
      </c>
      <c r="D12035" t="s">
        <v>1244</v>
      </c>
      <c r="E12035">
        <v>9.44</v>
      </c>
      <c r="F12035">
        <v>20140822</v>
      </c>
      <c r="G12035" t="s">
        <v>627</v>
      </c>
      <c r="H12035" t="s">
        <v>414</v>
      </c>
      <c r="I12035" t="s">
        <v>21</v>
      </c>
    </row>
    <row r="12036" spans="1:9" x14ac:dyDescent="0.25">
      <c r="A12036">
        <v>20140822</v>
      </c>
      <c r="B12036" t="str">
        <f t="shared" si="689"/>
        <v>117024</v>
      </c>
      <c r="C12036" t="str">
        <f t="shared" si="690"/>
        <v>31570</v>
      </c>
      <c r="D12036" t="s">
        <v>1244</v>
      </c>
      <c r="E12036">
        <v>446.2</v>
      </c>
      <c r="F12036">
        <v>20140821</v>
      </c>
      <c r="G12036" t="s">
        <v>1222</v>
      </c>
      <c r="H12036" t="s">
        <v>414</v>
      </c>
      <c r="I12036" t="s">
        <v>21</v>
      </c>
    </row>
    <row r="12037" spans="1:9" x14ac:dyDescent="0.25">
      <c r="A12037">
        <v>20140822</v>
      </c>
      <c r="B12037" t="str">
        <f t="shared" si="689"/>
        <v>117024</v>
      </c>
      <c r="C12037" t="str">
        <f t="shared" si="690"/>
        <v>31570</v>
      </c>
      <c r="D12037" t="s">
        <v>1244</v>
      </c>
      <c r="E12037">
        <v>25.57</v>
      </c>
      <c r="F12037">
        <v>20140821</v>
      </c>
      <c r="G12037" t="s">
        <v>1222</v>
      </c>
      <c r="H12037" t="s">
        <v>414</v>
      </c>
      <c r="I12037" t="s">
        <v>21</v>
      </c>
    </row>
    <row r="12038" spans="1:9" x14ac:dyDescent="0.25">
      <c r="A12038">
        <v>20140822</v>
      </c>
      <c r="B12038" t="str">
        <f t="shared" si="689"/>
        <v>117024</v>
      </c>
      <c r="C12038" t="str">
        <f t="shared" si="690"/>
        <v>31570</v>
      </c>
      <c r="D12038" t="s">
        <v>1244</v>
      </c>
      <c r="E12038">
        <v>109.59</v>
      </c>
      <c r="F12038">
        <v>20140821</v>
      </c>
      <c r="G12038" t="s">
        <v>628</v>
      </c>
      <c r="H12038" t="s">
        <v>414</v>
      </c>
      <c r="I12038" t="s">
        <v>21</v>
      </c>
    </row>
    <row r="12039" spans="1:9" x14ac:dyDescent="0.25">
      <c r="A12039">
        <v>20140822</v>
      </c>
      <c r="B12039" t="str">
        <f t="shared" si="689"/>
        <v>117024</v>
      </c>
      <c r="C12039" t="str">
        <f t="shared" si="690"/>
        <v>31570</v>
      </c>
      <c r="D12039" t="s">
        <v>1244</v>
      </c>
      <c r="E12039">
        <v>205.27</v>
      </c>
      <c r="F12039">
        <v>20140821</v>
      </c>
      <c r="G12039" t="s">
        <v>630</v>
      </c>
      <c r="H12039" t="s">
        <v>414</v>
      </c>
      <c r="I12039" t="s">
        <v>21</v>
      </c>
    </row>
    <row r="12040" spans="1:9" x14ac:dyDescent="0.25">
      <c r="A12040">
        <v>20140822</v>
      </c>
      <c r="B12040" t="str">
        <f t="shared" si="689"/>
        <v>117024</v>
      </c>
      <c r="C12040" t="str">
        <f t="shared" si="690"/>
        <v>31570</v>
      </c>
      <c r="D12040" t="s">
        <v>1244</v>
      </c>
      <c r="E12040">
        <v>606.1</v>
      </c>
      <c r="F12040">
        <v>20140821</v>
      </c>
      <c r="G12040" t="s">
        <v>530</v>
      </c>
      <c r="H12040" t="s">
        <v>414</v>
      </c>
      <c r="I12040" t="s">
        <v>21</v>
      </c>
    </row>
    <row r="12041" spans="1:9" x14ac:dyDescent="0.25">
      <c r="A12041">
        <v>20140822</v>
      </c>
      <c r="B12041" t="str">
        <f t="shared" si="689"/>
        <v>117024</v>
      </c>
      <c r="C12041" t="str">
        <f t="shared" si="690"/>
        <v>31570</v>
      </c>
      <c r="D12041" t="s">
        <v>1244</v>
      </c>
      <c r="E12041">
        <v>29.67</v>
      </c>
      <c r="F12041">
        <v>20140821</v>
      </c>
      <c r="G12041" t="s">
        <v>530</v>
      </c>
      <c r="H12041" t="s">
        <v>414</v>
      </c>
      <c r="I12041" t="s">
        <v>21</v>
      </c>
    </row>
    <row r="12042" spans="1:9" x14ac:dyDescent="0.25">
      <c r="A12042">
        <v>20140822</v>
      </c>
      <c r="B12042" t="str">
        <f t="shared" si="689"/>
        <v>117024</v>
      </c>
      <c r="C12042" t="str">
        <f t="shared" si="690"/>
        <v>31570</v>
      </c>
      <c r="D12042" t="s">
        <v>1244</v>
      </c>
      <c r="E12042">
        <v>23.2</v>
      </c>
      <c r="F12042">
        <v>20140821</v>
      </c>
      <c r="G12042" t="s">
        <v>631</v>
      </c>
      <c r="H12042" t="s">
        <v>414</v>
      </c>
      <c r="I12042" t="s">
        <v>21</v>
      </c>
    </row>
    <row r="12043" spans="1:9" x14ac:dyDescent="0.25">
      <c r="A12043">
        <v>20140822</v>
      </c>
      <c r="B12043" t="str">
        <f t="shared" si="689"/>
        <v>117024</v>
      </c>
      <c r="C12043" t="str">
        <f t="shared" si="690"/>
        <v>31570</v>
      </c>
      <c r="D12043" t="s">
        <v>1244</v>
      </c>
      <c r="E12043">
        <v>315.99</v>
      </c>
      <c r="F12043">
        <v>20140821</v>
      </c>
      <c r="G12043" t="s">
        <v>392</v>
      </c>
      <c r="H12043" t="s">
        <v>414</v>
      </c>
      <c r="I12043" t="s">
        <v>21</v>
      </c>
    </row>
    <row r="12044" spans="1:9" x14ac:dyDescent="0.25">
      <c r="A12044">
        <v>20140822</v>
      </c>
      <c r="B12044" t="str">
        <f t="shared" si="689"/>
        <v>117024</v>
      </c>
      <c r="C12044" t="str">
        <f t="shared" si="690"/>
        <v>31570</v>
      </c>
      <c r="D12044" t="s">
        <v>1244</v>
      </c>
      <c r="E12044">
        <v>5.39</v>
      </c>
      <c r="F12044">
        <v>20140821</v>
      </c>
      <c r="G12044" t="s">
        <v>392</v>
      </c>
      <c r="H12044" t="s">
        <v>414</v>
      </c>
      <c r="I12044" t="s">
        <v>21</v>
      </c>
    </row>
    <row r="12045" spans="1:9" x14ac:dyDescent="0.25">
      <c r="A12045">
        <v>20140822</v>
      </c>
      <c r="B12045" t="str">
        <f t="shared" si="689"/>
        <v>117024</v>
      </c>
      <c r="C12045" t="str">
        <f t="shared" si="690"/>
        <v>31570</v>
      </c>
      <c r="D12045" t="s">
        <v>1244</v>
      </c>
      <c r="E12045">
        <v>6.26</v>
      </c>
      <c r="F12045">
        <v>20140822</v>
      </c>
      <c r="G12045" t="s">
        <v>392</v>
      </c>
      <c r="H12045" t="s">
        <v>414</v>
      </c>
      <c r="I12045" t="s">
        <v>21</v>
      </c>
    </row>
    <row r="12046" spans="1:9" x14ac:dyDescent="0.25">
      <c r="A12046">
        <v>20140822</v>
      </c>
      <c r="B12046" t="str">
        <f t="shared" si="689"/>
        <v>117024</v>
      </c>
      <c r="C12046" t="str">
        <f t="shared" si="690"/>
        <v>31570</v>
      </c>
      <c r="D12046" t="s">
        <v>1244</v>
      </c>
      <c r="E12046">
        <v>17.600000000000001</v>
      </c>
      <c r="F12046">
        <v>20140821</v>
      </c>
      <c r="G12046" t="s">
        <v>531</v>
      </c>
      <c r="H12046" t="s">
        <v>414</v>
      </c>
      <c r="I12046" t="s">
        <v>21</v>
      </c>
    </row>
    <row r="12047" spans="1:9" x14ac:dyDescent="0.25">
      <c r="A12047">
        <v>20140822</v>
      </c>
      <c r="B12047" t="str">
        <f t="shared" si="689"/>
        <v>117024</v>
      </c>
      <c r="C12047" t="str">
        <f t="shared" si="690"/>
        <v>31570</v>
      </c>
      <c r="D12047" t="s">
        <v>1244</v>
      </c>
      <c r="E12047">
        <v>118.61</v>
      </c>
      <c r="F12047">
        <v>20140821</v>
      </c>
      <c r="G12047" t="s">
        <v>1245</v>
      </c>
      <c r="H12047" t="s">
        <v>414</v>
      </c>
      <c r="I12047" t="s">
        <v>21</v>
      </c>
    </row>
    <row r="12048" spans="1:9" x14ac:dyDescent="0.25">
      <c r="A12048">
        <v>20140822</v>
      </c>
      <c r="B12048" t="str">
        <f t="shared" si="689"/>
        <v>117024</v>
      </c>
      <c r="C12048" t="str">
        <f t="shared" si="690"/>
        <v>31570</v>
      </c>
      <c r="D12048" t="s">
        <v>1244</v>
      </c>
      <c r="E12048" s="1">
        <v>1946.29</v>
      </c>
      <c r="F12048">
        <v>20140821</v>
      </c>
      <c r="G12048" t="s">
        <v>417</v>
      </c>
      <c r="H12048" t="s">
        <v>414</v>
      </c>
      <c r="I12048" t="s">
        <v>21</v>
      </c>
    </row>
    <row r="12049" spans="1:9" x14ac:dyDescent="0.25">
      <c r="A12049">
        <v>20140822</v>
      </c>
      <c r="B12049" t="str">
        <f t="shared" si="689"/>
        <v>117024</v>
      </c>
      <c r="C12049" t="str">
        <f t="shared" si="690"/>
        <v>31570</v>
      </c>
      <c r="D12049" t="s">
        <v>1244</v>
      </c>
      <c r="E12049">
        <v>4.1100000000000003</v>
      </c>
      <c r="F12049">
        <v>20140821</v>
      </c>
      <c r="G12049" t="s">
        <v>417</v>
      </c>
      <c r="H12049" t="s">
        <v>414</v>
      </c>
      <c r="I12049" t="s">
        <v>21</v>
      </c>
    </row>
    <row r="12050" spans="1:9" x14ac:dyDescent="0.25">
      <c r="A12050">
        <v>20140822</v>
      </c>
      <c r="B12050" t="str">
        <f t="shared" si="689"/>
        <v>117024</v>
      </c>
      <c r="C12050" t="str">
        <f t="shared" si="690"/>
        <v>31570</v>
      </c>
      <c r="D12050" t="s">
        <v>1244</v>
      </c>
      <c r="E12050">
        <v>6.56</v>
      </c>
      <c r="F12050">
        <v>20140822</v>
      </c>
      <c r="G12050" t="s">
        <v>417</v>
      </c>
      <c r="H12050" t="s">
        <v>414</v>
      </c>
      <c r="I12050" t="s">
        <v>21</v>
      </c>
    </row>
    <row r="12051" spans="1:9" x14ac:dyDescent="0.25">
      <c r="A12051">
        <v>20140822</v>
      </c>
      <c r="B12051" t="str">
        <f t="shared" si="689"/>
        <v>117024</v>
      </c>
      <c r="C12051" t="str">
        <f t="shared" si="690"/>
        <v>31570</v>
      </c>
      <c r="D12051" t="s">
        <v>1244</v>
      </c>
      <c r="E12051">
        <v>290</v>
      </c>
      <c r="F12051">
        <v>20140821</v>
      </c>
      <c r="G12051" t="s">
        <v>3820</v>
      </c>
      <c r="H12051" t="s">
        <v>414</v>
      </c>
      <c r="I12051" t="s">
        <v>21</v>
      </c>
    </row>
    <row r="12052" spans="1:9" x14ac:dyDescent="0.25">
      <c r="A12052">
        <v>20140822</v>
      </c>
      <c r="B12052" t="str">
        <f>"117025"</f>
        <v>117025</v>
      </c>
      <c r="C12052" t="str">
        <f>"84827"</f>
        <v>84827</v>
      </c>
      <c r="D12052" t="s">
        <v>4707</v>
      </c>
      <c r="E12052">
        <v>136</v>
      </c>
      <c r="F12052">
        <v>20140822</v>
      </c>
      <c r="G12052" t="s">
        <v>1167</v>
      </c>
      <c r="H12052" t="s">
        <v>4993</v>
      </c>
      <c r="I12052" t="s">
        <v>21</v>
      </c>
    </row>
    <row r="12053" spans="1:9" x14ac:dyDescent="0.25">
      <c r="A12053">
        <v>20140822</v>
      </c>
      <c r="B12053" t="str">
        <f>"117026"</f>
        <v>117026</v>
      </c>
      <c r="C12053" t="str">
        <f>"35817"</f>
        <v>35817</v>
      </c>
      <c r="D12053" t="s">
        <v>600</v>
      </c>
      <c r="E12053">
        <v>49.39</v>
      </c>
      <c r="F12053">
        <v>20140822</v>
      </c>
      <c r="G12053" t="s">
        <v>1250</v>
      </c>
      <c r="H12053" t="s">
        <v>365</v>
      </c>
      <c r="I12053" t="s">
        <v>66</v>
      </c>
    </row>
    <row r="12054" spans="1:9" x14ac:dyDescent="0.25">
      <c r="A12054">
        <v>20140822</v>
      </c>
      <c r="B12054" t="str">
        <f>"117027"</f>
        <v>117027</v>
      </c>
      <c r="C12054" t="str">
        <f>"83362"</f>
        <v>83362</v>
      </c>
      <c r="D12054" t="s">
        <v>1443</v>
      </c>
      <c r="E12054">
        <v>881.5</v>
      </c>
      <c r="F12054">
        <v>20140821</v>
      </c>
      <c r="G12054" t="s">
        <v>1071</v>
      </c>
      <c r="H12054" t="s">
        <v>1761</v>
      </c>
      <c r="I12054" t="s">
        <v>21</v>
      </c>
    </row>
    <row r="12055" spans="1:9" x14ac:dyDescent="0.25">
      <c r="A12055">
        <v>20140822</v>
      </c>
      <c r="B12055" t="str">
        <f>"117027"</f>
        <v>117027</v>
      </c>
      <c r="C12055" t="str">
        <f>"83362"</f>
        <v>83362</v>
      </c>
      <c r="D12055" t="s">
        <v>1443</v>
      </c>
      <c r="E12055">
        <v>584.16999999999996</v>
      </c>
      <c r="F12055">
        <v>20140822</v>
      </c>
      <c r="G12055" t="s">
        <v>1071</v>
      </c>
      <c r="H12055" t="s">
        <v>4994</v>
      </c>
      <c r="I12055" t="s">
        <v>21</v>
      </c>
    </row>
    <row r="12056" spans="1:9" x14ac:dyDescent="0.25">
      <c r="A12056">
        <v>20140822</v>
      </c>
      <c r="B12056" t="str">
        <f>"117028"</f>
        <v>117028</v>
      </c>
      <c r="C12056" t="str">
        <f>"83362"</f>
        <v>83362</v>
      </c>
      <c r="D12056" t="s">
        <v>1443</v>
      </c>
      <c r="E12056" s="1">
        <v>7134.76</v>
      </c>
      <c r="F12056">
        <v>20140822</v>
      </c>
      <c r="G12056" t="s">
        <v>1071</v>
      </c>
      <c r="H12056" t="s">
        <v>4995</v>
      </c>
      <c r="I12056" t="s">
        <v>21</v>
      </c>
    </row>
    <row r="12057" spans="1:9" x14ac:dyDescent="0.25">
      <c r="A12057">
        <v>20140822</v>
      </c>
      <c r="B12057" t="str">
        <f>"117028"</f>
        <v>117028</v>
      </c>
      <c r="C12057" t="str">
        <f>"83362"</f>
        <v>83362</v>
      </c>
      <c r="D12057" t="s">
        <v>1443</v>
      </c>
      <c r="E12057" s="1">
        <v>-7134.76</v>
      </c>
      <c r="F12057">
        <v>20140825</v>
      </c>
      <c r="G12057" t="s">
        <v>1071</v>
      </c>
      <c r="H12057" t="s">
        <v>1706</v>
      </c>
      <c r="I12057" t="s">
        <v>21</v>
      </c>
    </row>
    <row r="12058" spans="1:9" x14ac:dyDescent="0.25">
      <c r="A12058">
        <v>20140822</v>
      </c>
      <c r="B12058" t="str">
        <f>"117029"</f>
        <v>117029</v>
      </c>
      <c r="C12058" t="str">
        <f>"39315"</f>
        <v>39315</v>
      </c>
      <c r="D12058" t="s">
        <v>420</v>
      </c>
      <c r="E12058">
        <v>55.45</v>
      </c>
      <c r="F12058">
        <v>20140821</v>
      </c>
      <c r="G12058" t="s">
        <v>410</v>
      </c>
      <c r="H12058" t="s">
        <v>365</v>
      </c>
      <c r="I12058" t="s">
        <v>12</v>
      </c>
    </row>
    <row r="12059" spans="1:9" x14ac:dyDescent="0.25">
      <c r="A12059">
        <v>20140822</v>
      </c>
      <c r="B12059" t="str">
        <f>"117030"</f>
        <v>117030</v>
      </c>
      <c r="C12059" t="str">
        <f>"00267"</f>
        <v>00267</v>
      </c>
      <c r="D12059" t="s">
        <v>2000</v>
      </c>
      <c r="E12059">
        <v>321</v>
      </c>
      <c r="F12059">
        <v>20140821</v>
      </c>
      <c r="G12059" t="s">
        <v>271</v>
      </c>
      <c r="H12059" t="s">
        <v>921</v>
      </c>
      <c r="I12059" t="s">
        <v>25</v>
      </c>
    </row>
    <row r="12060" spans="1:9" x14ac:dyDescent="0.25">
      <c r="A12060">
        <v>20140822</v>
      </c>
      <c r="B12060" t="str">
        <f>"117031"</f>
        <v>117031</v>
      </c>
      <c r="C12060" t="str">
        <f>"86928"</f>
        <v>86928</v>
      </c>
      <c r="D12060" t="s">
        <v>1457</v>
      </c>
      <c r="E12060">
        <v>311.31</v>
      </c>
      <c r="F12060">
        <v>20140821</v>
      </c>
      <c r="G12060" t="s">
        <v>3962</v>
      </c>
      <c r="H12060" t="s">
        <v>563</v>
      </c>
      <c r="I12060" t="s">
        <v>79</v>
      </c>
    </row>
    <row r="12061" spans="1:9" x14ac:dyDescent="0.25">
      <c r="A12061">
        <v>20140822</v>
      </c>
      <c r="B12061" t="str">
        <f>"117032"</f>
        <v>117032</v>
      </c>
      <c r="C12061" t="str">
        <f>"44875"</f>
        <v>44875</v>
      </c>
      <c r="D12061" t="s">
        <v>424</v>
      </c>
      <c r="E12061">
        <v>55.45</v>
      </c>
      <c r="F12061">
        <v>20140821</v>
      </c>
      <c r="G12061" t="s">
        <v>410</v>
      </c>
      <c r="H12061" t="s">
        <v>365</v>
      </c>
      <c r="I12061" t="s">
        <v>12</v>
      </c>
    </row>
    <row r="12062" spans="1:9" x14ac:dyDescent="0.25">
      <c r="A12062">
        <v>20140822</v>
      </c>
      <c r="B12062" t="str">
        <f>"117032"</f>
        <v>117032</v>
      </c>
      <c r="C12062" t="str">
        <f>"44875"</f>
        <v>44875</v>
      </c>
      <c r="D12062" t="s">
        <v>424</v>
      </c>
      <c r="E12062">
        <v>55.45</v>
      </c>
      <c r="F12062">
        <v>20140821</v>
      </c>
      <c r="G12062" t="s">
        <v>410</v>
      </c>
      <c r="H12062" t="s">
        <v>365</v>
      </c>
      <c r="I12062" t="s">
        <v>12</v>
      </c>
    </row>
    <row r="12063" spans="1:9" x14ac:dyDescent="0.25">
      <c r="A12063">
        <v>20140822</v>
      </c>
      <c r="B12063" t="str">
        <f>"117033"</f>
        <v>117033</v>
      </c>
      <c r="C12063" t="str">
        <f>"45605"</f>
        <v>45605</v>
      </c>
      <c r="D12063" t="s">
        <v>1474</v>
      </c>
      <c r="E12063">
        <v>25.31</v>
      </c>
      <c r="F12063">
        <v>20140821</v>
      </c>
      <c r="G12063" t="s">
        <v>417</v>
      </c>
      <c r="H12063" t="s">
        <v>414</v>
      </c>
      <c r="I12063" t="s">
        <v>21</v>
      </c>
    </row>
    <row r="12064" spans="1:9" x14ac:dyDescent="0.25">
      <c r="A12064">
        <v>20140822</v>
      </c>
      <c r="B12064" t="str">
        <f>"117034"</f>
        <v>117034</v>
      </c>
      <c r="C12064" t="str">
        <f>"46225"</f>
        <v>46225</v>
      </c>
      <c r="D12064" t="s">
        <v>3566</v>
      </c>
      <c r="E12064" s="1">
        <v>5670.46</v>
      </c>
      <c r="F12064">
        <v>20140821</v>
      </c>
      <c r="G12064" t="s">
        <v>2667</v>
      </c>
      <c r="H12064" t="s">
        <v>839</v>
      </c>
      <c r="I12064" t="s">
        <v>21</v>
      </c>
    </row>
    <row r="12065" spans="1:9" x14ac:dyDescent="0.25">
      <c r="A12065">
        <v>20140822</v>
      </c>
      <c r="B12065" t="str">
        <f t="shared" ref="B12065:B12071" si="691">"117035"</f>
        <v>117035</v>
      </c>
      <c r="C12065" t="str">
        <f t="shared" ref="C12065:C12071" si="692">"46500"</f>
        <v>46500</v>
      </c>
      <c r="D12065" t="s">
        <v>626</v>
      </c>
      <c r="E12065">
        <v>175.93</v>
      </c>
      <c r="F12065">
        <v>20140821</v>
      </c>
      <c r="G12065" t="s">
        <v>496</v>
      </c>
      <c r="H12065" t="s">
        <v>414</v>
      </c>
      <c r="I12065" t="s">
        <v>21</v>
      </c>
    </row>
    <row r="12066" spans="1:9" x14ac:dyDescent="0.25">
      <c r="A12066">
        <v>20140822</v>
      </c>
      <c r="B12066" t="str">
        <f t="shared" si="691"/>
        <v>117035</v>
      </c>
      <c r="C12066" t="str">
        <f t="shared" si="692"/>
        <v>46500</v>
      </c>
      <c r="D12066" t="s">
        <v>626</v>
      </c>
      <c r="E12066">
        <v>36.99</v>
      </c>
      <c r="F12066">
        <v>20140822</v>
      </c>
      <c r="G12066" t="s">
        <v>496</v>
      </c>
      <c r="H12066" t="s">
        <v>414</v>
      </c>
      <c r="I12066" t="s">
        <v>21</v>
      </c>
    </row>
    <row r="12067" spans="1:9" x14ac:dyDescent="0.25">
      <c r="A12067">
        <v>20140822</v>
      </c>
      <c r="B12067" t="str">
        <f t="shared" si="691"/>
        <v>117035</v>
      </c>
      <c r="C12067" t="str">
        <f t="shared" si="692"/>
        <v>46500</v>
      </c>
      <c r="D12067" t="s">
        <v>626</v>
      </c>
      <c r="E12067">
        <v>63.07</v>
      </c>
      <c r="F12067">
        <v>20140821</v>
      </c>
      <c r="G12067" t="s">
        <v>415</v>
      </c>
      <c r="H12067" t="s">
        <v>414</v>
      </c>
      <c r="I12067" t="s">
        <v>21</v>
      </c>
    </row>
    <row r="12068" spans="1:9" x14ac:dyDescent="0.25">
      <c r="A12068">
        <v>20140822</v>
      </c>
      <c r="B12068" t="str">
        <f t="shared" si="691"/>
        <v>117035</v>
      </c>
      <c r="C12068" t="str">
        <f t="shared" si="692"/>
        <v>46500</v>
      </c>
      <c r="D12068" t="s">
        <v>626</v>
      </c>
      <c r="E12068">
        <v>225.12</v>
      </c>
      <c r="F12068">
        <v>20140821</v>
      </c>
      <c r="G12068" t="s">
        <v>627</v>
      </c>
      <c r="H12068" t="s">
        <v>414</v>
      </c>
      <c r="I12068" t="s">
        <v>21</v>
      </c>
    </row>
    <row r="12069" spans="1:9" x14ac:dyDescent="0.25">
      <c r="A12069">
        <v>20140822</v>
      </c>
      <c r="B12069" t="str">
        <f t="shared" si="691"/>
        <v>117035</v>
      </c>
      <c r="C12069" t="str">
        <f t="shared" si="692"/>
        <v>46500</v>
      </c>
      <c r="D12069" t="s">
        <v>626</v>
      </c>
      <c r="E12069">
        <v>29.82</v>
      </c>
      <c r="F12069">
        <v>20140821</v>
      </c>
      <c r="G12069" t="s">
        <v>627</v>
      </c>
      <c r="H12069" t="s">
        <v>414</v>
      </c>
      <c r="I12069" t="s">
        <v>21</v>
      </c>
    </row>
    <row r="12070" spans="1:9" x14ac:dyDescent="0.25">
      <c r="A12070">
        <v>20140822</v>
      </c>
      <c r="B12070" t="str">
        <f t="shared" si="691"/>
        <v>117035</v>
      </c>
      <c r="C12070" t="str">
        <f t="shared" si="692"/>
        <v>46500</v>
      </c>
      <c r="D12070" t="s">
        <v>626</v>
      </c>
      <c r="E12070">
        <v>73.8</v>
      </c>
      <c r="F12070">
        <v>20140821</v>
      </c>
      <c r="G12070" t="s">
        <v>628</v>
      </c>
      <c r="H12070" t="s">
        <v>414</v>
      </c>
      <c r="I12070" t="s">
        <v>21</v>
      </c>
    </row>
    <row r="12071" spans="1:9" x14ac:dyDescent="0.25">
      <c r="A12071">
        <v>20140822</v>
      </c>
      <c r="B12071" t="str">
        <f t="shared" si="691"/>
        <v>117035</v>
      </c>
      <c r="C12071" t="str">
        <f t="shared" si="692"/>
        <v>46500</v>
      </c>
      <c r="D12071" t="s">
        <v>626</v>
      </c>
      <c r="E12071">
        <v>146.72999999999999</v>
      </c>
      <c r="F12071">
        <v>20140821</v>
      </c>
      <c r="G12071" t="s">
        <v>531</v>
      </c>
      <c r="H12071" t="s">
        <v>414</v>
      </c>
      <c r="I12071" t="s">
        <v>21</v>
      </c>
    </row>
    <row r="12072" spans="1:9" x14ac:dyDescent="0.25">
      <c r="A12072">
        <v>20140822</v>
      </c>
      <c r="B12072" t="str">
        <f>"117036"</f>
        <v>117036</v>
      </c>
      <c r="C12072" t="str">
        <f>"84249"</f>
        <v>84249</v>
      </c>
      <c r="D12072" t="s">
        <v>1111</v>
      </c>
      <c r="E12072">
        <v>58.84</v>
      </c>
      <c r="F12072">
        <v>20140821</v>
      </c>
      <c r="G12072" t="s">
        <v>619</v>
      </c>
      <c r="H12072" t="s">
        <v>365</v>
      </c>
      <c r="I12072" t="s">
        <v>21</v>
      </c>
    </row>
    <row r="12073" spans="1:9" x14ac:dyDescent="0.25">
      <c r="A12073">
        <v>20140822</v>
      </c>
      <c r="B12073" t="str">
        <f>"117036"</f>
        <v>117036</v>
      </c>
      <c r="C12073" t="str">
        <f>"84249"</f>
        <v>84249</v>
      </c>
      <c r="D12073" t="s">
        <v>1111</v>
      </c>
      <c r="E12073">
        <v>78.48</v>
      </c>
      <c r="F12073">
        <v>20140821</v>
      </c>
      <c r="G12073" t="s">
        <v>810</v>
      </c>
      <c r="H12073" t="s">
        <v>365</v>
      </c>
      <c r="I12073" t="s">
        <v>66</v>
      </c>
    </row>
    <row r="12074" spans="1:9" x14ac:dyDescent="0.25">
      <c r="A12074">
        <v>20140822</v>
      </c>
      <c r="B12074" t="str">
        <f t="shared" ref="B12074:B12079" si="693">"117037"</f>
        <v>117037</v>
      </c>
      <c r="C12074" t="str">
        <f t="shared" ref="C12074:C12079" si="694">"52518"</f>
        <v>52518</v>
      </c>
      <c r="D12074" t="s">
        <v>647</v>
      </c>
      <c r="E12074">
        <v>745.98</v>
      </c>
      <c r="F12074">
        <v>20140821</v>
      </c>
      <c r="G12074" t="s">
        <v>498</v>
      </c>
      <c r="H12074" t="s">
        <v>499</v>
      </c>
      <c r="I12074" t="s">
        <v>21</v>
      </c>
    </row>
    <row r="12075" spans="1:9" x14ac:dyDescent="0.25">
      <c r="A12075">
        <v>20140822</v>
      </c>
      <c r="B12075" t="str">
        <f t="shared" si="693"/>
        <v>117037</v>
      </c>
      <c r="C12075" t="str">
        <f t="shared" si="694"/>
        <v>52518</v>
      </c>
      <c r="D12075" t="s">
        <v>647</v>
      </c>
      <c r="E12075">
        <v>14.4</v>
      </c>
      <c r="F12075">
        <v>20140821</v>
      </c>
      <c r="G12075" t="s">
        <v>498</v>
      </c>
      <c r="H12075" t="s">
        <v>499</v>
      </c>
      <c r="I12075" t="s">
        <v>21</v>
      </c>
    </row>
    <row r="12076" spans="1:9" x14ac:dyDescent="0.25">
      <c r="A12076">
        <v>20140822</v>
      </c>
      <c r="B12076" t="str">
        <f t="shared" si="693"/>
        <v>117037</v>
      </c>
      <c r="C12076" t="str">
        <f t="shared" si="694"/>
        <v>52518</v>
      </c>
      <c r="D12076" t="s">
        <v>647</v>
      </c>
      <c r="E12076">
        <v>211.01</v>
      </c>
      <c r="F12076">
        <v>20140822</v>
      </c>
      <c r="G12076" t="s">
        <v>498</v>
      </c>
      <c r="H12076" t="s">
        <v>499</v>
      </c>
      <c r="I12076" t="s">
        <v>21</v>
      </c>
    </row>
    <row r="12077" spans="1:9" x14ac:dyDescent="0.25">
      <c r="A12077">
        <v>20140822</v>
      </c>
      <c r="B12077" t="str">
        <f t="shared" si="693"/>
        <v>117037</v>
      </c>
      <c r="C12077" t="str">
        <f t="shared" si="694"/>
        <v>52518</v>
      </c>
      <c r="D12077" t="s">
        <v>647</v>
      </c>
      <c r="E12077">
        <v>104.85</v>
      </c>
      <c r="F12077">
        <v>20140821</v>
      </c>
      <c r="G12077" t="s">
        <v>496</v>
      </c>
      <c r="H12077" t="s">
        <v>414</v>
      </c>
      <c r="I12077" t="s">
        <v>21</v>
      </c>
    </row>
    <row r="12078" spans="1:9" x14ac:dyDescent="0.25">
      <c r="A12078">
        <v>20140822</v>
      </c>
      <c r="B12078" t="str">
        <f t="shared" si="693"/>
        <v>117037</v>
      </c>
      <c r="C12078" t="str">
        <f t="shared" si="694"/>
        <v>52518</v>
      </c>
      <c r="D12078" t="s">
        <v>647</v>
      </c>
      <c r="E12078">
        <v>9.98</v>
      </c>
      <c r="F12078">
        <v>20140822</v>
      </c>
      <c r="G12078" t="s">
        <v>496</v>
      </c>
      <c r="H12078" t="s">
        <v>414</v>
      </c>
      <c r="I12078" t="s">
        <v>21</v>
      </c>
    </row>
    <row r="12079" spans="1:9" x14ac:dyDescent="0.25">
      <c r="A12079">
        <v>20140822</v>
      </c>
      <c r="B12079" t="str">
        <f t="shared" si="693"/>
        <v>117037</v>
      </c>
      <c r="C12079" t="str">
        <f t="shared" si="694"/>
        <v>52518</v>
      </c>
      <c r="D12079" t="s">
        <v>647</v>
      </c>
      <c r="E12079">
        <v>11.28</v>
      </c>
      <c r="F12079">
        <v>20140821</v>
      </c>
      <c r="G12079" t="s">
        <v>392</v>
      </c>
      <c r="H12079" t="s">
        <v>414</v>
      </c>
      <c r="I12079" t="s">
        <v>21</v>
      </c>
    </row>
    <row r="12080" spans="1:9" x14ac:dyDescent="0.25">
      <c r="A12080">
        <v>20140822</v>
      </c>
      <c r="B12080" t="str">
        <f>"117038"</f>
        <v>117038</v>
      </c>
      <c r="C12080" t="str">
        <f>"58458"</f>
        <v>58458</v>
      </c>
      <c r="D12080" t="s">
        <v>369</v>
      </c>
      <c r="E12080">
        <v>95.21</v>
      </c>
      <c r="F12080">
        <v>20140822</v>
      </c>
      <c r="G12080" t="s">
        <v>214</v>
      </c>
      <c r="H12080" t="s">
        <v>354</v>
      </c>
      <c r="I12080" t="s">
        <v>38</v>
      </c>
    </row>
    <row r="12081" spans="1:9" x14ac:dyDescent="0.25">
      <c r="A12081">
        <v>20140822</v>
      </c>
      <c r="B12081" t="str">
        <f>"117039"</f>
        <v>117039</v>
      </c>
      <c r="C12081" t="str">
        <f>"84225"</f>
        <v>84225</v>
      </c>
      <c r="D12081" t="s">
        <v>676</v>
      </c>
      <c r="E12081" s="1">
        <v>3840</v>
      </c>
      <c r="F12081">
        <v>20140821</v>
      </c>
      <c r="G12081" t="s">
        <v>337</v>
      </c>
      <c r="H12081" t="s">
        <v>4996</v>
      </c>
      <c r="I12081" t="s">
        <v>21</v>
      </c>
    </row>
    <row r="12082" spans="1:9" x14ac:dyDescent="0.25">
      <c r="A12082">
        <v>20140822</v>
      </c>
      <c r="B12082" t="str">
        <f>"117040"</f>
        <v>117040</v>
      </c>
      <c r="C12082" t="str">
        <f>"82243"</f>
        <v>82243</v>
      </c>
      <c r="D12082" t="s">
        <v>1517</v>
      </c>
      <c r="E12082">
        <v>65.86</v>
      </c>
      <c r="F12082">
        <v>20140822</v>
      </c>
      <c r="G12082" t="s">
        <v>392</v>
      </c>
      <c r="H12082" t="s">
        <v>414</v>
      </c>
      <c r="I12082" t="s">
        <v>21</v>
      </c>
    </row>
    <row r="12083" spans="1:9" x14ac:dyDescent="0.25">
      <c r="A12083">
        <v>20140822</v>
      </c>
      <c r="B12083" t="str">
        <f>"117041"</f>
        <v>117041</v>
      </c>
      <c r="C12083" t="str">
        <f>"65430"</f>
        <v>65430</v>
      </c>
      <c r="D12083" t="s">
        <v>1518</v>
      </c>
      <c r="E12083">
        <v>12.3</v>
      </c>
      <c r="F12083">
        <v>20140821</v>
      </c>
      <c r="G12083" t="s">
        <v>498</v>
      </c>
      <c r="H12083" t="s">
        <v>499</v>
      </c>
      <c r="I12083" t="s">
        <v>21</v>
      </c>
    </row>
    <row r="12084" spans="1:9" x14ac:dyDescent="0.25">
      <c r="A12084">
        <v>20140822</v>
      </c>
      <c r="B12084" t="str">
        <f>"117041"</f>
        <v>117041</v>
      </c>
      <c r="C12084" t="str">
        <f>"65430"</f>
        <v>65430</v>
      </c>
      <c r="D12084" t="s">
        <v>1518</v>
      </c>
      <c r="E12084">
        <v>33.74</v>
      </c>
      <c r="F12084">
        <v>20140821</v>
      </c>
      <c r="G12084" t="s">
        <v>413</v>
      </c>
      <c r="H12084" t="s">
        <v>414</v>
      </c>
      <c r="I12084" t="s">
        <v>21</v>
      </c>
    </row>
    <row r="12085" spans="1:9" x14ac:dyDescent="0.25">
      <c r="A12085">
        <v>20140822</v>
      </c>
      <c r="B12085" t="str">
        <f>"117042"</f>
        <v>117042</v>
      </c>
      <c r="C12085" t="str">
        <f>"67575"</f>
        <v>67575</v>
      </c>
      <c r="D12085" t="s">
        <v>4997</v>
      </c>
      <c r="E12085">
        <v>57</v>
      </c>
      <c r="F12085">
        <v>20140821</v>
      </c>
      <c r="G12085" t="s">
        <v>4998</v>
      </c>
      <c r="H12085" t="s">
        <v>4999</v>
      </c>
      <c r="I12085" t="s">
        <v>73</v>
      </c>
    </row>
    <row r="12086" spans="1:9" x14ac:dyDescent="0.25">
      <c r="A12086">
        <v>20140822</v>
      </c>
      <c r="B12086" t="str">
        <f>"117042"</f>
        <v>117042</v>
      </c>
      <c r="C12086" t="str">
        <f>"67575"</f>
        <v>67575</v>
      </c>
      <c r="D12086" t="s">
        <v>4997</v>
      </c>
      <c r="E12086">
        <v>57</v>
      </c>
      <c r="F12086">
        <v>20140821</v>
      </c>
      <c r="G12086" t="s">
        <v>4998</v>
      </c>
      <c r="H12086" t="s">
        <v>4999</v>
      </c>
      <c r="I12086" t="s">
        <v>73</v>
      </c>
    </row>
    <row r="12087" spans="1:9" x14ac:dyDescent="0.25">
      <c r="A12087">
        <v>20140822</v>
      </c>
      <c r="B12087" t="str">
        <f>"117043"</f>
        <v>117043</v>
      </c>
      <c r="C12087" t="str">
        <f>"86596"</f>
        <v>86596</v>
      </c>
      <c r="D12087" t="s">
        <v>1683</v>
      </c>
      <c r="E12087" s="1">
        <v>4583.41</v>
      </c>
      <c r="F12087">
        <v>20140821</v>
      </c>
      <c r="G12087" t="s">
        <v>1684</v>
      </c>
      <c r="H12087" t="s">
        <v>1685</v>
      </c>
      <c r="I12087" t="s">
        <v>21</v>
      </c>
    </row>
    <row r="12088" spans="1:9" x14ac:dyDescent="0.25">
      <c r="A12088">
        <v>20140822</v>
      </c>
      <c r="B12088" t="str">
        <f>"117044"</f>
        <v>117044</v>
      </c>
      <c r="C12088" t="str">
        <f>"82502"</f>
        <v>82502</v>
      </c>
      <c r="D12088" t="s">
        <v>706</v>
      </c>
      <c r="E12088">
        <v>13.5</v>
      </c>
      <c r="F12088">
        <v>20140821</v>
      </c>
      <c r="G12088" t="s">
        <v>340</v>
      </c>
      <c r="H12088" t="s">
        <v>525</v>
      </c>
      <c r="I12088" t="s">
        <v>21</v>
      </c>
    </row>
    <row r="12089" spans="1:9" x14ac:dyDescent="0.25">
      <c r="A12089">
        <v>20140822</v>
      </c>
      <c r="B12089" t="str">
        <f>"117045"</f>
        <v>117045</v>
      </c>
      <c r="C12089" t="str">
        <f>"87602"</f>
        <v>87602</v>
      </c>
      <c r="D12089" t="s">
        <v>1691</v>
      </c>
      <c r="E12089" s="1">
        <v>8375</v>
      </c>
      <c r="F12089">
        <v>20140821</v>
      </c>
      <c r="G12089" t="s">
        <v>1806</v>
      </c>
      <c r="H12089" t="s">
        <v>4835</v>
      </c>
      <c r="I12089" t="s">
        <v>21</v>
      </c>
    </row>
    <row r="12090" spans="1:9" x14ac:dyDescent="0.25">
      <c r="A12090">
        <v>20140822</v>
      </c>
      <c r="B12090" t="str">
        <f>"117046"</f>
        <v>117046</v>
      </c>
      <c r="C12090" t="str">
        <f>"76914"</f>
        <v>76914</v>
      </c>
      <c r="D12090" t="s">
        <v>2580</v>
      </c>
      <c r="E12090">
        <v>186</v>
      </c>
      <c r="F12090">
        <v>20140821</v>
      </c>
      <c r="G12090" t="s">
        <v>1329</v>
      </c>
      <c r="H12090" t="s">
        <v>354</v>
      </c>
      <c r="I12090" t="s">
        <v>21</v>
      </c>
    </row>
    <row r="12091" spans="1:9" x14ac:dyDescent="0.25">
      <c r="A12091">
        <v>20140822</v>
      </c>
      <c r="B12091" t="str">
        <f>"117047"</f>
        <v>117047</v>
      </c>
      <c r="C12091" t="str">
        <f>"87944"</f>
        <v>87944</v>
      </c>
      <c r="D12091" t="s">
        <v>5000</v>
      </c>
      <c r="E12091">
        <v>99.9</v>
      </c>
      <c r="F12091">
        <v>20140822</v>
      </c>
      <c r="G12091" t="s">
        <v>1408</v>
      </c>
      <c r="H12091" t="s">
        <v>5001</v>
      </c>
      <c r="I12091" t="s">
        <v>12</v>
      </c>
    </row>
    <row r="12092" spans="1:9" x14ac:dyDescent="0.25">
      <c r="A12092">
        <v>20140822</v>
      </c>
      <c r="B12092" t="str">
        <f>"117048"</f>
        <v>117048</v>
      </c>
      <c r="C12092" t="str">
        <f>"79400"</f>
        <v>79400</v>
      </c>
      <c r="D12092" t="s">
        <v>1328</v>
      </c>
      <c r="E12092" s="1">
        <v>2619.39</v>
      </c>
      <c r="F12092">
        <v>20140821</v>
      </c>
      <c r="G12092" t="s">
        <v>1329</v>
      </c>
      <c r="H12092" t="s">
        <v>1330</v>
      </c>
      <c r="I12092" t="s">
        <v>21</v>
      </c>
    </row>
    <row r="12093" spans="1:9" x14ac:dyDescent="0.25">
      <c r="A12093">
        <v>20140822</v>
      </c>
      <c r="B12093" t="str">
        <f>"117049"</f>
        <v>117049</v>
      </c>
      <c r="C12093" t="str">
        <f>"84132"</f>
        <v>84132</v>
      </c>
      <c r="D12093" t="s">
        <v>1695</v>
      </c>
      <c r="E12093">
        <v>57.42</v>
      </c>
      <c r="F12093">
        <v>20140821</v>
      </c>
      <c r="G12093" t="s">
        <v>1721</v>
      </c>
      <c r="H12093" t="s">
        <v>563</v>
      </c>
      <c r="I12093" t="s">
        <v>21</v>
      </c>
    </row>
    <row r="12094" spans="1:9" x14ac:dyDescent="0.25">
      <c r="A12094">
        <v>20140823</v>
      </c>
      <c r="B12094" t="str">
        <f>"117050"</f>
        <v>117050</v>
      </c>
      <c r="C12094" t="str">
        <f>"83362"</f>
        <v>83362</v>
      </c>
      <c r="D12094" t="s">
        <v>1443</v>
      </c>
      <c r="E12094" s="1">
        <v>7035.91</v>
      </c>
      <c r="F12094">
        <v>20140822</v>
      </c>
      <c r="G12094" t="s">
        <v>1071</v>
      </c>
      <c r="H12094" t="s">
        <v>4995</v>
      </c>
      <c r="I12094" t="s">
        <v>21</v>
      </c>
    </row>
    <row r="12095" spans="1:9" x14ac:dyDescent="0.25">
      <c r="A12095">
        <v>20140823</v>
      </c>
      <c r="B12095" t="str">
        <f>"117051"</f>
        <v>117051</v>
      </c>
      <c r="C12095" t="str">
        <f>"87945"</f>
        <v>87945</v>
      </c>
      <c r="D12095" t="s">
        <v>5002</v>
      </c>
      <c r="E12095" s="1">
        <v>3000</v>
      </c>
      <c r="F12095">
        <v>20140822</v>
      </c>
      <c r="G12095" t="s">
        <v>4657</v>
      </c>
      <c r="H12095" t="s">
        <v>5003</v>
      </c>
      <c r="I12095" t="s">
        <v>21</v>
      </c>
    </row>
    <row r="12096" spans="1:9" x14ac:dyDescent="0.25">
      <c r="A12096">
        <v>20140829</v>
      </c>
      <c r="B12096" t="str">
        <f>"117052"</f>
        <v>117052</v>
      </c>
      <c r="C12096" t="str">
        <f>"86517"</f>
        <v>86517</v>
      </c>
      <c r="D12096" t="s">
        <v>2101</v>
      </c>
      <c r="E12096" s="1">
        <v>3610.69</v>
      </c>
      <c r="F12096">
        <v>20140828</v>
      </c>
      <c r="G12096" t="s">
        <v>404</v>
      </c>
      <c r="H12096" t="s">
        <v>2218</v>
      </c>
      <c r="I12096" t="s">
        <v>12</v>
      </c>
    </row>
    <row r="12097" spans="1:9" x14ac:dyDescent="0.25">
      <c r="A12097">
        <v>20140829</v>
      </c>
      <c r="B12097" t="str">
        <f>"117053"</f>
        <v>117053</v>
      </c>
      <c r="C12097" t="str">
        <f>"82560"</f>
        <v>82560</v>
      </c>
      <c r="D12097" t="s">
        <v>403</v>
      </c>
      <c r="E12097">
        <v>918.32</v>
      </c>
      <c r="F12097">
        <v>20140828</v>
      </c>
      <c r="G12097" t="s">
        <v>404</v>
      </c>
      <c r="H12097" t="s">
        <v>405</v>
      </c>
      <c r="I12097" t="s">
        <v>12</v>
      </c>
    </row>
    <row r="12098" spans="1:9" x14ac:dyDescent="0.25">
      <c r="A12098">
        <v>20140829</v>
      </c>
      <c r="B12098" t="str">
        <f>"117054"</f>
        <v>117054</v>
      </c>
      <c r="C12098" t="str">
        <f>"12140"</f>
        <v>12140</v>
      </c>
      <c r="D12098" t="s">
        <v>406</v>
      </c>
      <c r="E12098" s="1">
        <v>8791.2000000000007</v>
      </c>
      <c r="F12098">
        <v>20140828</v>
      </c>
      <c r="G12098" t="s">
        <v>404</v>
      </c>
      <c r="H12098" t="s">
        <v>408</v>
      </c>
      <c r="I12098" t="s">
        <v>12</v>
      </c>
    </row>
    <row r="12099" spans="1:9" x14ac:dyDescent="0.25">
      <c r="A12099">
        <v>20140829</v>
      </c>
      <c r="B12099" t="str">
        <f>"117055"</f>
        <v>117055</v>
      </c>
      <c r="C12099" t="str">
        <f>"10075"</f>
        <v>10075</v>
      </c>
      <c r="D12099" t="s">
        <v>1199</v>
      </c>
      <c r="E12099">
        <v>750</v>
      </c>
      <c r="F12099">
        <v>20140826</v>
      </c>
      <c r="G12099" t="s">
        <v>186</v>
      </c>
      <c r="H12099" t="s">
        <v>5004</v>
      </c>
      <c r="I12099" t="s">
        <v>61</v>
      </c>
    </row>
    <row r="12100" spans="1:9" x14ac:dyDescent="0.25">
      <c r="A12100">
        <v>20140829</v>
      </c>
      <c r="B12100" t="str">
        <f>"117055"</f>
        <v>117055</v>
      </c>
      <c r="C12100" t="str">
        <f>"10075"</f>
        <v>10075</v>
      </c>
      <c r="D12100" t="s">
        <v>1199</v>
      </c>
      <c r="E12100" s="1">
        <v>7290</v>
      </c>
      <c r="F12100">
        <v>20140826</v>
      </c>
      <c r="G12100" t="s">
        <v>186</v>
      </c>
      <c r="H12100" t="s">
        <v>839</v>
      </c>
      <c r="I12100" t="s">
        <v>61</v>
      </c>
    </row>
    <row r="12101" spans="1:9" x14ac:dyDescent="0.25">
      <c r="A12101">
        <v>20140829</v>
      </c>
      <c r="B12101" t="str">
        <f t="shared" ref="B12101:B12110" si="695">"117056"</f>
        <v>117056</v>
      </c>
      <c r="C12101" t="str">
        <f t="shared" ref="C12101:C12110" si="696">"16998"</f>
        <v>16998</v>
      </c>
      <c r="D12101" t="s">
        <v>1372</v>
      </c>
      <c r="E12101">
        <v>300</v>
      </c>
      <c r="F12101">
        <v>20140829</v>
      </c>
      <c r="G12101" t="s">
        <v>1271</v>
      </c>
      <c r="H12101" t="s">
        <v>3579</v>
      </c>
      <c r="I12101" t="s">
        <v>21</v>
      </c>
    </row>
    <row r="12102" spans="1:9" x14ac:dyDescent="0.25">
      <c r="A12102">
        <v>20140829</v>
      </c>
      <c r="B12102" t="str">
        <f t="shared" si="695"/>
        <v>117056</v>
      </c>
      <c r="C12102" t="str">
        <f t="shared" si="696"/>
        <v>16998</v>
      </c>
      <c r="D12102" t="s">
        <v>1372</v>
      </c>
      <c r="E12102">
        <v>300</v>
      </c>
      <c r="F12102">
        <v>20140829</v>
      </c>
      <c r="G12102" t="s">
        <v>1271</v>
      </c>
      <c r="H12102" t="s">
        <v>3579</v>
      </c>
      <c r="I12102" t="s">
        <v>21</v>
      </c>
    </row>
    <row r="12103" spans="1:9" x14ac:dyDescent="0.25">
      <c r="A12103">
        <v>20140829</v>
      </c>
      <c r="B12103" t="str">
        <f t="shared" si="695"/>
        <v>117056</v>
      </c>
      <c r="C12103" t="str">
        <f t="shared" si="696"/>
        <v>16998</v>
      </c>
      <c r="D12103" t="s">
        <v>1372</v>
      </c>
      <c r="E12103">
        <v>480</v>
      </c>
      <c r="F12103">
        <v>20140829</v>
      </c>
      <c r="G12103" t="s">
        <v>1271</v>
      </c>
      <c r="H12103" t="s">
        <v>3579</v>
      </c>
      <c r="I12103" t="s">
        <v>21</v>
      </c>
    </row>
    <row r="12104" spans="1:9" x14ac:dyDescent="0.25">
      <c r="A12104">
        <v>20140829</v>
      </c>
      <c r="B12104" t="str">
        <f t="shared" si="695"/>
        <v>117056</v>
      </c>
      <c r="C12104" t="str">
        <f t="shared" si="696"/>
        <v>16998</v>
      </c>
      <c r="D12104" t="s">
        <v>1372</v>
      </c>
      <c r="E12104">
        <v>750</v>
      </c>
      <c r="F12104">
        <v>20140829</v>
      </c>
      <c r="G12104" t="s">
        <v>1271</v>
      </c>
      <c r="H12104" t="s">
        <v>5005</v>
      </c>
      <c r="I12104" t="s">
        <v>21</v>
      </c>
    </row>
    <row r="12105" spans="1:9" x14ac:dyDescent="0.25">
      <c r="A12105">
        <v>20140829</v>
      </c>
      <c r="B12105" t="str">
        <f t="shared" si="695"/>
        <v>117056</v>
      </c>
      <c r="C12105" t="str">
        <f t="shared" si="696"/>
        <v>16998</v>
      </c>
      <c r="D12105" t="s">
        <v>1372</v>
      </c>
      <c r="E12105">
        <v>75</v>
      </c>
      <c r="F12105">
        <v>20140829</v>
      </c>
      <c r="G12105" t="s">
        <v>1273</v>
      </c>
      <c r="H12105" t="s">
        <v>3579</v>
      </c>
      <c r="I12105" t="s">
        <v>21</v>
      </c>
    </row>
    <row r="12106" spans="1:9" x14ac:dyDescent="0.25">
      <c r="A12106">
        <v>20140829</v>
      </c>
      <c r="B12106" t="str">
        <f t="shared" si="695"/>
        <v>117056</v>
      </c>
      <c r="C12106" t="str">
        <f t="shared" si="696"/>
        <v>16998</v>
      </c>
      <c r="D12106" t="s">
        <v>1372</v>
      </c>
      <c r="E12106">
        <v>641.29999999999995</v>
      </c>
      <c r="F12106">
        <v>20140829</v>
      </c>
      <c r="G12106" t="s">
        <v>734</v>
      </c>
      <c r="H12106" t="s">
        <v>5006</v>
      </c>
      <c r="I12106" t="s">
        <v>21</v>
      </c>
    </row>
    <row r="12107" spans="1:9" x14ac:dyDescent="0.25">
      <c r="A12107">
        <v>20140829</v>
      </c>
      <c r="B12107" t="str">
        <f t="shared" si="695"/>
        <v>117056</v>
      </c>
      <c r="C12107" t="str">
        <f t="shared" si="696"/>
        <v>16998</v>
      </c>
      <c r="D12107" t="s">
        <v>1372</v>
      </c>
      <c r="E12107">
        <v>19.649999999999999</v>
      </c>
      <c r="F12107">
        <v>20140829</v>
      </c>
      <c r="G12107" t="s">
        <v>734</v>
      </c>
      <c r="H12107" t="s">
        <v>3907</v>
      </c>
      <c r="I12107" t="s">
        <v>21</v>
      </c>
    </row>
    <row r="12108" spans="1:9" x14ac:dyDescent="0.25">
      <c r="A12108">
        <v>20140829</v>
      </c>
      <c r="B12108" t="str">
        <f t="shared" si="695"/>
        <v>117056</v>
      </c>
      <c r="C12108" t="str">
        <f t="shared" si="696"/>
        <v>16998</v>
      </c>
      <c r="D12108" t="s">
        <v>1372</v>
      </c>
      <c r="E12108">
        <v>74.849999999999994</v>
      </c>
      <c r="F12108">
        <v>20140829</v>
      </c>
      <c r="G12108" t="s">
        <v>734</v>
      </c>
      <c r="H12108" t="s">
        <v>5007</v>
      </c>
      <c r="I12108" t="s">
        <v>21</v>
      </c>
    </row>
    <row r="12109" spans="1:9" x14ac:dyDescent="0.25">
      <c r="A12109">
        <v>20140829</v>
      </c>
      <c r="B12109" t="str">
        <f t="shared" si="695"/>
        <v>117056</v>
      </c>
      <c r="C12109" t="str">
        <f t="shared" si="696"/>
        <v>16998</v>
      </c>
      <c r="D12109" t="s">
        <v>1372</v>
      </c>
      <c r="E12109">
        <v>472.95</v>
      </c>
      <c r="F12109">
        <v>20140829</v>
      </c>
      <c r="G12109" t="s">
        <v>734</v>
      </c>
      <c r="H12109" t="s">
        <v>5006</v>
      </c>
      <c r="I12109" t="s">
        <v>21</v>
      </c>
    </row>
    <row r="12110" spans="1:9" x14ac:dyDescent="0.25">
      <c r="A12110">
        <v>20140829</v>
      </c>
      <c r="B12110" t="str">
        <f t="shared" si="695"/>
        <v>117056</v>
      </c>
      <c r="C12110" t="str">
        <f t="shared" si="696"/>
        <v>16998</v>
      </c>
      <c r="D12110" t="s">
        <v>1372</v>
      </c>
      <c r="E12110" s="1">
        <v>7995</v>
      </c>
      <c r="F12110">
        <v>20140829</v>
      </c>
      <c r="G12110" t="s">
        <v>3205</v>
      </c>
      <c r="H12110" t="s">
        <v>5008</v>
      </c>
      <c r="I12110" t="s">
        <v>21</v>
      </c>
    </row>
    <row r="12111" spans="1:9" x14ac:dyDescent="0.25">
      <c r="A12111">
        <v>20140829</v>
      </c>
      <c r="B12111" t="str">
        <f>"117057"</f>
        <v>117057</v>
      </c>
      <c r="C12111" t="str">
        <f>"81258"</f>
        <v>81258</v>
      </c>
      <c r="D12111" t="s">
        <v>3280</v>
      </c>
      <c r="E12111">
        <v>733</v>
      </c>
      <c r="F12111">
        <v>20140825</v>
      </c>
      <c r="G12111" t="s">
        <v>150</v>
      </c>
      <c r="H12111" t="s">
        <v>5009</v>
      </c>
      <c r="I12111" t="s">
        <v>25</v>
      </c>
    </row>
    <row r="12112" spans="1:9" x14ac:dyDescent="0.25">
      <c r="A12112">
        <v>20140829</v>
      </c>
      <c r="B12112" t="str">
        <f>"117058"</f>
        <v>117058</v>
      </c>
      <c r="C12112" t="str">
        <f>"87150"</f>
        <v>87150</v>
      </c>
      <c r="D12112" t="s">
        <v>1386</v>
      </c>
      <c r="E12112">
        <v>708.58</v>
      </c>
      <c r="F12112">
        <v>20140828</v>
      </c>
      <c r="G12112" t="s">
        <v>404</v>
      </c>
      <c r="H12112" t="s">
        <v>414</v>
      </c>
      <c r="I12112" t="s">
        <v>12</v>
      </c>
    </row>
    <row r="12113" spans="1:9" x14ac:dyDescent="0.25">
      <c r="A12113">
        <v>20140829</v>
      </c>
      <c r="B12113" t="str">
        <f t="shared" ref="B12113:B12121" si="697">"117059"</f>
        <v>117059</v>
      </c>
      <c r="C12113" t="str">
        <f t="shared" ref="C12113:C12121" si="698">"21950"</f>
        <v>21950</v>
      </c>
      <c r="D12113" t="s">
        <v>35</v>
      </c>
      <c r="E12113">
        <v>57.25</v>
      </c>
      <c r="F12113">
        <v>20140829</v>
      </c>
      <c r="G12113" t="s">
        <v>145</v>
      </c>
      <c r="H12113" t="s">
        <v>5010</v>
      </c>
      <c r="I12113" t="s">
        <v>38</v>
      </c>
    </row>
    <row r="12114" spans="1:9" x14ac:dyDescent="0.25">
      <c r="A12114">
        <v>20140829</v>
      </c>
      <c r="B12114" t="str">
        <f t="shared" si="697"/>
        <v>117059</v>
      </c>
      <c r="C12114" t="str">
        <f t="shared" si="698"/>
        <v>21950</v>
      </c>
      <c r="D12114" t="s">
        <v>35</v>
      </c>
      <c r="E12114">
        <v>114.74</v>
      </c>
      <c r="F12114">
        <v>20140829</v>
      </c>
      <c r="G12114" t="s">
        <v>181</v>
      </c>
      <c r="H12114" t="s">
        <v>5010</v>
      </c>
      <c r="I12114" t="s">
        <v>38</v>
      </c>
    </row>
    <row r="12115" spans="1:9" x14ac:dyDescent="0.25">
      <c r="A12115">
        <v>20140829</v>
      </c>
      <c r="B12115" t="str">
        <f t="shared" si="697"/>
        <v>117059</v>
      </c>
      <c r="C12115" t="str">
        <f t="shared" si="698"/>
        <v>21950</v>
      </c>
      <c r="D12115" t="s">
        <v>35</v>
      </c>
      <c r="E12115">
        <v>47.3</v>
      </c>
      <c r="F12115">
        <v>20140829</v>
      </c>
      <c r="G12115" t="s">
        <v>289</v>
      </c>
      <c r="H12115" t="s">
        <v>5010</v>
      </c>
      <c r="I12115" t="s">
        <v>38</v>
      </c>
    </row>
    <row r="12116" spans="1:9" x14ac:dyDescent="0.25">
      <c r="A12116">
        <v>20140829</v>
      </c>
      <c r="B12116" t="str">
        <f t="shared" si="697"/>
        <v>117059</v>
      </c>
      <c r="C12116" t="str">
        <f t="shared" si="698"/>
        <v>21950</v>
      </c>
      <c r="D12116" t="s">
        <v>35</v>
      </c>
      <c r="E12116">
        <v>222.33</v>
      </c>
      <c r="F12116">
        <v>20140829</v>
      </c>
      <c r="G12116" t="s">
        <v>214</v>
      </c>
      <c r="H12116" t="s">
        <v>5010</v>
      </c>
      <c r="I12116" t="s">
        <v>38</v>
      </c>
    </row>
    <row r="12117" spans="1:9" x14ac:dyDescent="0.25">
      <c r="A12117">
        <v>20140829</v>
      </c>
      <c r="B12117" t="str">
        <f t="shared" si="697"/>
        <v>117059</v>
      </c>
      <c r="C12117" t="str">
        <f t="shared" si="698"/>
        <v>21950</v>
      </c>
      <c r="D12117" t="s">
        <v>35</v>
      </c>
      <c r="E12117">
        <v>166.35</v>
      </c>
      <c r="F12117">
        <v>20140829</v>
      </c>
      <c r="G12117" t="s">
        <v>36</v>
      </c>
      <c r="H12117" t="s">
        <v>5010</v>
      </c>
      <c r="I12117" t="s">
        <v>38</v>
      </c>
    </row>
    <row r="12118" spans="1:9" x14ac:dyDescent="0.25">
      <c r="A12118">
        <v>20140829</v>
      </c>
      <c r="B12118" t="str">
        <f t="shared" si="697"/>
        <v>117059</v>
      </c>
      <c r="C12118" t="str">
        <f t="shared" si="698"/>
        <v>21950</v>
      </c>
      <c r="D12118" t="s">
        <v>35</v>
      </c>
      <c r="E12118">
        <v>228.66</v>
      </c>
      <c r="F12118">
        <v>20140829</v>
      </c>
      <c r="G12118" t="s">
        <v>119</v>
      </c>
      <c r="H12118" t="s">
        <v>5010</v>
      </c>
      <c r="I12118" t="s">
        <v>38</v>
      </c>
    </row>
    <row r="12119" spans="1:9" x14ac:dyDescent="0.25">
      <c r="A12119">
        <v>20140829</v>
      </c>
      <c r="B12119" t="str">
        <f t="shared" si="697"/>
        <v>117059</v>
      </c>
      <c r="C12119" t="str">
        <f t="shared" si="698"/>
        <v>21950</v>
      </c>
      <c r="D12119" t="s">
        <v>35</v>
      </c>
      <c r="E12119">
        <v>13.63</v>
      </c>
      <c r="F12119">
        <v>20140829</v>
      </c>
      <c r="G12119" t="s">
        <v>637</v>
      </c>
      <c r="H12119" t="s">
        <v>5010</v>
      </c>
      <c r="I12119" t="s">
        <v>38</v>
      </c>
    </row>
    <row r="12120" spans="1:9" x14ac:dyDescent="0.25">
      <c r="A12120">
        <v>20140829</v>
      </c>
      <c r="B12120" t="str">
        <f t="shared" si="697"/>
        <v>117059</v>
      </c>
      <c r="C12120" t="str">
        <f t="shared" si="698"/>
        <v>21950</v>
      </c>
      <c r="D12120" t="s">
        <v>35</v>
      </c>
      <c r="E12120">
        <v>807.37</v>
      </c>
      <c r="F12120">
        <v>20140829</v>
      </c>
      <c r="G12120" t="s">
        <v>39</v>
      </c>
      <c r="H12120" t="s">
        <v>5010</v>
      </c>
      <c r="I12120" t="s">
        <v>38</v>
      </c>
    </row>
    <row r="12121" spans="1:9" x14ac:dyDescent="0.25">
      <c r="A12121">
        <v>20140829</v>
      </c>
      <c r="B12121" t="str">
        <f t="shared" si="697"/>
        <v>117059</v>
      </c>
      <c r="C12121" t="str">
        <f t="shared" si="698"/>
        <v>21950</v>
      </c>
      <c r="D12121" t="s">
        <v>35</v>
      </c>
      <c r="E12121">
        <v>195.24</v>
      </c>
      <c r="F12121">
        <v>20140829</v>
      </c>
      <c r="G12121" t="s">
        <v>4189</v>
      </c>
      <c r="H12121" t="s">
        <v>5011</v>
      </c>
      <c r="I12121" t="s">
        <v>38</v>
      </c>
    </row>
    <row r="12122" spans="1:9" x14ac:dyDescent="0.25">
      <c r="A12122">
        <v>20140829</v>
      </c>
      <c r="B12122" t="str">
        <f>"117060"</f>
        <v>117060</v>
      </c>
      <c r="C12122" t="str">
        <f>"25516"</f>
        <v>25516</v>
      </c>
      <c r="D12122" t="s">
        <v>529</v>
      </c>
      <c r="E12122">
        <v>465.78</v>
      </c>
      <c r="F12122">
        <v>20140828</v>
      </c>
      <c r="G12122" t="s">
        <v>331</v>
      </c>
      <c r="H12122" t="s">
        <v>414</v>
      </c>
      <c r="I12122" t="s">
        <v>12</v>
      </c>
    </row>
    <row r="12123" spans="1:9" x14ac:dyDescent="0.25">
      <c r="A12123">
        <v>20140829</v>
      </c>
      <c r="B12123" t="str">
        <f>"117060"</f>
        <v>117060</v>
      </c>
      <c r="C12123" t="str">
        <f>"25516"</f>
        <v>25516</v>
      </c>
      <c r="D12123" t="s">
        <v>529</v>
      </c>
      <c r="E12123">
        <v>154.22</v>
      </c>
      <c r="F12123">
        <v>20140828</v>
      </c>
      <c r="G12123" t="s">
        <v>331</v>
      </c>
      <c r="H12123" t="s">
        <v>414</v>
      </c>
      <c r="I12123" t="s">
        <v>12</v>
      </c>
    </row>
    <row r="12124" spans="1:9" x14ac:dyDescent="0.25">
      <c r="A12124">
        <v>20140829</v>
      </c>
      <c r="B12124" t="str">
        <f>"117060"</f>
        <v>117060</v>
      </c>
      <c r="C12124" t="str">
        <f>"25516"</f>
        <v>25516</v>
      </c>
      <c r="D12124" t="s">
        <v>529</v>
      </c>
      <c r="E12124">
        <v>37.89</v>
      </c>
      <c r="F12124">
        <v>20140828</v>
      </c>
      <c r="G12124" t="s">
        <v>331</v>
      </c>
      <c r="H12124" t="s">
        <v>5012</v>
      </c>
      <c r="I12124" t="s">
        <v>12</v>
      </c>
    </row>
    <row r="12125" spans="1:9" x14ac:dyDescent="0.25">
      <c r="A12125">
        <v>20140829</v>
      </c>
      <c r="B12125" t="str">
        <f>"117060"</f>
        <v>117060</v>
      </c>
      <c r="C12125" t="str">
        <f>"25516"</f>
        <v>25516</v>
      </c>
      <c r="D12125" t="s">
        <v>529</v>
      </c>
      <c r="E12125">
        <v>132.61000000000001</v>
      </c>
      <c r="F12125">
        <v>20140828</v>
      </c>
      <c r="G12125" t="s">
        <v>331</v>
      </c>
      <c r="H12125" t="s">
        <v>5013</v>
      </c>
      <c r="I12125" t="s">
        <v>12</v>
      </c>
    </row>
    <row r="12126" spans="1:9" x14ac:dyDescent="0.25">
      <c r="A12126">
        <v>20140829</v>
      </c>
      <c r="B12126" t="str">
        <f>"117060"</f>
        <v>117060</v>
      </c>
      <c r="C12126" t="str">
        <f>"25516"</f>
        <v>25516</v>
      </c>
      <c r="D12126" t="s">
        <v>529</v>
      </c>
      <c r="E12126">
        <v>131.19</v>
      </c>
      <c r="F12126">
        <v>20140828</v>
      </c>
      <c r="G12126" t="s">
        <v>331</v>
      </c>
      <c r="H12126" t="s">
        <v>5014</v>
      </c>
      <c r="I12126" t="s">
        <v>12</v>
      </c>
    </row>
    <row r="12127" spans="1:9" x14ac:dyDescent="0.25">
      <c r="A12127">
        <v>20140829</v>
      </c>
      <c r="B12127" t="str">
        <f>"117061"</f>
        <v>117061</v>
      </c>
      <c r="C12127" t="str">
        <f>"26990"</f>
        <v>26990</v>
      </c>
      <c r="D12127" t="s">
        <v>548</v>
      </c>
      <c r="E12127">
        <v>140</v>
      </c>
      <c r="F12127">
        <v>20140829</v>
      </c>
      <c r="G12127" t="s">
        <v>1033</v>
      </c>
      <c r="H12127" t="s">
        <v>1054</v>
      </c>
      <c r="I12127" t="s">
        <v>21</v>
      </c>
    </row>
    <row r="12128" spans="1:9" x14ac:dyDescent="0.25">
      <c r="A12128">
        <v>20140829</v>
      </c>
      <c r="B12128" t="str">
        <f>"117061"</f>
        <v>117061</v>
      </c>
      <c r="C12128" t="str">
        <f>"26990"</f>
        <v>26990</v>
      </c>
      <c r="D12128" t="s">
        <v>548</v>
      </c>
      <c r="E12128">
        <v>750</v>
      </c>
      <c r="F12128">
        <v>20140829</v>
      </c>
      <c r="G12128" t="s">
        <v>426</v>
      </c>
      <c r="H12128" t="s">
        <v>5015</v>
      </c>
      <c r="I12128" t="s">
        <v>21</v>
      </c>
    </row>
    <row r="12129" spans="1:9" x14ac:dyDescent="0.25">
      <c r="A12129">
        <v>20140829</v>
      </c>
      <c r="B12129" t="str">
        <f>"117061"</f>
        <v>117061</v>
      </c>
      <c r="C12129" t="str">
        <f>"26990"</f>
        <v>26990</v>
      </c>
      <c r="D12129" t="s">
        <v>548</v>
      </c>
      <c r="E12129">
        <v>140</v>
      </c>
      <c r="F12129">
        <v>20140827</v>
      </c>
      <c r="G12129" t="s">
        <v>36</v>
      </c>
      <c r="H12129" t="s">
        <v>5015</v>
      </c>
      <c r="I12129" t="s">
        <v>38</v>
      </c>
    </row>
    <row r="12130" spans="1:9" x14ac:dyDescent="0.25">
      <c r="A12130">
        <v>20140829</v>
      </c>
      <c r="B12130" t="str">
        <f>"117061"</f>
        <v>117061</v>
      </c>
      <c r="C12130" t="str">
        <f>"26990"</f>
        <v>26990</v>
      </c>
      <c r="D12130" t="s">
        <v>548</v>
      </c>
      <c r="E12130">
        <v>800</v>
      </c>
      <c r="F12130">
        <v>20140829</v>
      </c>
      <c r="G12130" t="s">
        <v>5016</v>
      </c>
      <c r="H12130" t="s">
        <v>5017</v>
      </c>
      <c r="I12130" t="s">
        <v>38</v>
      </c>
    </row>
    <row r="12131" spans="1:9" x14ac:dyDescent="0.25">
      <c r="A12131">
        <v>20140829</v>
      </c>
      <c r="B12131" t="str">
        <f>"117062"</f>
        <v>117062</v>
      </c>
      <c r="C12131" t="str">
        <f>"30000"</f>
        <v>30000</v>
      </c>
      <c r="D12131" t="s">
        <v>556</v>
      </c>
      <c r="E12131">
        <v>15.6</v>
      </c>
      <c r="F12131">
        <v>20140827</v>
      </c>
      <c r="G12131" t="s">
        <v>137</v>
      </c>
      <c r="H12131" t="s">
        <v>5018</v>
      </c>
      <c r="I12131" t="s">
        <v>21</v>
      </c>
    </row>
    <row r="12132" spans="1:9" x14ac:dyDescent="0.25">
      <c r="A12132">
        <v>20140829</v>
      </c>
      <c r="B12132" t="str">
        <f>"117063"</f>
        <v>117063</v>
      </c>
      <c r="C12132" t="str">
        <f>"87456"</f>
        <v>87456</v>
      </c>
      <c r="D12132" t="s">
        <v>1434</v>
      </c>
      <c r="E12132" s="1">
        <v>1605</v>
      </c>
      <c r="F12132">
        <v>20140825</v>
      </c>
      <c r="G12132" t="s">
        <v>840</v>
      </c>
      <c r="H12132" t="s">
        <v>4529</v>
      </c>
      <c r="I12132" t="s">
        <v>21</v>
      </c>
    </row>
    <row r="12133" spans="1:9" x14ac:dyDescent="0.25">
      <c r="A12133">
        <v>20140829</v>
      </c>
      <c r="B12133" t="str">
        <f>"117064"</f>
        <v>117064</v>
      </c>
      <c r="C12133" t="str">
        <f>"87380"</f>
        <v>87380</v>
      </c>
      <c r="D12133" t="s">
        <v>355</v>
      </c>
      <c r="E12133">
        <v>32.36</v>
      </c>
      <c r="F12133">
        <v>20140827</v>
      </c>
      <c r="G12133" t="s">
        <v>1153</v>
      </c>
      <c r="H12133" t="s">
        <v>5019</v>
      </c>
      <c r="I12133" t="s">
        <v>61</v>
      </c>
    </row>
    <row r="12134" spans="1:9" x14ac:dyDescent="0.25">
      <c r="A12134">
        <v>20140829</v>
      </c>
      <c r="B12134" t="str">
        <f t="shared" ref="B12134:B12149" si="699">"117065"</f>
        <v>117065</v>
      </c>
      <c r="C12134" t="str">
        <f t="shared" ref="C12134:C12149" si="700">"84980"</f>
        <v>84980</v>
      </c>
      <c r="D12134" t="s">
        <v>591</v>
      </c>
      <c r="E12134">
        <v>100.4</v>
      </c>
      <c r="F12134">
        <v>20140825</v>
      </c>
      <c r="G12134" t="s">
        <v>186</v>
      </c>
      <c r="H12134" t="s">
        <v>5020</v>
      </c>
      <c r="I12134" t="s">
        <v>61</v>
      </c>
    </row>
    <row r="12135" spans="1:9" x14ac:dyDescent="0.25">
      <c r="A12135">
        <v>20140829</v>
      </c>
      <c r="B12135" t="str">
        <f t="shared" si="699"/>
        <v>117065</v>
      </c>
      <c r="C12135" t="str">
        <f t="shared" si="700"/>
        <v>84980</v>
      </c>
      <c r="D12135" t="s">
        <v>591</v>
      </c>
      <c r="E12135" s="1">
        <v>3119.22</v>
      </c>
      <c r="F12135">
        <v>20140825</v>
      </c>
      <c r="G12135" t="s">
        <v>577</v>
      </c>
      <c r="H12135" t="s">
        <v>5020</v>
      </c>
      <c r="I12135" t="s">
        <v>21</v>
      </c>
    </row>
    <row r="12136" spans="1:9" x14ac:dyDescent="0.25">
      <c r="A12136">
        <v>20140829</v>
      </c>
      <c r="B12136" t="str">
        <f t="shared" si="699"/>
        <v>117065</v>
      </c>
      <c r="C12136" t="str">
        <f t="shared" si="700"/>
        <v>84980</v>
      </c>
      <c r="D12136" t="s">
        <v>591</v>
      </c>
      <c r="E12136" s="1">
        <v>1266.8</v>
      </c>
      <c r="F12136">
        <v>20140825</v>
      </c>
      <c r="G12136" t="s">
        <v>579</v>
      </c>
      <c r="H12136" t="s">
        <v>5020</v>
      </c>
      <c r="I12136" t="s">
        <v>21</v>
      </c>
    </row>
    <row r="12137" spans="1:9" x14ac:dyDescent="0.25">
      <c r="A12137">
        <v>20140829</v>
      </c>
      <c r="B12137" t="str">
        <f t="shared" si="699"/>
        <v>117065</v>
      </c>
      <c r="C12137" t="str">
        <f t="shared" si="700"/>
        <v>84980</v>
      </c>
      <c r="D12137" t="s">
        <v>591</v>
      </c>
      <c r="E12137">
        <v>725.07</v>
      </c>
      <c r="F12137">
        <v>20140825</v>
      </c>
      <c r="G12137" t="s">
        <v>580</v>
      </c>
      <c r="H12137" t="s">
        <v>5020</v>
      </c>
      <c r="I12137" t="s">
        <v>21</v>
      </c>
    </row>
    <row r="12138" spans="1:9" x14ac:dyDescent="0.25">
      <c r="A12138">
        <v>20140829</v>
      </c>
      <c r="B12138" t="str">
        <f t="shared" si="699"/>
        <v>117065</v>
      </c>
      <c r="C12138" t="str">
        <f t="shared" si="700"/>
        <v>84980</v>
      </c>
      <c r="D12138" t="s">
        <v>591</v>
      </c>
      <c r="E12138" s="1">
        <v>1087.97</v>
      </c>
      <c r="F12138">
        <v>20140825</v>
      </c>
      <c r="G12138" t="s">
        <v>581</v>
      </c>
      <c r="H12138" t="s">
        <v>5020</v>
      </c>
      <c r="I12138" t="s">
        <v>21</v>
      </c>
    </row>
    <row r="12139" spans="1:9" x14ac:dyDescent="0.25">
      <c r="A12139">
        <v>20140829</v>
      </c>
      <c r="B12139" t="str">
        <f t="shared" si="699"/>
        <v>117065</v>
      </c>
      <c r="C12139" t="str">
        <f t="shared" si="700"/>
        <v>84980</v>
      </c>
      <c r="D12139" t="s">
        <v>591</v>
      </c>
      <c r="E12139">
        <v>905.73</v>
      </c>
      <c r="F12139">
        <v>20140825</v>
      </c>
      <c r="G12139" t="s">
        <v>828</v>
      </c>
      <c r="H12139" t="s">
        <v>5020</v>
      </c>
      <c r="I12139" t="s">
        <v>21</v>
      </c>
    </row>
    <row r="12140" spans="1:9" x14ac:dyDescent="0.25">
      <c r="A12140">
        <v>20140829</v>
      </c>
      <c r="B12140" t="str">
        <f t="shared" si="699"/>
        <v>117065</v>
      </c>
      <c r="C12140" t="str">
        <f t="shared" si="700"/>
        <v>84980</v>
      </c>
      <c r="D12140" t="s">
        <v>591</v>
      </c>
      <c r="E12140" s="1">
        <v>1033.07</v>
      </c>
      <c r="F12140">
        <v>20140825</v>
      </c>
      <c r="G12140" t="s">
        <v>582</v>
      </c>
      <c r="H12140" t="s">
        <v>5020</v>
      </c>
      <c r="I12140" t="s">
        <v>21</v>
      </c>
    </row>
    <row r="12141" spans="1:9" x14ac:dyDescent="0.25">
      <c r="A12141">
        <v>20140829</v>
      </c>
      <c r="B12141" t="str">
        <f t="shared" si="699"/>
        <v>117065</v>
      </c>
      <c r="C12141" t="str">
        <f t="shared" si="700"/>
        <v>84980</v>
      </c>
      <c r="D12141" t="s">
        <v>591</v>
      </c>
      <c r="E12141">
        <v>693.99</v>
      </c>
      <c r="F12141">
        <v>20140825</v>
      </c>
      <c r="G12141" t="s">
        <v>583</v>
      </c>
      <c r="H12141" t="s">
        <v>5020</v>
      </c>
      <c r="I12141" t="s">
        <v>21</v>
      </c>
    </row>
    <row r="12142" spans="1:9" x14ac:dyDescent="0.25">
      <c r="A12142">
        <v>20140829</v>
      </c>
      <c r="B12142" t="str">
        <f t="shared" si="699"/>
        <v>117065</v>
      </c>
      <c r="C12142" t="str">
        <f t="shared" si="700"/>
        <v>84980</v>
      </c>
      <c r="D12142" t="s">
        <v>591</v>
      </c>
      <c r="E12142" s="1">
        <v>1209.48</v>
      </c>
      <c r="F12142">
        <v>20140825</v>
      </c>
      <c r="G12142" t="s">
        <v>830</v>
      </c>
      <c r="H12142" t="s">
        <v>5020</v>
      </c>
      <c r="I12142" t="s">
        <v>21</v>
      </c>
    </row>
    <row r="12143" spans="1:9" x14ac:dyDescent="0.25">
      <c r="A12143">
        <v>20140829</v>
      </c>
      <c r="B12143" t="str">
        <f t="shared" si="699"/>
        <v>117065</v>
      </c>
      <c r="C12143" t="str">
        <f t="shared" si="700"/>
        <v>84980</v>
      </c>
      <c r="D12143" t="s">
        <v>591</v>
      </c>
      <c r="E12143">
        <v>84.73</v>
      </c>
      <c r="F12143">
        <v>20140825</v>
      </c>
      <c r="G12143" t="s">
        <v>584</v>
      </c>
      <c r="H12143" t="s">
        <v>5020</v>
      </c>
      <c r="I12143" t="s">
        <v>21</v>
      </c>
    </row>
    <row r="12144" spans="1:9" x14ac:dyDescent="0.25">
      <c r="A12144">
        <v>20140829</v>
      </c>
      <c r="B12144" t="str">
        <f t="shared" si="699"/>
        <v>117065</v>
      </c>
      <c r="C12144" t="str">
        <f t="shared" si="700"/>
        <v>84980</v>
      </c>
      <c r="D12144" t="s">
        <v>591</v>
      </c>
      <c r="E12144">
        <v>198.43</v>
      </c>
      <c r="F12144">
        <v>20140825</v>
      </c>
      <c r="G12144" t="s">
        <v>557</v>
      </c>
      <c r="H12144" t="s">
        <v>5020</v>
      </c>
      <c r="I12144" t="s">
        <v>21</v>
      </c>
    </row>
    <row r="12145" spans="1:9" x14ac:dyDescent="0.25">
      <c r="A12145">
        <v>20140829</v>
      </c>
      <c r="B12145" t="str">
        <f t="shared" si="699"/>
        <v>117065</v>
      </c>
      <c r="C12145" t="str">
        <f t="shared" si="700"/>
        <v>84980</v>
      </c>
      <c r="D12145" t="s">
        <v>591</v>
      </c>
      <c r="E12145">
        <v>137.80000000000001</v>
      </c>
      <c r="F12145">
        <v>20140825</v>
      </c>
      <c r="G12145" t="s">
        <v>585</v>
      </c>
      <c r="H12145" t="s">
        <v>5020</v>
      </c>
      <c r="I12145" t="s">
        <v>21</v>
      </c>
    </row>
    <row r="12146" spans="1:9" x14ac:dyDescent="0.25">
      <c r="A12146">
        <v>20140829</v>
      </c>
      <c r="B12146" t="str">
        <f t="shared" si="699"/>
        <v>117065</v>
      </c>
      <c r="C12146" t="str">
        <f t="shared" si="700"/>
        <v>84980</v>
      </c>
      <c r="D12146" t="s">
        <v>591</v>
      </c>
      <c r="E12146">
        <v>230.9</v>
      </c>
      <c r="F12146">
        <v>20140825</v>
      </c>
      <c r="G12146" t="s">
        <v>137</v>
      </c>
      <c r="H12146" t="s">
        <v>5020</v>
      </c>
      <c r="I12146" t="s">
        <v>21</v>
      </c>
    </row>
    <row r="12147" spans="1:9" x14ac:dyDescent="0.25">
      <c r="A12147">
        <v>20140829</v>
      </c>
      <c r="B12147" t="str">
        <f t="shared" si="699"/>
        <v>117065</v>
      </c>
      <c r="C12147" t="str">
        <f t="shared" si="700"/>
        <v>84980</v>
      </c>
      <c r="D12147" t="s">
        <v>591</v>
      </c>
      <c r="E12147">
        <v>16.55</v>
      </c>
      <c r="F12147">
        <v>20140825</v>
      </c>
      <c r="G12147" t="s">
        <v>840</v>
      </c>
      <c r="H12147" t="s">
        <v>5020</v>
      </c>
      <c r="I12147" t="s">
        <v>21</v>
      </c>
    </row>
    <row r="12148" spans="1:9" x14ac:dyDescent="0.25">
      <c r="A12148">
        <v>20140829</v>
      </c>
      <c r="B12148" t="str">
        <f t="shared" si="699"/>
        <v>117065</v>
      </c>
      <c r="C12148" t="str">
        <f t="shared" si="700"/>
        <v>84980</v>
      </c>
      <c r="D12148" t="s">
        <v>591</v>
      </c>
      <c r="E12148">
        <v>33.11</v>
      </c>
      <c r="F12148">
        <v>20140825</v>
      </c>
      <c r="G12148" t="s">
        <v>1247</v>
      </c>
      <c r="H12148" t="s">
        <v>5020</v>
      </c>
      <c r="I12148" t="s">
        <v>66</v>
      </c>
    </row>
    <row r="12149" spans="1:9" x14ac:dyDescent="0.25">
      <c r="A12149">
        <v>20140829</v>
      </c>
      <c r="B12149" t="str">
        <f t="shared" si="699"/>
        <v>117065</v>
      </c>
      <c r="C12149" t="str">
        <f t="shared" si="700"/>
        <v>84980</v>
      </c>
      <c r="D12149" t="s">
        <v>591</v>
      </c>
      <c r="E12149">
        <v>484.94</v>
      </c>
      <c r="F12149">
        <v>20140825</v>
      </c>
      <c r="G12149" t="s">
        <v>331</v>
      </c>
      <c r="H12149" t="s">
        <v>5020</v>
      </c>
      <c r="I12149" t="s">
        <v>12</v>
      </c>
    </row>
    <row r="12150" spans="1:9" x14ac:dyDescent="0.25">
      <c r="A12150">
        <v>20140829</v>
      </c>
      <c r="B12150" t="str">
        <f>"117066"</f>
        <v>117066</v>
      </c>
      <c r="C12150" t="str">
        <f>"34250"</f>
        <v>34250</v>
      </c>
      <c r="D12150" t="s">
        <v>3301</v>
      </c>
      <c r="E12150">
        <v>97.37</v>
      </c>
      <c r="F12150">
        <v>20140827</v>
      </c>
      <c r="G12150" t="s">
        <v>4317</v>
      </c>
      <c r="H12150" t="s">
        <v>5021</v>
      </c>
      <c r="I12150" t="s">
        <v>61</v>
      </c>
    </row>
    <row r="12151" spans="1:9" x14ac:dyDescent="0.25">
      <c r="A12151">
        <v>20140829</v>
      </c>
      <c r="B12151" t="str">
        <f>"117067"</f>
        <v>117067</v>
      </c>
      <c r="C12151" t="str">
        <f>"87946"</f>
        <v>87946</v>
      </c>
      <c r="D12151" t="s">
        <v>5022</v>
      </c>
      <c r="E12151">
        <v>32.36</v>
      </c>
      <c r="F12151">
        <v>20140827</v>
      </c>
      <c r="G12151" t="s">
        <v>1153</v>
      </c>
      <c r="H12151" t="s">
        <v>5019</v>
      </c>
      <c r="I12151" t="s">
        <v>61</v>
      </c>
    </row>
    <row r="12152" spans="1:9" x14ac:dyDescent="0.25">
      <c r="A12152">
        <v>20140829</v>
      </c>
      <c r="B12152" t="str">
        <f>"117068"</f>
        <v>117068</v>
      </c>
      <c r="C12152" t="str">
        <f>"00198"</f>
        <v>00198</v>
      </c>
      <c r="D12152" t="s">
        <v>4880</v>
      </c>
      <c r="E12152" s="1">
        <v>165601.79999999999</v>
      </c>
      <c r="F12152">
        <v>20140828</v>
      </c>
      <c r="G12152" t="s">
        <v>606</v>
      </c>
      <c r="H12152" t="s">
        <v>930</v>
      </c>
      <c r="I12152" t="s">
        <v>608</v>
      </c>
    </row>
    <row r="12153" spans="1:9" x14ac:dyDescent="0.25">
      <c r="A12153">
        <v>20140829</v>
      </c>
      <c r="B12153" t="str">
        <f>"117069"</f>
        <v>117069</v>
      </c>
      <c r="C12153" t="str">
        <f>"87910"</f>
        <v>87910</v>
      </c>
      <c r="D12153" t="s">
        <v>4788</v>
      </c>
      <c r="E12153" s="1">
        <v>4916.05</v>
      </c>
      <c r="F12153">
        <v>20140829</v>
      </c>
      <c r="G12153" t="s">
        <v>630</v>
      </c>
      <c r="H12153" t="s">
        <v>5023</v>
      </c>
      <c r="I12153" t="s">
        <v>21</v>
      </c>
    </row>
    <row r="12154" spans="1:9" x14ac:dyDescent="0.25">
      <c r="A12154">
        <v>20140829</v>
      </c>
      <c r="B12154" t="str">
        <f>"117070"</f>
        <v>117070</v>
      </c>
      <c r="C12154" t="str">
        <f>"87582"</f>
        <v>87582</v>
      </c>
      <c r="D12154" t="s">
        <v>1885</v>
      </c>
      <c r="E12154">
        <v>266</v>
      </c>
      <c r="F12154">
        <v>20140827</v>
      </c>
      <c r="G12154" t="s">
        <v>36</v>
      </c>
      <c r="H12154" t="s">
        <v>513</v>
      </c>
      <c r="I12154" t="s">
        <v>38</v>
      </c>
    </row>
    <row r="12155" spans="1:9" x14ac:dyDescent="0.25">
      <c r="A12155">
        <v>20140829</v>
      </c>
      <c r="B12155" t="str">
        <f>"117071"</f>
        <v>117071</v>
      </c>
      <c r="C12155" t="str">
        <f>"40910"</f>
        <v>40910</v>
      </c>
      <c r="D12155" t="s">
        <v>1886</v>
      </c>
      <c r="E12155" s="1">
        <v>4254</v>
      </c>
      <c r="F12155">
        <v>20140829</v>
      </c>
      <c r="G12155" t="s">
        <v>1408</v>
      </c>
      <c r="H12155" t="s">
        <v>5024</v>
      </c>
      <c r="I12155" t="s">
        <v>12</v>
      </c>
    </row>
    <row r="12156" spans="1:9" x14ac:dyDescent="0.25">
      <c r="A12156">
        <v>20140829</v>
      </c>
      <c r="B12156" t="str">
        <f>"117071"</f>
        <v>117071</v>
      </c>
      <c r="C12156" t="str">
        <f>"40910"</f>
        <v>40910</v>
      </c>
      <c r="D12156" t="s">
        <v>1886</v>
      </c>
      <c r="E12156" s="1">
        <v>13326.93</v>
      </c>
      <c r="F12156">
        <v>20140826</v>
      </c>
      <c r="G12156" t="s">
        <v>3555</v>
      </c>
      <c r="H12156" t="s">
        <v>839</v>
      </c>
      <c r="I12156" t="s">
        <v>12</v>
      </c>
    </row>
    <row r="12157" spans="1:9" x14ac:dyDescent="0.25">
      <c r="A12157">
        <v>20140829</v>
      </c>
      <c r="B12157" t="str">
        <f>"117072"</f>
        <v>117072</v>
      </c>
      <c r="C12157" t="str">
        <f>"41253"</f>
        <v>41253</v>
      </c>
      <c r="D12157" t="s">
        <v>421</v>
      </c>
      <c r="E12157" s="1">
        <v>62618.34</v>
      </c>
      <c r="F12157">
        <v>20140828</v>
      </c>
      <c r="G12157" t="s">
        <v>404</v>
      </c>
      <c r="H12157" t="s">
        <v>913</v>
      </c>
      <c r="I12157" t="s">
        <v>12</v>
      </c>
    </row>
    <row r="12158" spans="1:9" x14ac:dyDescent="0.25">
      <c r="A12158">
        <v>20140829</v>
      </c>
      <c r="B12158" t="str">
        <f>"117072"</f>
        <v>117072</v>
      </c>
      <c r="C12158" t="str">
        <f>"41253"</f>
        <v>41253</v>
      </c>
      <c r="D12158" t="s">
        <v>421</v>
      </c>
      <c r="E12158" s="1">
        <v>6318.75</v>
      </c>
      <c r="F12158">
        <v>20140828</v>
      </c>
      <c r="G12158" t="s">
        <v>1404</v>
      </c>
      <c r="H12158" t="s">
        <v>414</v>
      </c>
      <c r="I12158" t="s">
        <v>12</v>
      </c>
    </row>
    <row r="12159" spans="1:9" x14ac:dyDescent="0.25">
      <c r="A12159">
        <v>20140829</v>
      </c>
      <c r="B12159" t="str">
        <f>"117073"</f>
        <v>117073</v>
      </c>
      <c r="C12159" t="str">
        <f>"46225"</f>
        <v>46225</v>
      </c>
      <c r="D12159" t="s">
        <v>3566</v>
      </c>
      <c r="E12159" s="1">
        <v>12600</v>
      </c>
      <c r="F12159">
        <v>20140828</v>
      </c>
      <c r="G12159" t="s">
        <v>606</v>
      </c>
      <c r="H12159" t="s">
        <v>3054</v>
      </c>
      <c r="I12159" t="s">
        <v>608</v>
      </c>
    </row>
    <row r="12160" spans="1:9" x14ac:dyDescent="0.25">
      <c r="A12160">
        <v>20140829</v>
      </c>
      <c r="B12160" t="str">
        <f>"117073"</f>
        <v>117073</v>
      </c>
      <c r="C12160" t="str">
        <f>"46225"</f>
        <v>46225</v>
      </c>
      <c r="D12160" t="s">
        <v>3566</v>
      </c>
      <c r="E12160" s="1">
        <v>3472.98</v>
      </c>
      <c r="F12160">
        <v>20140828</v>
      </c>
      <c r="G12160" t="s">
        <v>606</v>
      </c>
      <c r="H12160" t="s">
        <v>839</v>
      </c>
      <c r="I12160" t="s">
        <v>608</v>
      </c>
    </row>
    <row r="12161" spans="1:9" x14ac:dyDescent="0.25">
      <c r="A12161">
        <v>20140829</v>
      </c>
      <c r="B12161" t="str">
        <f>"117074"</f>
        <v>117074</v>
      </c>
      <c r="C12161" t="str">
        <f>"49527"</f>
        <v>49527</v>
      </c>
      <c r="D12161" t="s">
        <v>5025</v>
      </c>
      <c r="E12161" s="1">
        <v>2639.84</v>
      </c>
      <c r="F12161">
        <v>20140828</v>
      </c>
      <c r="G12161" t="s">
        <v>404</v>
      </c>
      <c r="H12161" t="s">
        <v>2336</v>
      </c>
      <c r="I12161" t="s">
        <v>12</v>
      </c>
    </row>
    <row r="12162" spans="1:9" x14ac:dyDescent="0.25">
      <c r="A12162">
        <v>20140829</v>
      </c>
      <c r="B12162" t="str">
        <f>"117075"</f>
        <v>117075</v>
      </c>
      <c r="C12162" t="str">
        <f>"87489"</f>
        <v>87489</v>
      </c>
      <c r="D12162" t="s">
        <v>912</v>
      </c>
      <c r="E12162" s="1">
        <v>1393.92</v>
      </c>
      <c r="F12162">
        <v>20140828</v>
      </c>
      <c r="G12162" t="s">
        <v>404</v>
      </c>
      <c r="H12162" t="s">
        <v>5026</v>
      </c>
      <c r="I12162" t="s">
        <v>12</v>
      </c>
    </row>
    <row r="12163" spans="1:9" x14ac:dyDescent="0.25">
      <c r="A12163">
        <v>20140829</v>
      </c>
      <c r="B12163" t="str">
        <f>"117076"</f>
        <v>117076</v>
      </c>
      <c r="C12163" t="str">
        <f>"55570"</f>
        <v>55570</v>
      </c>
      <c r="D12163" t="s">
        <v>929</v>
      </c>
      <c r="E12163" s="1">
        <v>5485.1</v>
      </c>
      <c r="F12163">
        <v>20140828</v>
      </c>
      <c r="G12163" t="s">
        <v>606</v>
      </c>
      <c r="H12163" t="s">
        <v>839</v>
      </c>
      <c r="I12163" t="s">
        <v>608</v>
      </c>
    </row>
    <row r="12164" spans="1:9" x14ac:dyDescent="0.25">
      <c r="A12164">
        <v>20140829</v>
      </c>
      <c r="B12164" t="str">
        <f>"117077"</f>
        <v>117077</v>
      </c>
      <c r="C12164" t="str">
        <f>"85117"</f>
        <v>85117</v>
      </c>
      <c r="D12164" t="s">
        <v>1507</v>
      </c>
      <c r="E12164" s="1">
        <v>61277</v>
      </c>
      <c r="F12164">
        <v>20140828</v>
      </c>
      <c r="G12164" t="s">
        <v>5027</v>
      </c>
      <c r="H12164" t="s">
        <v>5028</v>
      </c>
      <c r="I12164" t="s">
        <v>79</v>
      </c>
    </row>
    <row r="12165" spans="1:9" x14ac:dyDescent="0.25">
      <c r="A12165">
        <v>20140829</v>
      </c>
      <c r="B12165" t="str">
        <f>"117078"</f>
        <v>117078</v>
      </c>
      <c r="C12165" t="str">
        <f>"87912"</f>
        <v>87912</v>
      </c>
      <c r="D12165" t="s">
        <v>4977</v>
      </c>
      <c r="E12165" s="1">
        <v>12495.6</v>
      </c>
      <c r="F12165">
        <v>20140828</v>
      </c>
      <c r="G12165" t="s">
        <v>606</v>
      </c>
      <c r="H12165" t="s">
        <v>839</v>
      </c>
      <c r="I12165" t="s">
        <v>608</v>
      </c>
    </row>
    <row r="12166" spans="1:9" x14ac:dyDescent="0.25">
      <c r="A12166">
        <v>20140829</v>
      </c>
      <c r="B12166" t="str">
        <f>"117079"</f>
        <v>117079</v>
      </c>
      <c r="C12166" t="str">
        <f>"86376"</f>
        <v>86376</v>
      </c>
      <c r="D12166" t="s">
        <v>1661</v>
      </c>
      <c r="E12166" s="1">
        <v>3122</v>
      </c>
      <c r="F12166">
        <v>20140825</v>
      </c>
      <c r="G12166" t="s">
        <v>1067</v>
      </c>
      <c r="H12166" t="s">
        <v>5029</v>
      </c>
      <c r="I12166" t="s">
        <v>21</v>
      </c>
    </row>
    <row r="12167" spans="1:9" x14ac:dyDescent="0.25">
      <c r="A12167">
        <v>20140829</v>
      </c>
      <c r="B12167" t="str">
        <f>"117080"</f>
        <v>117080</v>
      </c>
      <c r="C12167" t="str">
        <f>"86616"</f>
        <v>86616</v>
      </c>
      <c r="D12167" t="s">
        <v>1942</v>
      </c>
      <c r="E12167" s="1">
        <v>1000</v>
      </c>
      <c r="F12167">
        <v>20140829</v>
      </c>
      <c r="G12167" t="s">
        <v>4804</v>
      </c>
      <c r="H12167" t="s">
        <v>5030</v>
      </c>
      <c r="I12167" t="s">
        <v>66</v>
      </c>
    </row>
    <row r="12168" spans="1:9" x14ac:dyDescent="0.25">
      <c r="A12168">
        <v>20140829</v>
      </c>
      <c r="B12168" t="str">
        <f>"117081"</f>
        <v>117081</v>
      </c>
      <c r="C12168" t="str">
        <f>"87189"</f>
        <v>87189</v>
      </c>
      <c r="D12168" t="s">
        <v>730</v>
      </c>
      <c r="E12168">
        <v>714.73</v>
      </c>
      <c r="F12168">
        <v>20140829</v>
      </c>
      <c r="G12168" t="s">
        <v>415</v>
      </c>
      <c r="H12168" t="s">
        <v>4301</v>
      </c>
      <c r="I12168" t="s">
        <v>21</v>
      </c>
    </row>
    <row r="12169" spans="1:9" x14ac:dyDescent="0.25">
      <c r="A12169">
        <v>20140829</v>
      </c>
      <c r="B12169" t="str">
        <f>"117081"</f>
        <v>117081</v>
      </c>
      <c r="C12169" t="str">
        <f>"87189"</f>
        <v>87189</v>
      </c>
      <c r="D12169" t="s">
        <v>730</v>
      </c>
      <c r="E12169" s="1">
        <v>3270.73</v>
      </c>
      <c r="F12169">
        <v>20140829</v>
      </c>
      <c r="G12169" t="s">
        <v>415</v>
      </c>
      <c r="H12169" t="s">
        <v>5031</v>
      </c>
      <c r="I12169" t="s">
        <v>21</v>
      </c>
    </row>
    <row r="12170" spans="1:9" x14ac:dyDescent="0.25">
      <c r="A12170">
        <v>20140829</v>
      </c>
      <c r="B12170" t="str">
        <f>"117081"</f>
        <v>117081</v>
      </c>
      <c r="C12170" t="str">
        <f>"87189"</f>
        <v>87189</v>
      </c>
      <c r="D12170" t="s">
        <v>730</v>
      </c>
      <c r="E12170" s="1">
        <v>1495.73</v>
      </c>
      <c r="F12170">
        <v>20140828</v>
      </c>
      <c r="G12170" t="s">
        <v>627</v>
      </c>
      <c r="H12170" t="s">
        <v>414</v>
      </c>
      <c r="I12170" t="s">
        <v>21</v>
      </c>
    </row>
    <row r="12171" spans="1:9" x14ac:dyDescent="0.25">
      <c r="A12171">
        <v>20140829</v>
      </c>
      <c r="B12171" t="str">
        <f>"117081"</f>
        <v>117081</v>
      </c>
      <c r="C12171" t="str">
        <f>"87189"</f>
        <v>87189</v>
      </c>
      <c r="D12171" t="s">
        <v>730</v>
      </c>
      <c r="E12171" s="1">
        <v>1532.73</v>
      </c>
      <c r="F12171">
        <v>20140828</v>
      </c>
      <c r="G12171" t="s">
        <v>392</v>
      </c>
      <c r="H12171" t="s">
        <v>414</v>
      </c>
      <c r="I12171" t="s">
        <v>21</v>
      </c>
    </row>
    <row r="12172" spans="1:9" x14ac:dyDescent="0.25">
      <c r="A12172">
        <v>20140829</v>
      </c>
      <c r="B12172" t="str">
        <f>"117081"</f>
        <v>117081</v>
      </c>
      <c r="C12172" t="str">
        <f>"87189"</f>
        <v>87189</v>
      </c>
      <c r="D12172" t="s">
        <v>730</v>
      </c>
      <c r="E12172" s="1">
        <v>1484.73</v>
      </c>
      <c r="F12172">
        <v>20140829</v>
      </c>
      <c r="G12172" t="s">
        <v>331</v>
      </c>
      <c r="H12172" t="s">
        <v>5032</v>
      </c>
      <c r="I12172" t="s">
        <v>12</v>
      </c>
    </row>
    <row r="12173" spans="1:9" x14ac:dyDescent="0.25">
      <c r="A12173">
        <v>20140829</v>
      </c>
      <c r="B12173" t="str">
        <f>"117082"</f>
        <v>117082</v>
      </c>
      <c r="C12173" t="str">
        <f>"79400"</f>
        <v>79400</v>
      </c>
      <c r="D12173" t="s">
        <v>1328</v>
      </c>
      <c r="E12173" s="1">
        <v>4280.55</v>
      </c>
      <c r="F12173">
        <v>20140828</v>
      </c>
      <c r="G12173" t="s">
        <v>1329</v>
      </c>
      <c r="H12173" t="s">
        <v>1330</v>
      </c>
      <c r="I12173" t="s">
        <v>21</v>
      </c>
    </row>
    <row r="12174" spans="1:9" x14ac:dyDescent="0.25">
      <c r="A12174">
        <v>20131220</v>
      </c>
      <c r="B12174" t="str">
        <f t="shared" ref="B12174:B12190" si="701">"122013"</f>
        <v>122013</v>
      </c>
      <c r="C12174" t="str">
        <f t="shared" ref="C12174:C12190" si="702">"80959"</f>
        <v>80959</v>
      </c>
      <c r="D12174" t="s">
        <v>250</v>
      </c>
      <c r="E12174" s="1">
        <v>243329.17</v>
      </c>
      <c r="F12174">
        <v>20131220</v>
      </c>
      <c r="G12174" t="s">
        <v>251</v>
      </c>
      <c r="H12174" t="s">
        <v>334</v>
      </c>
      <c r="I12174" t="s">
        <v>29</v>
      </c>
    </row>
    <row r="12175" spans="1:9" x14ac:dyDescent="0.25">
      <c r="A12175">
        <v>20131220</v>
      </c>
      <c r="B12175" t="str">
        <f t="shared" si="701"/>
        <v>122013</v>
      </c>
      <c r="C12175" t="str">
        <f t="shared" si="702"/>
        <v>80959</v>
      </c>
      <c r="D12175" t="s">
        <v>250</v>
      </c>
      <c r="E12175" s="1">
        <v>37675.19</v>
      </c>
      <c r="F12175">
        <v>20131220</v>
      </c>
      <c r="G12175" t="s">
        <v>252</v>
      </c>
      <c r="H12175" t="s">
        <v>334</v>
      </c>
      <c r="I12175" t="s">
        <v>29</v>
      </c>
    </row>
    <row r="12176" spans="1:9" x14ac:dyDescent="0.25">
      <c r="A12176">
        <v>20131220</v>
      </c>
      <c r="B12176" t="str">
        <f t="shared" si="701"/>
        <v>122013</v>
      </c>
      <c r="C12176" t="str">
        <f t="shared" si="702"/>
        <v>80959</v>
      </c>
      <c r="D12176" t="s">
        <v>250</v>
      </c>
      <c r="E12176" s="1">
        <v>37675.25</v>
      </c>
      <c r="F12176">
        <v>20131220</v>
      </c>
      <c r="G12176" t="s">
        <v>253</v>
      </c>
      <c r="H12176" t="s">
        <v>334</v>
      </c>
      <c r="I12176" t="s">
        <v>29</v>
      </c>
    </row>
    <row r="12177" spans="1:9" x14ac:dyDescent="0.25">
      <c r="A12177">
        <v>20131220</v>
      </c>
      <c r="B12177" t="str">
        <f t="shared" si="701"/>
        <v>122013</v>
      </c>
      <c r="C12177" t="str">
        <f t="shared" si="702"/>
        <v>80959</v>
      </c>
      <c r="D12177" t="s">
        <v>250</v>
      </c>
      <c r="E12177" s="1">
        <v>146930</v>
      </c>
      <c r="F12177">
        <v>20131220</v>
      </c>
      <c r="G12177" t="s">
        <v>92</v>
      </c>
      <c r="H12177" t="s">
        <v>334</v>
      </c>
      <c r="I12177" t="s">
        <v>29</v>
      </c>
    </row>
    <row r="12178" spans="1:9" x14ac:dyDescent="0.25">
      <c r="A12178">
        <v>20131220</v>
      </c>
      <c r="B12178" t="str">
        <f t="shared" si="701"/>
        <v>122013</v>
      </c>
      <c r="C12178" t="str">
        <f t="shared" si="702"/>
        <v>80959</v>
      </c>
      <c r="D12178" t="s">
        <v>250</v>
      </c>
      <c r="E12178" s="1">
        <v>1246.24</v>
      </c>
      <c r="F12178">
        <v>20131220</v>
      </c>
      <c r="G12178" t="s">
        <v>254</v>
      </c>
      <c r="H12178" t="s">
        <v>334</v>
      </c>
      <c r="I12178" t="s">
        <v>29</v>
      </c>
    </row>
    <row r="12179" spans="1:9" x14ac:dyDescent="0.25">
      <c r="A12179">
        <v>20131220</v>
      </c>
      <c r="B12179" t="str">
        <f t="shared" si="701"/>
        <v>122013</v>
      </c>
      <c r="C12179" t="str">
        <f t="shared" si="702"/>
        <v>80959</v>
      </c>
      <c r="D12179" t="s">
        <v>250</v>
      </c>
      <c r="E12179" s="1">
        <v>1082.42</v>
      </c>
      <c r="F12179">
        <v>20131220</v>
      </c>
      <c r="G12179" t="s">
        <v>255</v>
      </c>
      <c r="H12179" t="s">
        <v>334</v>
      </c>
      <c r="I12179" t="s">
        <v>29</v>
      </c>
    </row>
    <row r="12180" spans="1:9" x14ac:dyDescent="0.25">
      <c r="A12180">
        <v>20131220</v>
      </c>
      <c r="B12180" t="str">
        <f t="shared" si="701"/>
        <v>122013</v>
      </c>
      <c r="C12180" t="str">
        <f t="shared" si="702"/>
        <v>80959</v>
      </c>
      <c r="D12180" t="s">
        <v>250</v>
      </c>
      <c r="E12180" s="1">
        <v>136416.5</v>
      </c>
      <c r="F12180">
        <v>20131220</v>
      </c>
      <c r="G12180" t="s">
        <v>256</v>
      </c>
      <c r="H12180" t="s">
        <v>334</v>
      </c>
      <c r="I12180" t="s">
        <v>29</v>
      </c>
    </row>
    <row r="12181" spans="1:9" x14ac:dyDescent="0.25">
      <c r="A12181">
        <v>20131220</v>
      </c>
      <c r="B12181" t="str">
        <f t="shared" si="701"/>
        <v>122013</v>
      </c>
      <c r="C12181" t="str">
        <f t="shared" si="702"/>
        <v>80959</v>
      </c>
      <c r="D12181" t="s">
        <v>250</v>
      </c>
      <c r="E12181" s="1">
        <v>10243</v>
      </c>
      <c r="F12181">
        <v>20131220</v>
      </c>
      <c r="G12181" t="s">
        <v>257</v>
      </c>
      <c r="H12181" t="s">
        <v>334</v>
      </c>
      <c r="I12181" t="s">
        <v>29</v>
      </c>
    </row>
    <row r="12182" spans="1:9" x14ac:dyDescent="0.25">
      <c r="A12182">
        <v>20131220</v>
      </c>
      <c r="B12182" t="str">
        <f t="shared" si="701"/>
        <v>122013</v>
      </c>
      <c r="C12182" t="str">
        <f t="shared" si="702"/>
        <v>80959</v>
      </c>
      <c r="D12182" t="s">
        <v>250</v>
      </c>
      <c r="E12182" s="1">
        <v>185032.2</v>
      </c>
      <c r="F12182">
        <v>20131220</v>
      </c>
      <c r="G12182" t="s">
        <v>258</v>
      </c>
      <c r="H12182" t="s">
        <v>334</v>
      </c>
      <c r="I12182" t="s">
        <v>29</v>
      </c>
    </row>
    <row r="12183" spans="1:9" x14ac:dyDescent="0.25">
      <c r="A12183">
        <v>20131220</v>
      </c>
      <c r="B12183" t="str">
        <f t="shared" si="701"/>
        <v>122013</v>
      </c>
      <c r="C12183" t="str">
        <f t="shared" si="702"/>
        <v>80959</v>
      </c>
      <c r="D12183" t="s">
        <v>250</v>
      </c>
      <c r="E12183" s="1">
        <v>16546.099999999999</v>
      </c>
      <c r="F12183">
        <v>20131220</v>
      </c>
      <c r="G12183" t="s">
        <v>259</v>
      </c>
      <c r="H12183" t="s">
        <v>334</v>
      </c>
      <c r="I12183" t="s">
        <v>29</v>
      </c>
    </row>
    <row r="12184" spans="1:9" x14ac:dyDescent="0.25">
      <c r="A12184">
        <v>20131220</v>
      </c>
      <c r="B12184" t="str">
        <f t="shared" si="701"/>
        <v>122013</v>
      </c>
      <c r="C12184" t="str">
        <f t="shared" si="702"/>
        <v>80959</v>
      </c>
      <c r="D12184" t="s">
        <v>250</v>
      </c>
      <c r="E12184" s="1">
        <v>30116.35</v>
      </c>
      <c r="F12184">
        <v>20131220</v>
      </c>
      <c r="G12184" t="s">
        <v>260</v>
      </c>
      <c r="H12184" t="s">
        <v>334</v>
      </c>
      <c r="I12184" t="s">
        <v>29</v>
      </c>
    </row>
    <row r="12185" spans="1:9" x14ac:dyDescent="0.25">
      <c r="A12185">
        <v>20131220</v>
      </c>
      <c r="B12185" t="str">
        <f t="shared" si="701"/>
        <v>122013</v>
      </c>
      <c r="C12185" t="str">
        <f t="shared" si="702"/>
        <v>80959</v>
      </c>
      <c r="D12185" t="s">
        <v>250</v>
      </c>
      <c r="E12185" s="1">
        <v>2485.0700000000002</v>
      </c>
      <c r="F12185">
        <v>20131220</v>
      </c>
      <c r="G12185" t="s">
        <v>261</v>
      </c>
      <c r="H12185" t="s">
        <v>334</v>
      </c>
      <c r="I12185" t="s">
        <v>29</v>
      </c>
    </row>
    <row r="12186" spans="1:9" x14ac:dyDescent="0.25">
      <c r="A12186">
        <v>20131220</v>
      </c>
      <c r="B12186" t="str">
        <f t="shared" si="701"/>
        <v>122013</v>
      </c>
      <c r="C12186" t="str">
        <f t="shared" si="702"/>
        <v>80959</v>
      </c>
      <c r="D12186" t="s">
        <v>250</v>
      </c>
      <c r="E12186" s="1">
        <v>14435.16</v>
      </c>
      <c r="F12186">
        <v>20131220</v>
      </c>
      <c r="G12186" t="s">
        <v>262</v>
      </c>
      <c r="H12186" t="s">
        <v>334</v>
      </c>
      <c r="I12186" t="s">
        <v>29</v>
      </c>
    </row>
    <row r="12187" spans="1:9" x14ac:dyDescent="0.25">
      <c r="A12187">
        <v>20131220</v>
      </c>
      <c r="B12187" t="str">
        <f t="shared" si="701"/>
        <v>122013</v>
      </c>
      <c r="C12187" t="str">
        <f t="shared" si="702"/>
        <v>80959</v>
      </c>
      <c r="D12187" t="s">
        <v>250</v>
      </c>
      <c r="E12187" s="1">
        <v>2492.8000000000002</v>
      </c>
      <c r="F12187">
        <v>20131220</v>
      </c>
      <c r="G12187" t="s">
        <v>263</v>
      </c>
      <c r="H12187" t="s">
        <v>334</v>
      </c>
      <c r="I12187" t="s">
        <v>29</v>
      </c>
    </row>
    <row r="12188" spans="1:9" x14ac:dyDescent="0.25">
      <c r="A12188">
        <v>20131220</v>
      </c>
      <c r="B12188" t="str">
        <f t="shared" si="701"/>
        <v>122013</v>
      </c>
      <c r="C12188" t="str">
        <f t="shared" si="702"/>
        <v>80959</v>
      </c>
      <c r="D12188" t="s">
        <v>250</v>
      </c>
      <c r="E12188" s="1">
        <v>2809.42</v>
      </c>
      <c r="F12188">
        <v>20131220</v>
      </c>
      <c r="G12188" t="s">
        <v>264</v>
      </c>
      <c r="H12188" t="s">
        <v>334</v>
      </c>
      <c r="I12188" t="s">
        <v>29</v>
      </c>
    </row>
    <row r="12189" spans="1:9" x14ac:dyDescent="0.25">
      <c r="A12189">
        <v>20131220</v>
      </c>
      <c r="B12189" t="str">
        <f t="shared" si="701"/>
        <v>122013</v>
      </c>
      <c r="C12189" t="str">
        <f t="shared" si="702"/>
        <v>80959</v>
      </c>
      <c r="D12189" t="s">
        <v>250</v>
      </c>
      <c r="E12189" s="1">
        <v>1716</v>
      </c>
      <c r="F12189">
        <v>20131220</v>
      </c>
      <c r="G12189" t="s">
        <v>265</v>
      </c>
      <c r="H12189" t="s">
        <v>334</v>
      </c>
      <c r="I12189" t="s">
        <v>29</v>
      </c>
    </row>
    <row r="12190" spans="1:9" x14ac:dyDescent="0.25">
      <c r="A12190">
        <v>20131220</v>
      </c>
      <c r="B12190" t="str">
        <f t="shared" si="701"/>
        <v>122013</v>
      </c>
      <c r="C12190" t="str">
        <f t="shared" si="702"/>
        <v>80959</v>
      </c>
      <c r="D12190" t="s">
        <v>250</v>
      </c>
      <c r="E12190" s="1">
        <v>6748.46</v>
      </c>
      <c r="F12190">
        <v>20131220</v>
      </c>
      <c r="G12190" t="s">
        <v>266</v>
      </c>
      <c r="H12190" t="s">
        <v>334</v>
      </c>
      <c r="I12190" t="s">
        <v>29</v>
      </c>
    </row>
    <row r="12191" spans="1:9" x14ac:dyDescent="0.25">
      <c r="A12191">
        <v>20130927</v>
      </c>
      <c r="B12191" t="str">
        <f>"185722"</f>
        <v>185722</v>
      </c>
      <c r="C12191" t="str">
        <f>"86972"</f>
        <v>86972</v>
      </c>
      <c r="D12191" t="s">
        <v>5033</v>
      </c>
      <c r="E12191">
        <v>485.74</v>
      </c>
      <c r="F12191">
        <v>20130927</v>
      </c>
      <c r="G12191" t="s">
        <v>5034</v>
      </c>
      <c r="H12191" t="s">
        <v>5035</v>
      </c>
      <c r="I12191" t="s">
        <v>29</v>
      </c>
    </row>
    <row r="12192" spans="1:9" x14ac:dyDescent="0.25">
      <c r="A12192">
        <v>20130927</v>
      </c>
      <c r="B12192" t="str">
        <f>"185723"</f>
        <v>185723</v>
      </c>
      <c r="C12192" t="str">
        <f>"07258"</f>
        <v>07258</v>
      </c>
      <c r="D12192" t="s">
        <v>5036</v>
      </c>
      <c r="E12192" s="1">
        <v>3032.35</v>
      </c>
      <c r="F12192">
        <v>20130927</v>
      </c>
      <c r="G12192" t="s">
        <v>5037</v>
      </c>
      <c r="H12192" t="s">
        <v>5035</v>
      </c>
      <c r="I12192" t="s">
        <v>29</v>
      </c>
    </row>
    <row r="12193" spans="1:9" x14ac:dyDescent="0.25">
      <c r="A12193">
        <v>20130927</v>
      </c>
      <c r="B12193" t="str">
        <f>"185724"</f>
        <v>185724</v>
      </c>
      <c r="C12193" t="str">
        <f>"16955"</f>
        <v>16955</v>
      </c>
      <c r="D12193" t="s">
        <v>5038</v>
      </c>
      <c r="E12193" s="1">
        <v>68252.11</v>
      </c>
      <c r="F12193">
        <v>20130927</v>
      </c>
      <c r="G12193" t="s">
        <v>5039</v>
      </c>
      <c r="H12193" t="s">
        <v>5040</v>
      </c>
      <c r="I12193" t="s">
        <v>29</v>
      </c>
    </row>
    <row r="12194" spans="1:9" x14ac:dyDescent="0.25">
      <c r="A12194">
        <v>20130927</v>
      </c>
      <c r="B12194" t="str">
        <f>"185725"</f>
        <v>185725</v>
      </c>
      <c r="C12194" t="str">
        <f>"81559"</f>
        <v>81559</v>
      </c>
      <c r="D12194" t="s">
        <v>5041</v>
      </c>
      <c r="E12194" s="1">
        <v>2236</v>
      </c>
      <c r="F12194">
        <v>20130927</v>
      </c>
      <c r="G12194" t="s">
        <v>5042</v>
      </c>
      <c r="H12194" t="s">
        <v>5035</v>
      </c>
      <c r="I12194" t="s">
        <v>29</v>
      </c>
    </row>
    <row r="12195" spans="1:9" x14ac:dyDescent="0.25">
      <c r="A12195">
        <v>20130927</v>
      </c>
      <c r="B12195" t="str">
        <f>"185726"</f>
        <v>185726</v>
      </c>
      <c r="C12195" t="str">
        <f>"22240"</f>
        <v>22240</v>
      </c>
      <c r="D12195" t="s">
        <v>1038</v>
      </c>
      <c r="E12195">
        <v>715</v>
      </c>
      <c r="F12195">
        <v>20130927</v>
      </c>
      <c r="G12195" t="s">
        <v>5043</v>
      </c>
      <c r="H12195" t="s">
        <v>5035</v>
      </c>
      <c r="I12195" t="s">
        <v>29</v>
      </c>
    </row>
    <row r="12196" spans="1:9" x14ac:dyDescent="0.25">
      <c r="A12196">
        <v>20130927</v>
      </c>
      <c r="B12196" t="str">
        <f>"185727"</f>
        <v>185727</v>
      </c>
      <c r="C12196" t="str">
        <f>"26330"</f>
        <v>26330</v>
      </c>
      <c r="D12196" t="s">
        <v>5044</v>
      </c>
      <c r="E12196">
        <v>340</v>
      </c>
      <c r="F12196">
        <v>20130927</v>
      </c>
      <c r="G12196" t="s">
        <v>5045</v>
      </c>
      <c r="H12196" t="s">
        <v>5035</v>
      </c>
      <c r="I12196" t="s">
        <v>29</v>
      </c>
    </row>
    <row r="12197" spans="1:9" x14ac:dyDescent="0.25">
      <c r="A12197">
        <v>20130927</v>
      </c>
      <c r="B12197" t="str">
        <f>"185728"</f>
        <v>185728</v>
      </c>
      <c r="C12197" t="str">
        <f>"26994"</f>
        <v>26994</v>
      </c>
      <c r="D12197" t="s">
        <v>548</v>
      </c>
      <c r="E12197" s="1">
        <v>2400</v>
      </c>
      <c r="F12197">
        <v>20130927</v>
      </c>
      <c r="G12197" t="s">
        <v>5046</v>
      </c>
      <c r="H12197" t="s">
        <v>5035</v>
      </c>
      <c r="I12197" t="s">
        <v>29</v>
      </c>
    </row>
    <row r="12198" spans="1:9" x14ac:dyDescent="0.25">
      <c r="A12198">
        <v>20130927</v>
      </c>
      <c r="B12198" t="str">
        <f>"185729"</f>
        <v>185729</v>
      </c>
      <c r="C12198" t="str">
        <f>"26990"</f>
        <v>26990</v>
      </c>
      <c r="D12198" t="s">
        <v>548</v>
      </c>
      <c r="E12198">
        <v>76.92</v>
      </c>
      <c r="F12198">
        <v>20130927</v>
      </c>
      <c r="G12198" t="s">
        <v>5047</v>
      </c>
      <c r="H12198" t="s">
        <v>5035</v>
      </c>
      <c r="I12198" t="s">
        <v>29</v>
      </c>
    </row>
    <row r="12199" spans="1:9" x14ac:dyDescent="0.25">
      <c r="A12199">
        <v>20130927</v>
      </c>
      <c r="B12199" t="str">
        <f t="shared" ref="B12199:B12224" si="703">"185730"</f>
        <v>185730</v>
      </c>
      <c r="C12199" t="str">
        <f t="shared" ref="C12199:C12224" si="704">"86432"</f>
        <v>86432</v>
      </c>
      <c r="D12199" t="s">
        <v>5048</v>
      </c>
      <c r="E12199" s="1">
        <v>3488.36</v>
      </c>
      <c r="F12199">
        <v>20130927</v>
      </c>
      <c r="G12199" t="s">
        <v>5049</v>
      </c>
      <c r="H12199" t="s">
        <v>5050</v>
      </c>
      <c r="I12199" t="s">
        <v>29</v>
      </c>
    </row>
    <row r="12200" spans="1:9" x14ac:dyDescent="0.25">
      <c r="A12200">
        <v>20130927</v>
      </c>
      <c r="B12200" t="str">
        <f t="shared" si="703"/>
        <v>185730</v>
      </c>
      <c r="C12200" t="str">
        <f t="shared" si="704"/>
        <v>86432</v>
      </c>
      <c r="D12200" t="s">
        <v>5048</v>
      </c>
      <c r="E12200">
        <v>54.23</v>
      </c>
      <c r="F12200">
        <v>20130927</v>
      </c>
      <c r="G12200" t="s">
        <v>5051</v>
      </c>
      <c r="H12200" t="s">
        <v>5050</v>
      </c>
      <c r="I12200" t="s">
        <v>29</v>
      </c>
    </row>
    <row r="12201" spans="1:9" x14ac:dyDescent="0.25">
      <c r="A12201">
        <v>20130927</v>
      </c>
      <c r="B12201" t="str">
        <f t="shared" si="703"/>
        <v>185730</v>
      </c>
      <c r="C12201" t="str">
        <f t="shared" si="704"/>
        <v>86432</v>
      </c>
      <c r="D12201" t="s">
        <v>5048</v>
      </c>
      <c r="E12201">
        <v>33.15</v>
      </c>
      <c r="F12201">
        <v>20130927</v>
      </c>
      <c r="G12201" t="s">
        <v>5052</v>
      </c>
      <c r="H12201" t="s">
        <v>5050</v>
      </c>
      <c r="I12201" t="s">
        <v>29</v>
      </c>
    </row>
    <row r="12202" spans="1:9" x14ac:dyDescent="0.25">
      <c r="A12202">
        <v>20130927</v>
      </c>
      <c r="B12202" t="str">
        <f t="shared" si="703"/>
        <v>185730</v>
      </c>
      <c r="C12202" t="str">
        <f t="shared" si="704"/>
        <v>86432</v>
      </c>
      <c r="D12202" t="s">
        <v>5048</v>
      </c>
      <c r="E12202" s="1">
        <v>20779</v>
      </c>
      <c r="F12202">
        <v>20130927</v>
      </c>
      <c r="G12202" t="s">
        <v>5053</v>
      </c>
      <c r="H12202" t="s">
        <v>5054</v>
      </c>
      <c r="I12202" t="s">
        <v>29</v>
      </c>
    </row>
    <row r="12203" spans="1:9" x14ac:dyDescent="0.25">
      <c r="A12203">
        <v>20130927</v>
      </c>
      <c r="B12203" t="str">
        <f t="shared" si="703"/>
        <v>185730</v>
      </c>
      <c r="C12203" t="str">
        <f t="shared" si="704"/>
        <v>86432</v>
      </c>
      <c r="D12203" t="s">
        <v>5048</v>
      </c>
      <c r="E12203" s="1">
        <v>3082.9</v>
      </c>
      <c r="F12203">
        <v>20130927</v>
      </c>
      <c r="G12203" t="s">
        <v>5055</v>
      </c>
      <c r="H12203" t="s">
        <v>5050</v>
      </c>
      <c r="I12203" t="s">
        <v>29</v>
      </c>
    </row>
    <row r="12204" spans="1:9" x14ac:dyDescent="0.25">
      <c r="A12204">
        <v>20130927</v>
      </c>
      <c r="B12204" t="str">
        <f t="shared" si="703"/>
        <v>185730</v>
      </c>
      <c r="C12204" t="str">
        <f t="shared" si="704"/>
        <v>86432</v>
      </c>
      <c r="D12204" t="s">
        <v>5048</v>
      </c>
      <c r="E12204" s="1">
        <v>3252.93</v>
      </c>
      <c r="F12204">
        <v>20130927</v>
      </c>
      <c r="G12204" t="s">
        <v>5056</v>
      </c>
      <c r="H12204" t="s">
        <v>5054</v>
      </c>
      <c r="I12204" t="s">
        <v>29</v>
      </c>
    </row>
    <row r="12205" spans="1:9" x14ac:dyDescent="0.25">
      <c r="A12205">
        <v>20130927</v>
      </c>
      <c r="B12205" t="str">
        <f t="shared" si="703"/>
        <v>185730</v>
      </c>
      <c r="C12205" t="str">
        <f t="shared" si="704"/>
        <v>86432</v>
      </c>
      <c r="D12205" t="s">
        <v>5048</v>
      </c>
      <c r="E12205">
        <v>231.71</v>
      </c>
      <c r="F12205">
        <v>20130927</v>
      </c>
      <c r="G12205" t="s">
        <v>5057</v>
      </c>
      <c r="H12205" t="s">
        <v>5054</v>
      </c>
      <c r="I12205" t="s">
        <v>29</v>
      </c>
    </row>
    <row r="12206" spans="1:9" x14ac:dyDescent="0.25">
      <c r="A12206">
        <v>20130927</v>
      </c>
      <c r="B12206" t="str">
        <f t="shared" si="703"/>
        <v>185730</v>
      </c>
      <c r="C12206" t="str">
        <f t="shared" si="704"/>
        <v>86432</v>
      </c>
      <c r="D12206" t="s">
        <v>5048</v>
      </c>
      <c r="E12206">
        <v>821.25</v>
      </c>
      <c r="F12206">
        <v>20130927</v>
      </c>
      <c r="G12206" t="s">
        <v>5058</v>
      </c>
      <c r="H12206" t="s">
        <v>5054</v>
      </c>
      <c r="I12206" t="s">
        <v>29</v>
      </c>
    </row>
    <row r="12207" spans="1:9" x14ac:dyDescent="0.25">
      <c r="A12207">
        <v>20130927</v>
      </c>
      <c r="B12207" t="str">
        <f t="shared" si="703"/>
        <v>185730</v>
      </c>
      <c r="C12207" t="str">
        <f t="shared" si="704"/>
        <v>86432</v>
      </c>
      <c r="D12207" t="s">
        <v>5048</v>
      </c>
      <c r="E12207">
        <v>60.65</v>
      </c>
      <c r="F12207">
        <v>20130927</v>
      </c>
      <c r="G12207" t="s">
        <v>5059</v>
      </c>
      <c r="H12207" t="s">
        <v>5054</v>
      </c>
      <c r="I12207" t="s">
        <v>29</v>
      </c>
    </row>
    <row r="12208" spans="1:9" x14ac:dyDescent="0.25">
      <c r="A12208">
        <v>20130927</v>
      </c>
      <c r="B12208" t="str">
        <f t="shared" si="703"/>
        <v>185730</v>
      </c>
      <c r="C12208" t="str">
        <f t="shared" si="704"/>
        <v>86432</v>
      </c>
      <c r="D12208" t="s">
        <v>5048</v>
      </c>
      <c r="E12208">
        <v>749.9</v>
      </c>
      <c r="F12208">
        <v>20130927</v>
      </c>
      <c r="G12208" t="s">
        <v>5060</v>
      </c>
      <c r="H12208" t="s">
        <v>5054</v>
      </c>
      <c r="I12208" t="s">
        <v>29</v>
      </c>
    </row>
    <row r="12209" spans="1:9" x14ac:dyDescent="0.25">
      <c r="A12209">
        <v>20130927</v>
      </c>
      <c r="B12209" t="str">
        <f t="shared" si="703"/>
        <v>185730</v>
      </c>
      <c r="C12209" t="str">
        <f t="shared" si="704"/>
        <v>86432</v>
      </c>
      <c r="D12209" t="s">
        <v>5048</v>
      </c>
      <c r="E12209">
        <v>278.8</v>
      </c>
      <c r="F12209">
        <v>20130927</v>
      </c>
      <c r="G12209" t="s">
        <v>5061</v>
      </c>
      <c r="H12209" t="s">
        <v>5054</v>
      </c>
      <c r="I12209" t="s">
        <v>29</v>
      </c>
    </row>
    <row r="12210" spans="1:9" x14ac:dyDescent="0.25">
      <c r="A12210">
        <v>20130927</v>
      </c>
      <c r="B12210" t="str">
        <f t="shared" si="703"/>
        <v>185730</v>
      </c>
      <c r="C12210" t="str">
        <f t="shared" si="704"/>
        <v>86432</v>
      </c>
      <c r="D12210" t="s">
        <v>5048</v>
      </c>
      <c r="E12210">
        <v>36.24</v>
      </c>
      <c r="F12210">
        <v>20130927</v>
      </c>
      <c r="G12210" t="s">
        <v>5062</v>
      </c>
      <c r="H12210" t="s">
        <v>5054</v>
      </c>
      <c r="I12210" t="s">
        <v>29</v>
      </c>
    </row>
    <row r="12211" spans="1:9" x14ac:dyDescent="0.25">
      <c r="A12211">
        <v>20130927</v>
      </c>
      <c r="B12211" t="str">
        <f t="shared" si="703"/>
        <v>185730</v>
      </c>
      <c r="C12211" t="str">
        <f t="shared" si="704"/>
        <v>86432</v>
      </c>
      <c r="D12211" t="s">
        <v>5048</v>
      </c>
      <c r="E12211" s="1">
        <v>18009.59</v>
      </c>
      <c r="F12211">
        <v>20130927</v>
      </c>
      <c r="G12211" t="s">
        <v>5063</v>
      </c>
      <c r="H12211" t="s">
        <v>5050</v>
      </c>
      <c r="I12211" t="s">
        <v>29</v>
      </c>
    </row>
    <row r="12212" spans="1:9" x14ac:dyDescent="0.25">
      <c r="A12212">
        <v>20130927</v>
      </c>
      <c r="B12212" t="str">
        <f t="shared" si="703"/>
        <v>185730</v>
      </c>
      <c r="C12212" t="str">
        <f t="shared" si="704"/>
        <v>86432</v>
      </c>
      <c r="D12212" t="s">
        <v>5048</v>
      </c>
      <c r="E12212" s="1">
        <v>11863.23</v>
      </c>
      <c r="F12212">
        <v>20130927</v>
      </c>
      <c r="G12212" t="s">
        <v>5064</v>
      </c>
      <c r="H12212" t="s">
        <v>5035</v>
      </c>
      <c r="I12212" t="s">
        <v>29</v>
      </c>
    </row>
    <row r="12213" spans="1:9" x14ac:dyDescent="0.25">
      <c r="A12213">
        <v>20130927</v>
      </c>
      <c r="B12213" t="str">
        <f t="shared" si="703"/>
        <v>185730</v>
      </c>
      <c r="C12213" t="str">
        <f t="shared" si="704"/>
        <v>86432</v>
      </c>
      <c r="D12213" t="s">
        <v>5048</v>
      </c>
      <c r="E12213" s="1">
        <v>3225</v>
      </c>
      <c r="F12213">
        <v>20130927</v>
      </c>
      <c r="G12213" t="s">
        <v>5065</v>
      </c>
      <c r="H12213" t="s">
        <v>5066</v>
      </c>
      <c r="I12213" t="s">
        <v>29</v>
      </c>
    </row>
    <row r="12214" spans="1:9" x14ac:dyDescent="0.25">
      <c r="A12214">
        <v>20130927</v>
      </c>
      <c r="B12214" t="str">
        <f t="shared" si="703"/>
        <v>185730</v>
      </c>
      <c r="C12214" t="str">
        <f t="shared" si="704"/>
        <v>86432</v>
      </c>
      <c r="D12214" t="s">
        <v>5048</v>
      </c>
      <c r="E12214">
        <v>150</v>
      </c>
      <c r="F12214">
        <v>20130927</v>
      </c>
      <c r="G12214" t="s">
        <v>5067</v>
      </c>
      <c r="H12214" t="s">
        <v>5066</v>
      </c>
      <c r="I12214" t="s">
        <v>29</v>
      </c>
    </row>
    <row r="12215" spans="1:9" x14ac:dyDescent="0.25">
      <c r="A12215">
        <v>20130927</v>
      </c>
      <c r="B12215" t="str">
        <f t="shared" si="703"/>
        <v>185730</v>
      </c>
      <c r="C12215" t="str">
        <f t="shared" si="704"/>
        <v>86432</v>
      </c>
      <c r="D12215" t="s">
        <v>5048</v>
      </c>
      <c r="E12215">
        <v>50</v>
      </c>
      <c r="F12215">
        <v>20130927</v>
      </c>
      <c r="G12215" t="s">
        <v>5068</v>
      </c>
      <c r="H12215" t="s">
        <v>5066</v>
      </c>
      <c r="I12215" t="s">
        <v>29</v>
      </c>
    </row>
    <row r="12216" spans="1:9" x14ac:dyDescent="0.25">
      <c r="A12216">
        <v>20130927</v>
      </c>
      <c r="B12216" t="str">
        <f t="shared" si="703"/>
        <v>185730</v>
      </c>
      <c r="C12216" t="str">
        <f t="shared" si="704"/>
        <v>86432</v>
      </c>
      <c r="D12216" t="s">
        <v>5048</v>
      </c>
      <c r="E12216" s="1">
        <v>1753</v>
      </c>
      <c r="F12216">
        <v>20130927</v>
      </c>
      <c r="G12216" t="s">
        <v>5069</v>
      </c>
      <c r="H12216" t="s">
        <v>5066</v>
      </c>
      <c r="I12216" t="s">
        <v>29</v>
      </c>
    </row>
    <row r="12217" spans="1:9" x14ac:dyDescent="0.25">
      <c r="A12217">
        <v>20130927</v>
      </c>
      <c r="B12217" t="str">
        <f t="shared" si="703"/>
        <v>185730</v>
      </c>
      <c r="C12217" t="str">
        <f t="shared" si="704"/>
        <v>86432</v>
      </c>
      <c r="D12217" t="s">
        <v>5048</v>
      </c>
      <c r="E12217">
        <v>175</v>
      </c>
      <c r="F12217">
        <v>20130927</v>
      </c>
      <c r="G12217" t="s">
        <v>5070</v>
      </c>
      <c r="H12217" t="s">
        <v>5066</v>
      </c>
      <c r="I12217" t="s">
        <v>29</v>
      </c>
    </row>
    <row r="12218" spans="1:9" x14ac:dyDescent="0.25">
      <c r="A12218">
        <v>20130927</v>
      </c>
      <c r="B12218" t="str">
        <f t="shared" si="703"/>
        <v>185730</v>
      </c>
      <c r="C12218" t="str">
        <f t="shared" si="704"/>
        <v>86432</v>
      </c>
      <c r="D12218" t="s">
        <v>5048</v>
      </c>
      <c r="E12218">
        <v>550</v>
      </c>
      <c r="F12218">
        <v>20130927</v>
      </c>
      <c r="G12218" t="s">
        <v>5071</v>
      </c>
      <c r="H12218" t="s">
        <v>5066</v>
      </c>
      <c r="I12218" t="s">
        <v>29</v>
      </c>
    </row>
    <row r="12219" spans="1:9" x14ac:dyDescent="0.25">
      <c r="A12219">
        <v>20130927</v>
      </c>
      <c r="B12219" t="str">
        <f t="shared" si="703"/>
        <v>185730</v>
      </c>
      <c r="C12219" t="str">
        <f t="shared" si="704"/>
        <v>86432</v>
      </c>
      <c r="D12219" t="s">
        <v>5048</v>
      </c>
      <c r="E12219" s="1">
        <v>2983.33</v>
      </c>
      <c r="F12219">
        <v>20130927</v>
      </c>
      <c r="G12219" t="s">
        <v>5072</v>
      </c>
      <c r="H12219" t="s">
        <v>5066</v>
      </c>
      <c r="I12219" t="s">
        <v>29</v>
      </c>
    </row>
    <row r="12220" spans="1:9" x14ac:dyDescent="0.25">
      <c r="A12220">
        <v>20130927</v>
      </c>
      <c r="B12220" t="str">
        <f t="shared" si="703"/>
        <v>185730</v>
      </c>
      <c r="C12220" t="str">
        <f t="shared" si="704"/>
        <v>86432</v>
      </c>
      <c r="D12220" t="s">
        <v>5048</v>
      </c>
      <c r="E12220" s="1">
        <v>2195</v>
      </c>
      <c r="F12220">
        <v>20130927</v>
      </c>
      <c r="G12220" t="s">
        <v>5073</v>
      </c>
      <c r="H12220" t="s">
        <v>5066</v>
      </c>
      <c r="I12220" t="s">
        <v>29</v>
      </c>
    </row>
    <row r="12221" spans="1:9" x14ac:dyDescent="0.25">
      <c r="A12221">
        <v>20130927</v>
      </c>
      <c r="B12221" t="str">
        <f t="shared" si="703"/>
        <v>185730</v>
      </c>
      <c r="C12221" t="str">
        <f t="shared" si="704"/>
        <v>86432</v>
      </c>
      <c r="D12221" t="s">
        <v>5048</v>
      </c>
      <c r="E12221">
        <v>485</v>
      </c>
      <c r="F12221">
        <v>20130927</v>
      </c>
      <c r="G12221" t="s">
        <v>5074</v>
      </c>
      <c r="H12221" t="s">
        <v>5066</v>
      </c>
      <c r="I12221" t="s">
        <v>29</v>
      </c>
    </row>
    <row r="12222" spans="1:9" x14ac:dyDescent="0.25">
      <c r="A12222">
        <v>20130927</v>
      </c>
      <c r="B12222" t="str">
        <f t="shared" si="703"/>
        <v>185730</v>
      </c>
      <c r="C12222" t="str">
        <f t="shared" si="704"/>
        <v>86432</v>
      </c>
      <c r="D12222" t="s">
        <v>5048</v>
      </c>
      <c r="E12222">
        <v>300</v>
      </c>
      <c r="F12222">
        <v>20130927</v>
      </c>
      <c r="G12222" t="s">
        <v>5075</v>
      </c>
      <c r="H12222" t="s">
        <v>5066</v>
      </c>
      <c r="I12222" t="s">
        <v>29</v>
      </c>
    </row>
    <row r="12223" spans="1:9" x14ac:dyDescent="0.25">
      <c r="A12223">
        <v>20130927</v>
      </c>
      <c r="B12223" t="str">
        <f t="shared" si="703"/>
        <v>185730</v>
      </c>
      <c r="C12223" t="str">
        <f t="shared" si="704"/>
        <v>86432</v>
      </c>
      <c r="D12223" t="s">
        <v>5048</v>
      </c>
      <c r="E12223">
        <v>575</v>
      </c>
      <c r="F12223">
        <v>20130927</v>
      </c>
      <c r="G12223" t="s">
        <v>5076</v>
      </c>
      <c r="H12223" t="s">
        <v>5066</v>
      </c>
      <c r="I12223" t="s">
        <v>29</v>
      </c>
    </row>
    <row r="12224" spans="1:9" x14ac:dyDescent="0.25">
      <c r="A12224">
        <v>20130927</v>
      </c>
      <c r="B12224" t="str">
        <f t="shared" si="703"/>
        <v>185730</v>
      </c>
      <c r="C12224" t="str">
        <f t="shared" si="704"/>
        <v>86432</v>
      </c>
      <c r="D12224" t="s">
        <v>5048</v>
      </c>
      <c r="E12224" s="1">
        <v>17531.46</v>
      </c>
      <c r="F12224">
        <v>20130927</v>
      </c>
      <c r="G12224" t="s">
        <v>5077</v>
      </c>
      <c r="H12224" t="s">
        <v>5078</v>
      </c>
      <c r="I12224" t="s">
        <v>29</v>
      </c>
    </row>
    <row r="12225" spans="1:9" x14ac:dyDescent="0.25">
      <c r="A12225">
        <v>20130927</v>
      </c>
      <c r="B12225" t="str">
        <f>"185731"</f>
        <v>185731</v>
      </c>
      <c r="C12225" t="str">
        <f>"85294"</f>
        <v>85294</v>
      </c>
      <c r="D12225" t="s">
        <v>5079</v>
      </c>
      <c r="E12225">
        <v>250.41</v>
      </c>
      <c r="F12225">
        <v>20130927</v>
      </c>
      <c r="G12225" t="s">
        <v>5080</v>
      </c>
      <c r="H12225" t="s">
        <v>5054</v>
      </c>
      <c r="I12225" t="s">
        <v>29</v>
      </c>
    </row>
    <row r="12226" spans="1:9" x14ac:dyDescent="0.25">
      <c r="A12226">
        <v>20130927</v>
      </c>
      <c r="B12226" t="str">
        <f>"185732"</f>
        <v>185732</v>
      </c>
      <c r="C12226" t="str">
        <f>"69390"</f>
        <v>69390</v>
      </c>
      <c r="D12226" t="s">
        <v>5081</v>
      </c>
      <c r="E12226">
        <v>260</v>
      </c>
      <c r="F12226">
        <v>20130927</v>
      </c>
      <c r="G12226" t="s">
        <v>5082</v>
      </c>
      <c r="H12226" t="s">
        <v>5035</v>
      </c>
      <c r="I12226" t="s">
        <v>29</v>
      </c>
    </row>
    <row r="12227" spans="1:9" x14ac:dyDescent="0.25">
      <c r="A12227">
        <v>20130927</v>
      </c>
      <c r="B12227" t="str">
        <f>"185733"</f>
        <v>185733</v>
      </c>
      <c r="C12227" t="str">
        <f>"70763"</f>
        <v>70763</v>
      </c>
      <c r="D12227" t="s">
        <v>5083</v>
      </c>
      <c r="E12227">
        <v>93.36</v>
      </c>
      <c r="F12227">
        <v>20130927</v>
      </c>
      <c r="G12227" t="s">
        <v>5084</v>
      </c>
      <c r="H12227" t="s">
        <v>5035</v>
      </c>
      <c r="I12227" t="s">
        <v>29</v>
      </c>
    </row>
    <row r="12228" spans="1:9" x14ac:dyDescent="0.25">
      <c r="A12228">
        <v>20130927</v>
      </c>
      <c r="B12228" t="str">
        <f>"185734"</f>
        <v>185734</v>
      </c>
      <c r="C12228" t="str">
        <f>"70692"</f>
        <v>70692</v>
      </c>
      <c r="D12228" t="s">
        <v>5085</v>
      </c>
      <c r="E12228">
        <v>609.27</v>
      </c>
      <c r="F12228">
        <v>20130927</v>
      </c>
      <c r="G12228" t="s">
        <v>5086</v>
      </c>
      <c r="H12228" t="s">
        <v>5035</v>
      </c>
      <c r="I12228" t="s">
        <v>29</v>
      </c>
    </row>
    <row r="12229" spans="1:9" x14ac:dyDescent="0.25">
      <c r="A12229">
        <v>20130927</v>
      </c>
      <c r="B12229" t="str">
        <f>"185735"</f>
        <v>185735</v>
      </c>
      <c r="C12229" t="str">
        <f>"70774"</f>
        <v>70774</v>
      </c>
      <c r="D12229" t="s">
        <v>5087</v>
      </c>
      <c r="E12229" s="1">
        <v>1557.84</v>
      </c>
      <c r="F12229">
        <v>20130927</v>
      </c>
      <c r="G12229" t="s">
        <v>5088</v>
      </c>
      <c r="H12229" t="s">
        <v>5035</v>
      </c>
      <c r="I12229" t="s">
        <v>29</v>
      </c>
    </row>
    <row r="12230" spans="1:9" x14ac:dyDescent="0.25">
      <c r="A12230">
        <v>20130927</v>
      </c>
      <c r="B12230" t="str">
        <f>"185736"</f>
        <v>185736</v>
      </c>
      <c r="C12230" t="str">
        <f>"70777"</f>
        <v>70777</v>
      </c>
      <c r="D12230" t="s">
        <v>5089</v>
      </c>
      <c r="E12230">
        <v>16.25</v>
      </c>
      <c r="F12230">
        <v>20130927</v>
      </c>
      <c r="G12230" t="s">
        <v>5090</v>
      </c>
      <c r="H12230" t="s">
        <v>5035</v>
      </c>
      <c r="I12230" t="s">
        <v>29</v>
      </c>
    </row>
    <row r="12231" spans="1:9" x14ac:dyDescent="0.25">
      <c r="A12231">
        <v>20130927</v>
      </c>
      <c r="B12231" t="str">
        <f>"185737"</f>
        <v>185737</v>
      </c>
      <c r="C12231" t="str">
        <f>"72502"</f>
        <v>72502</v>
      </c>
      <c r="D12231" t="s">
        <v>5091</v>
      </c>
      <c r="E12231">
        <v>371.11</v>
      </c>
      <c r="F12231">
        <v>20130927</v>
      </c>
      <c r="G12231" t="s">
        <v>5092</v>
      </c>
      <c r="H12231" t="s">
        <v>5035</v>
      </c>
      <c r="I12231" t="s">
        <v>29</v>
      </c>
    </row>
    <row r="12232" spans="1:9" x14ac:dyDescent="0.25">
      <c r="A12232">
        <v>20130927</v>
      </c>
      <c r="B12232" t="str">
        <f>"185738"</f>
        <v>185738</v>
      </c>
      <c r="C12232" t="str">
        <f>"83361"</f>
        <v>83361</v>
      </c>
      <c r="D12232" t="s">
        <v>5093</v>
      </c>
      <c r="E12232" s="1">
        <v>2359.5</v>
      </c>
      <c r="F12232">
        <v>20130927</v>
      </c>
      <c r="G12232" t="s">
        <v>5094</v>
      </c>
      <c r="H12232" t="s">
        <v>5035</v>
      </c>
      <c r="I12232" t="s">
        <v>29</v>
      </c>
    </row>
    <row r="12233" spans="1:9" x14ac:dyDescent="0.25">
      <c r="A12233">
        <v>20130927</v>
      </c>
      <c r="B12233" t="str">
        <f>"185739"</f>
        <v>185739</v>
      </c>
      <c r="C12233" t="str">
        <f>"86693"</f>
        <v>86693</v>
      </c>
      <c r="D12233" t="s">
        <v>5095</v>
      </c>
      <c r="E12233">
        <v>153</v>
      </c>
      <c r="F12233">
        <v>20130927</v>
      </c>
      <c r="G12233" t="s">
        <v>5096</v>
      </c>
      <c r="H12233" t="s">
        <v>5035</v>
      </c>
      <c r="I12233" t="s">
        <v>29</v>
      </c>
    </row>
    <row r="12234" spans="1:9" x14ac:dyDescent="0.25">
      <c r="A12234">
        <v>20130927</v>
      </c>
      <c r="B12234" t="str">
        <f>"185740"</f>
        <v>185740</v>
      </c>
      <c r="C12234" t="str">
        <f>"83209"</f>
        <v>83209</v>
      </c>
      <c r="D12234" t="s">
        <v>5097</v>
      </c>
      <c r="E12234">
        <v>425.84</v>
      </c>
      <c r="F12234">
        <v>20130927</v>
      </c>
      <c r="G12234" t="s">
        <v>5098</v>
      </c>
      <c r="H12234" t="s">
        <v>5035</v>
      </c>
      <c r="I12234" t="s">
        <v>29</v>
      </c>
    </row>
    <row r="12235" spans="1:9" x14ac:dyDescent="0.25">
      <c r="A12235">
        <v>20130927</v>
      </c>
      <c r="B12235" t="str">
        <f>"185741"</f>
        <v>185741</v>
      </c>
      <c r="C12235" t="str">
        <f>"76675"</f>
        <v>76675</v>
      </c>
      <c r="D12235" t="s">
        <v>5099</v>
      </c>
      <c r="E12235">
        <v>200</v>
      </c>
      <c r="F12235">
        <v>20130927</v>
      </c>
      <c r="G12235" t="s">
        <v>5100</v>
      </c>
      <c r="H12235" t="s">
        <v>5035</v>
      </c>
      <c r="I12235" t="s">
        <v>29</v>
      </c>
    </row>
    <row r="12236" spans="1:9" x14ac:dyDescent="0.25">
      <c r="A12236">
        <v>20131025</v>
      </c>
      <c r="B12236" t="str">
        <f>"185912"</f>
        <v>185912</v>
      </c>
      <c r="C12236" t="str">
        <f>"86972"</f>
        <v>86972</v>
      </c>
      <c r="D12236" t="s">
        <v>5033</v>
      </c>
      <c r="E12236">
        <v>485.74</v>
      </c>
      <c r="F12236">
        <v>20131025</v>
      </c>
      <c r="G12236" t="s">
        <v>5034</v>
      </c>
      <c r="H12236" t="s">
        <v>5101</v>
      </c>
      <c r="I12236" t="s">
        <v>29</v>
      </c>
    </row>
    <row r="12237" spans="1:9" x14ac:dyDescent="0.25">
      <c r="A12237">
        <v>20131025</v>
      </c>
      <c r="B12237" t="str">
        <f>"185913"</f>
        <v>185913</v>
      </c>
      <c r="C12237" t="str">
        <f>"07258"</f>
        <v>07258</v>
      </c>
      <c r="D12237" t="s">
        <v>5036</v>
      </c>
      <c r="E12237" s="1">
        <v>3032.35</v>
      </c>
      <c r="F12237">
        <v>20131025</v>
      </c>
      <c r="G12237" t="s">
        <v>5037</v>
      </c>
      <c r="H12237" t="s">
        <v>5101</v>
      </c>
      <c r="I12237" t="s">
        <v>29</v>
      </c>
    </row>
    <row r="12238" spans="1:9" x14ac:dyDescent="0.25">
      <c r="A12238">
        <v>20131025</v>
      </c>
      <c r="B12238" t="str">
        <f>"185914"</f>
        <v>185914</v>
      </c>
      <c r="C12238" t="str">
        <f>"16955"</f>
        <v>16955</v>
      </c>
      <c r="D12238" t="s">
        <v>5038</v>
      </c>
      <c r="E12238" s="1">
        <v>72576.460000000006</v>
      </c>
      <c r="F12238">
        <v>20131025</v>
      </c>
      <c r="G12238" t="s">
        <v>5039</v>
      </c>
      <c r="H12238" t="s">
        <v>5102</v>
      </c>
      <c r="I12238" t="s">
        <v>29</v>
      </c>
    </row>
    <row r="12239" spans="1:9" x14ac:dyDescent="0.25">
      <c r="A12239">
        <v>20131025</v>
      </c>
      <c r="B12239" t="str">
        <f>"185915"</f>
        <v>185915</v>
      </c>
      <c r="C12239" t="str">
        <f>"81559"</f>
        <v>81559</v>
      </c>
      <c r="D12239" t="s">
        <v>5041</v>
      </c>
      <c r="E12239" s="1">
        <v>2236</v>
      </c>
      <c r="F12239">
        <v>20131025</v>
      </c>
      <c r="G12239" t="s">
        <v>5042</v>
      </c>
      <c r="H12239" t="s">
        <v>5101</v>
      </c>
      <c r="I12239" t="s">
        <v>29</v>
      </c>
    </row>
    <row r="12240" spans="1:9" x14ac:dyDescent="0.25">
      <c r="A12240">
        <v>20131025</v>
      </c>
      <c r="B12240" t="str">
        <f>"185916"</f>
        <v>185916</v>
      </c>
      <c r="C12240" t="str">
        <f>"22240"</f>
        <v>22240</v>
      </c>
      <c r="D12240" t="s">
        <v>1038</v>
      </c>
      <c r="E12240">
        <v>750</v>
      </c>
      <c r="F12240">
        <v>20131025</v>
      </c>
      <c r="G12240" t="s">
        <v>5043</v>
      </c>
      <c r="H12240" t="s">
        <v>5101</v>
      </c>
      <c r="I12240" t="s">
        <v>29</v>
      </c>
    </row>
    <row r="12241" spans="1:9" x14ac:dyDescent="0.25">
      <c r="A12241">
        <v>20131025</v>
      </c>
      <c r="B12241" t="str">
        <f>"185917"</f>
        <v>185917</v>
      </c>
      <c r="C12241" t="str">
        <f>"26330"</f>
        <v>26330</v>
      </c>
      <c r="D12241" t="s">
        <v>5044</v>
      </c>
      <c r="E12241">
        <v>340</v>
      </c>
      <c r="F12241">
        <v>20131025</v>
      </c>
      <c r="G12241" t="s">
        <v>5045</v>
      </c>
      <c r="H12241" t="s">
        <v>5101</v>
      </c>
      <c r="I12241" t="s">
        <v>29</v>
      </c>
    </row>
    <row r="12242" spans="1:9" x14ac:dyDescent="0.25">
      <c r="A12242">
        <v>20131025</v>
      </c>
      <c r="B12242" t="str">
        <f>"185918"</f>
        <v>185918</v>
      </c>
      <c r="C12242" t="str">
        <f>"26994"</f>
        <v>26994</v>
      </c>
      <c r="D12242" t="s">
        <v>548</v>
      </c>
      <c r="E12242" s="1">
        <v>2400</v>
      </c>
      <c r="F12242">
        <v>20131025</v>
      </c>
      <c r="G12242" t="s">
        <v>5046</v>
      </c>
      <c r="H12242" t="s">
        <v>5101</v>
      </c>
      <c r="I12242" t="s">
        <v>29</v>
      </c>
    </row>
    <row r="12243" spans="1:9" x14ac:dyDescent="0.25">
      <c r="A12243">
        <v>20131025</v>
      </c>
      <c r="B12243" t="str">
        <f>"185919"</f>
        <v>185919</v>
      </c>
      <c r="C12243" t="str">
        <f>"26990"</f>
        <v>26990</v>
      </c>
      <c r="D12243" t="s">
        <v>548</v>
      </c>
      <c r="E12243">
        <v>76.92</v>
      </c>
      <c r="F12243">
        <v>20131025</v>
      </c>
      <c r="G12243" t="s">
        <v>5047</v>
      </c>
      <c r="H12243" t="s">
        <v>5101</v>
      </c>
      <c r="I12243" t="s">
        <v>29</v>
      </c>
    </row>
    <row r="12244" spans="1:9" x14ac:dyDescent="0.25">
      <c r="A12244">
        <v>20131025</v>
      </c>
      <c r="B12244" t="str">
        <f t="shared" ref="B12244:B12269" si="705">"185920"</f>
        <v>185920</v>
      </c>
      <c r="C12244" t="str">
        <f t="shared" ref="C12244:C12269" si="706">"86432"</f>
        <v>86432</v>
      </c>
      <c r="D12244" t="s">
        <v>5048</v>
      </c>
      <c r="E12244" s="1">
        <v>3508.84</v>
      </c>
      <c r="F12244">
        <v>20131025</v>
      </c>
      <c r="G12244" t="s">
        <v>5049</v>
      </c>
      <c r="H12244" t="s">
        <v>5103</v>
      </c>
      <c r="I12244" t="s">
        <v>29</v>
      </c>
    </row>
    <row r="12245" spans="1:9" x14ac:dyDescent="0.25">
      <c r="A12245">
        <v>20131025</v>
      </c>
      <c r="B12245" t="str">
        <f t="shared" si="705"/>
        <v>185920</v>
      </c>
      <c r="C12245" t="str">
        <f t="shared" si="706"/>
        <v>86432</v>
      </c>
      <c r="D12245" t="s">
        <v>5048</v>
      </c>
      <c r="E12245">
        <v>54.23</v>
      </c>
      <c r="F12245">
        <v>20131025</v>
      </c>
      <c r="G12245" t="s">
        <v>5051</v>
      </c>
      <c r="H12245" t="s">
        <v>5103</v>
      </c>
      <c r="I12245" t="s">
        <v>29</v>
      </c>
    </row>
    <row r="12246" spans="1:9" x14ac:dyDescent="0.25">
      <c r="A12246">
        <v>20131025</v>
      </c>
      <c r="B12246" t="str">
        <f t="shared" si="705"/>
        <v>185920</v>
      </c>
      <c r="C12246" t="str">
        <f t="shared" si="706"/>
        <v>86432</v>
      </c>
      <c r="D12246" t="s">
        <v>5048</v>
      </c>
      <c r="E12246">
        <v>33.15</v>
      </c>
      <c r="F12246">
        <v>20131025</v>
      </c>
      <c r="G12246" t="s">
        <v>5052</v>
      </c>
      <c r="H12246" t="s">
        <v>5103</v>
      </c>
      <c r="I12246" t="s">
        <v>29</v>
      </c>
    </row>
    <row r="12247" spans="1:9" x14ac:dyDescent="0.25">
      <c r="A12247">
        <v>20131025</v>
      </c>
      <c r="B12247" t="str">
        <f t="shared" si="705"/>
        <v>185920</v>
      </c>
      <c r="C12247" t="str">
        <f t="shared" si="706"/>
        <v>86432</v>
      </c>
      <c r="D12247" t="s">
        <v>5048</v>
      </c>
      <c r="E12247" s="1">
        <v>21360.68</v>
      </c>
      <c r="F12247">
        <v>20131025</v>
      </c>
      <c r="G12247" t="s">
        <v>5053</v>
      </c>
      <c r="H12247" t="s">
        <v>5104</v>
      </c>
      <c r="I12247" t="s">
        <v>29</v>
      </c>
    </row>
    <row r="12248" spans="1:9" x14ac:dyDescent="0.25">
      <c r="A12248">
        <v>20131025</v>
      </c>
      <c r="B12248" t="str">
        <f t="shared" si="705"/>
        <v>185920</v>
      </c>
      <c r="C12248" t="str">
        <f t="shared" si="706"/>
        <v>86432</v>
      </c>
      <c r="D12248" t="s">
        <v>5048</v>
      </c>
      <c r="E12248" s="1">
        <v>2977.1</v>
      </c>
      <c r="F12248">
        <v>20131025</v>
      </c>
      <c r="G12248" t="s">
        <v>5055</v>
      </c>
      <c r="H12248" t="s">
        <v>5103</v>
      </c>
      <c r="I12248" t="s">
        <v>29</v>
      </c>
    </row>
    <row r="12249" spans="1:9" x14ac:dyDescent="0.25">
      <c r="A12249">
        <v>20131025</v>
      </c>
      <c r="B12249" t="str">
        <f t="shared" si="705"/>
        <v>185920</v>
      </c>
      <c r="C12249" t="str">
        <f t="shared" si="706"/>
        <v>86432</v>
      </c>
      <c r="D12249" t="s">
        <v>5048</v>
      </c>
      <c r="E12249" s="1">
        <v>3322.28</v>
      </c>
      <c r="F12249">
        <v>20131025</v>
      </c>
      <c r="G12249" t="s">
        <v>5056</v>
      </c>
      <c r="H12249" t="s">
        <v>5104</v>
      </c>
      <c r="I12249" t="s">
        <v>29</v>
      </c>
    </row>
    <row r="12250" spans="1:9" x14ac:dyDescent="0.25">
      <c r="A12250">
        <v>20131025</v>
      </c>
      <c r="B12250" t="str">
        <f t="shared" si="705"/>
        <v>185920</v>
      </c>
      <c r="C12250" t="str">
        <f t="shared" si="706"/>
        <v>86432</v>
      </c>
      <c r="D12250" t="s">
        <v>5048</v>
      </c>
      <c r="E12250">
        <v>231.71</v>
      </c>
      <c r="F12250">
        <v>20131025</v>
      </c>
      <c r="G12250" t="s">
        <v>5057</v>
      </c>
      <c r="H12250" t="s">
        <v>5104</v>
      </c>
      <c r="I12250" t="s">
        <v>29</v>
      </c>
    </row>
    <row r="12251" spans="1:9" x14ac:dyDescent="0.25">
      <c r="A12251">
        <v>20131025</v>
      </c>
      <c r="B12251" t="str">
        <f t="shared" si="705"/>
        <v>185920</v>
      </c>
      <c r="C12251" t="str">
        <f t="shared" si="706"/>
        <v>86432</v>
      </c>
      <c r="D12251" t="s">
        <v>5048</v>
      </c>
      <c r="E12251">
        <v>821.25</v>
      </c>
      <c r="F12251">
        <v>20131025</v>
      </c>
      <c r="G12251" t="s">
        <v>5058</v>
      </c>
      <c r="H12251" t="s">
        <v>5104</v>
      </c>
      <c r="I12251" t="s">
        <v>29</v>
      </c>
    </row>
    <row r="12252" spans="1:9" x14ac:dyDescent="0.25">
      <c r="A12252">
        <v>20131025</v>
      </c>
      <c r="B12252" t="str">
        <f t="shared" si="705"/>
        <v>185920</v>
      </c>
      <c r="C12252" t="str">
        <f t="shared" si="706"/>
        <v>86432</v>
      </c>
      <c r="D12252" t="s">
        <v>5048</v>
      </c>
      <c r="E12252">
        <v>60.65</v>
      </c>
      <c r="F12252">
        <v>20131025</v>
      </c>
      <c r="G12252" t="s">
        <v>5059</v>
      </c>
      <c r="H12252" t="s">
        <v>5104</v>
      </c>
      <c r="I12252" t="s">
        <v>29</v>
      </c>
    </row>
    <row r="12253" spans="1:9" x14ac:dyDescent="0.25">
      <c r="A12253">
        <v>20131025</v>
      </c>
      <c r="B12253" t="str">
        <f t="shared" si="705"/>
        <v>185920</v>
      </c>
      <c r="C12253" t="str">
        <f t="shared" si="706"/>
        <v>86432</v>
      </c>
      <c r="D12253" t="s">
        <v>5048</v>
      </c>
      <c r="E12253">
        <v>749.9</v>
      </c>
      <c r="F12253">
        <v>20131025</v>
      </c>
      <c r="G12253" t="s">
        <v>5060</v>
      </c>
      <c r="H12253" t="s">
        <v>5104</v>
      </c>
      <c r="I12253" t="s">
        <v>29</v>
      </c>
    </row>
    <row r="12254" spans="1:9" x14ac:dyDescent="0.25">
      <c r="A12254">
        <v>20131025</v>
      </c>
      <c r="B12254" t="str">
        <f t="shared" si="705"/>
        <v>185920</v>
      </c>
      <c r="C12254" t="str">
        <f t="shared" si="706"/>
        <v>86432</v>
      </c>
      <c r="D12254" t="s">
        <v>5048</v>
      </c>
      <c r="E12254">
        <v>278.8</v>
      </c>
      <c r="F12254">
        <v>20131025</v>
      </c>
      <c r="G12254" t="s">
        <v>5061</v>
      </c>
      <c r="H12254" t="s">
        <v>5104</v>
      </c>
      <c r="I12254" t="s">
        <v>29</v>
      </c>
    </row>
    <row r="12255" spans="1:9" x14ac:dyDescent="0.25">
      <c r="A12255">
        <v>20131025</v>
      </c>
      <c r="B12255" t="str">
        <f t="shared" si="705"/>
        <v>185920</v>
      </c>
      <c r="C12255" t="str">
        <f t="shared" si="706"/>
        <v>86432</v>
      </c>
      <c r="D12255" t="s">
        <v>5048</v>
      </c>
      <c r="E12255">
        <v>36.24</v>
      </c>
      <c r="F12255">
        <v>20131025</v>
      </c>
      <c r="G12255" t="s">
        <v>5062</v>
      </c>
      <c r="H12255" t="s">
        <v>5104</v>
      </c>
      <c r="I12255" t="s">
        <v>29</v>
      </c>
    </row>
    <row r="12256" spans="1:9" x14ac:dyDescent="0.25">
      <c r="A12256">
        <v>20131025</v>
      </c>
      <c r="B12256" t="str">
        <f t="shared" si="705"/>
        <v>185920</v>
      </c>
      <c r="C12256" t="str">
        <f t="shared" si="706"/>
        <v>86432</v>
      </c>
      <c r="D12256" t="s">
        <v>5048</v>
      </c>
      <c r="E12256" s="1">
        <v>17969.09</v>
      </c>
      <c r="F12256">
        <v>20131025</v>
      </c>
      <c r="G12256" t="s">
        <v>5063</v>
      </c>
      <c r="H12256" t="s">
        <v>5103</v>
      </c>
      <c r="I12256" t="s">
        <v>29</v>
      </c>
    </row>
    <row r="12257" spans="1:9" x14ac:dyDescent="0.25">
      <c r="A12257">
        <v>20131025</v>
      </c>
      <c r="B12257" t="str">
        <f t="shared" si="705"/>
        <v>185920</v>
      </c>
      <c r="C12257" t="str">
        <f t="shared" si="706"/>
        <v>86432</v>
      </c>
      <c r="D12257" t="s">
        <v>5048</v>
      </c>
      <c r="E12257" s="1">
        <v>12235.5</v>
      </c>
      <c r="F12257">
        <v>20131025</v>
      </c>
      <c r="G12257" t="s">
        <v>5064</v>
      </c>
      <c r="H12257" t="s">
        <v>5101</v>
      </c>
      <c r="I12257" t="s">
        <v>29</v>
      </c>
    </row>
    <row r="12258" spans="1:9" x14ac:dyDescent="0.25">
      <c r="A12258">
        <v>20131025</v>
      </c>
      <c r="B12258" t="str">
        <f t="shared" si="705"/>
        <v>185920</v>
      </c>
      <c r="C12258" t="str">
        <f t="shared" si="706"/>
        <v>86432</v>
      </c>
      <c r="D12258" t="s">
        <v>5048</v>
      </c>
      <c r="E12258" s="1">
        <v>3225</v>
      </c>
      <c r="F12258">
        <v>20131025</v>
      </c>
      <c r="G12258" t="s">
        <v>5065</v>
      </c>
      <c r="H12258" t="s">
        <v>5105</v>
      </c>
      <c r="I12258" t="s">
        <v>29</v>
      </c>
    </row>
    <row r="12259" spans="1:9" x14ac:dyDescent="0.25">
      <c r="A12259">
        <v>20131025</v>
      </c>
      <c r="B12259" t="str">
        <f t="shared" si="705"/>
        <v>185920</v>
      </c>
      <c r="C12259" t="str">
        <f t="shared" si="706"/>
        <v>86432</v>
      </c>
      <c r="D12259" t="s">
        <v>5048</v>
      </c>
      <c r="E12259">
        <v>150</v>
      </c>
      <c r="F12259">
        <v>20131025</v>
      </c>
      <c r="G12259" t="s">
        <v>5067</v>
      </c>
      <c r="H12259" t="s">
        <v>5105</v>
      </c>
      <c r="I12259" t="s">
        <v>29</v>
      </c>
    </row>
    <row r="12260" spans="1:9" x14ac:dyDescent="0.25">
      <c r="A12260">
        <v>20131025</v>
      </c>
      <c r="B12260" t="str">
        <f t="shared" si="705"/>
        <v>185920</v>
      </c>
      <c r="C12260" t="str">
        <f t="shared" si="706"/>
        <v>86432</v>
      </c>
      <c r="D12260" t="s">
        <v>5048</v>
      </c>
      <c r="E12260">
        <v>50</v>
      </c>
      <c r="F12260">
        <v>20131025</v>
      </c>
      <c r="G12260" t="s">
        <v>5068</v>
      </c>
      <c r="H12260" t="s">
        <v>5105</v>
      </c>
      <c r="I12260" t="s">
        <v>29</v>
      </c>
    </row>
    <row r="12261" spans="1:9" x14ac:dyDescent="0.25">
      <c r="A12261">
        <v>20131025</v>
      </c>
      <c r="B12261" t="str">
        <f t="shared" si="705"/>
        <v>185920</v>
      </c>
      <c r="C12261" t="str">
        <f t="shared" si="706"/>
        <v>86432</v>
      </c>
      <c r="D12261" t="s">
        <v>5048</v>
      </c>
      <c r="E12261" s="1">
        <v>1753</v>
      </c>
      <c r="F12261">
        <v>20131025</v>
      </c>
      <c r="G12261" t="s">
        <v>5069</v>
      </c>
      <c r="H12261" t="s">
        <v>5105</v>
      </c>
      <c r="I12261" t="s">
        <v>29</v>
      </c>
    </row>
    <row r="12262" spans="1:9" x14ac:dyDescent="0.25">
      <c r="A12262">
        <v>20131025</v>
      </c>
      <c r="B12262" t="str">
        <f t="shared" si="705"/>
        <v>185920</v>
      </c>
      <c r="C12262" t="str">
        <f t="shared" si="706"/>
        <v>86432</v>
      </c>
      <c r="D12262" t="s">
        <v>5048</v>
      </c>
      <c r="E12262">
        <v>175</v>
      </c>
      <c r="F12262">
        <v>20131025</v>
      </c>
      <c r="G12262" t="s">
        <v>5070</v>
      </c>
      <c r="H12262" t="s">
        <v>5105</v>
      </c>
      <c r="I12262" t="s">
        <v>29</v>
      </c>
    </row>
    <row r="12263" spans="1:9" x14ac:dyDescent="0.25">
      <c r="A12263">
        <v>20131025</v>
      </c>
      <c r="B12263" t="str">
        <f t="shared" si="705"/>
        <v>185920</v>
      </c>
      <c r="C12263" t="str">
        <f t="shared" si="706"/>
        <v>86432</v>
      </c>
      <c r="D12263" t="s">
        <v>5048</v>
      </c>
      <c r="E12263">
        <v>550</v>
      </c>
      <c r="F12263">
        <v>20131025</v>
      </c>
      <c r="G12263" t="s">
        <v>5071</v>
      </c>
      <c r="H12263" t="s">
        <v>5105</v>
      </c>
      <c r="I12263" t="s">
        <v>29</v>
      </c>
    </row>
    <row r="12264" spans="1:9" x14ac:dyDescent="0.25">
      <c r="A12264">
        <v>20131025</v>
      </c>
      <c r="B12264" t="str">
        <f t="shared" si="705"/>
        <v>185920</v>
      </c>
      <c r="C12264" t="str">
        <f t="shared" si="706"/>
        <v>86432</v>
      </c>
      <c r="D12264" t="s">
        <v>5048</v>
      </c>
      <c r="E12264" s="1">
        <v>2983.33</v>
      </c>
      <c r="F12264">
        <v>20131025</v>
      </c>
      <c r="G12264" t="s">
        <v>5072</v>
      </c>
      <c r="H12264" t="s">
        <v>5105</v>
      </c>
      <c r="I12264" t="s">
        <v>29</v>
      </c>
    </row>
    <row r="12265" spans="1:9" x14ac:dyDescent="0.25">
      <c r="A12265">
        <v>20131025</v>
      </c>
      <c r="B12265" t="str">
        <f t="shared" si="705"/>
        <v>185920</v>
      </c>
      <c r="C12265" t="str">
        <f t="shared" si="706"/>
        <v>86432</v>
      </c>
      <c r="D12265" t="s">
        <v>5048</v>
      </c>
      <c r="E12265" s="1">
        <v>1995</v>
      </c>
      <c r="F12265">
        <v>20131025</v>
      </c>
      <c r="G12265" t="s">
        <v>5073</v>
      </c>
      <c r="H12265" t="s">
        <v>5105</v>
      </c>
      <c r="I12265" t="s">
        <v>29</v>
      </c>
    </row>
    <row r="12266" spans="1:9" x14ac:dyDescent="0.25">
      <c r="A12266">
        <v>20131025</v>
      </c>
      <c r="B12266" t="str">
        <f t="shared" si="705"/>
        <v>185920</v>
      </c>
      <c r="C12266" t="str">
        <f t="shared" si="706"/>
        <v>86432</v>
      </c>
      <c r="D12266" t="s">
        <v>5048</v>
      </c>
      <c r="E12266">
        <v>485</v>
      </c>
      <c r="F12266">
        <v>20131025</v>
      </c>
      <c r="G12266" t="s">
        <v>5074</v>
      </c>
      <c r="H12266" t="s">
        <v>5105</v>
      </c>
      <c r="I12266" t="s">
        <v>29</v>
      </c>
    </row>
    <row r="12267" spans="1:9" x14ac:dyDescent="0.25">
      <c r="A12267">
        <v>20131025</v>
      </c>
      <c r="B12267" t="str">
        <f t="shared" si="705"/>
        <v>185920</v>
      </c>
      <c r="C12267" t="str">
        <f t="shared" si="706"/>
        <v>86432</v>
      </c>
      <c r="D12267" t="s">
        <v>5048</v>
      </c>
      <c r="E12267">
        <v>300</v>
      </c>
      <c r="F12267">
        <v>20131025</v>
      </c>
      <c r="G12267" t="s">
        <v>5075</v>
      </c>
      <c r="H12267" t="s">
        <v>5105</v>
      </c>
      <c r="I12267" t="s">
        <v>29</v>
      </c>
    </row>
    <row r="12268" spans="1:9" x14ac:dyDescent="0.25">
      <c r="A12268">
        <v>20131025</v>
      </c>
      <c r="B12268" t="str">
        <f t="shared" si="705"/>
        <v>185920</v>
      </c>
      <c r="C12268" t="str">
        <f t="shared" si="706"/>
        <v>86432</v>
      </c>
      <c r="D12268" t="s">
        <v>5048</v>
      </c>
      <c r="E12268">
        <v>575</v>
      </c>
      <c r="F12268">
        <v>20131025</v>
      </c>
      <c r="G12268" t="s">
        <v>5076</v>
      </c>
      <c r="H12268" t="s">
        <v>5105</v>
      </c>
      <c r="I12268" t="s">
        <v>29</v>
      </c>
    </row>
    <row r="12269" spans="1:9" x14ac:dyDescent="0.25">
      <c r="A12269">
        <v>20131025</v>
      </c>
      <c r="B12269" t="str">
        <f t="shared" si="705"/>
        <v>185920</v>
      </c>
      <c r="C12269" t="str">
        <f t="shared" si="706"/>
        <v>86432</v>
      </c>
      <c r="D12269" t="s">
        <v>5048</v>
      </c>
      <c r="E12269" s="1">
        <v>17563.439999999999</v>
      </c>
      <c r="F12269">
        <v>20131025</v>
      </c>
      <c r="G12269" t="s">
        <v>5077</v>
      </c>
      <c r="H12269" t="s">
        <v>5106</v>
      </c>
      <c r="I12269" t="s">
        <v>29</v>
      </c>
    </row>
    <row r="12270" spans="1:9" x14ac:dyDescent="0.25">
      <c r="A12270">
        <v>20131025</v>
      </c>
      <c r="B12270" t="str">
        <f>"185921"</f>
        <v>185921</v>
      </c>
      <c r="C12270" t="str">
        <f>"85294"</f>
        <v>85294</v>
      </c>
      <c r="D12270" t="s">
        <v>5079</v>
      </c>
      <c r="E12270">
        <v>250.41</v>
      </c>
      <c r="F12270">
        <v>20131025</v>
      </c>
      <c r="G12270" t="s">
        <v>5080</v>
      </c>
      <c r="H12270" t="s">
        <v>5104</v>
      </c>
      <c r="I12270" t="s">
        <v>29</v>
      </c>
    </row>
    <row r="12271" spans="1:9" x14ac:dyDescent="0.25">
      <c r="A12271">
        <v>20131025</v>
      </c>
      <c r="B12271" t="str">
        <f>"185922"</f>
        <v>185922</v>
      </c>
      <c r="C12271" t="str">
        <f>"69390"</f>
        <v>69390</v>
      </c>
      <c r="D12271" t="s">
        <v>5081</v>
      </c>
      <c r="E12271">
        <v>260</v>
      </c>
      <c r="F12271">
        <v>20131025</v>
      </c>
      <c r="G12271" t="s">
        <v>5082</v>
      </c>
      <c r="H12271" t="s">
        <v>5101</v>
      </c>
      <c r="I12271" t="s">
        <v>29</v>
      </c>
    </row>
    <row r="12272" spans="1:9" x14ac:dyDescent="0.25">
      <c r="A12272">
        <v>20131025</v>
      </c>
      <c r="B12272" t="str">
        <f>"185923"</f>
        <v>185923</v>
      </c>
      <c r="C12272" t="str">
        <f>"70763"</f>
        <v>70763</v>
      </c>
      <c r="D12272" t="s">
        <v>5083</v>
      </c>
      <c r="E12272">
        <v>93.36</v>
      </c>
      <c r="F12272">
        <v>20131025</v>
      </c>
      <c r="G12272" t="s">
        <v>5084</v>
      </c>
      <c r="H12272" t="s">
        <v>5101</v>
      </c>
      <c r="I12272" t="s">
        <v>29</v>
      </c>
    </row>
    <row r="12273" spans="1:9" x14ac:dyDescent="0.25">
      <c r="A12273">
        <v>20131025</v>
      </c>
      <c r="B12273" t="str">
        <f>"185924"</f>
        <v>185924</v>
      </c>
      <c r="C12273" t="str">
        <f>"70692"</f>
        <v>70692</v>
      </c>
      <c r="D12273" t="s">
        <v>5085</v>
      </c>
      <c r="E12273">
        <v>609.27</v>
      </c>
      <c r="F12273">
        <v>20131025</v>
      </c>
      <c r="G12273" t="s">
        <v>5086</v>
      </c>
      <c r="H12273" t="s">
        <v>5101</v>
      </c>
      <c r="I12273" t="s">
        <v>29</v>
      </c>
    </row>
    <row r="12274" spans="1:9" x14ac:dyDescent="0.25">
      <c r="A12274">
        <v>20131025</v>
      </c>
      <c r="B12274" t="str">
        <f>"185925"</f>
        <v>185925</v>
      </c>
      <c r="C12274" t="str">
        <f>"70774"</f>
        <v>70774</v>
      </c>
      <c r="D12274" t="s">
        <v>5087</v>
      </c>
      <c r="E12274" s="1">
        <v>1557.84</v>
      </c>
      <c r="F12274">
        <v>20131025</v>
      </c>
      <c r="G12274" t="s">
        <v>5088</v>
      </c>
      <c r="H12274" t="s">
        <v>5101</v>
      </c>
      <c r="I12274" t="s">
        <v>29</v>
      </c>
    </row>
    <row r="12275" spans="1:9" x14ac:dyDescent="0.25">
      <c r="A12275">
        <v>20131025</v>
      </c>
      <c r="B12275" t="str">
        <f>"185926"</f>
        <v>185926</v>
      </c>
      <c r="C12275" t="str">
        <f>"70777"</f>
        <v>70777</v>
      </c>
      <c r="D12275" t="s">
        <v>5089</v>
      </c>
      <c r="E12275">
        <v>16.25</v>
      </c>
      <c r="F12275">
        <v>20131025</v>
      </c>
      <c r="G12275" t="s">
        <v>5090</v>
      </c>
      <c r="H12275" t="s">
        <v>5101</v>
      </c>
      <c r="I12275" t="s">
        <v>29</v>
      </c>
    </row>
    <row r="12276" spans="1:9" x14ac:dyDescent="0.25">
      <c r="A12276">
        <v>20131025</v>
      </c>
      <c r="B12276" t="str">
        <f>"185927"</f>
        <v>185927</v>
      </c>
      <c r="C12276" t="str">
        <f>"72502"</f>
        <v>72502</v>
      </c>
      <c r="D12276" t="s">
        <v>5091</v>
      </c>
      <c r="E12276">
        <v>330.44</v>
      </c>
      <c r="F12276">
        <v>20131025</v>
      </c>
      <c r="G12276" t="s">
        <v>5092</v>
      </c>
      <c r="H12276" t="s">
        <v>5101</v>
      </c>
      <c r="I12276" t="s">
        <v>29</v>
      </c>
    </row>
    <row r="12277" spans="1:9" x14ac:dyDescent="0.25">
      <c r="A12277">
        <v>20131025</v>
      </c>
      <c r="B12277" t="str">
        <f>"185928"</f>
        <v>185928</v>
      </c>
      <c r="C12277" t="str">
        <f>"83361"</f>
        <v>83361</v>
      </c>
      <c r="D12277" t="s">
        <v>5093</v>
      </c>
      <c r="E12277" s="1">
        <v>2359.5</v>
      </c>
      <c r="F12277">
        <v>20131025</v>
      </c>
      <c r="G12277" t="s">
        <v>5094</v>
      </c>
      <c r="H12277" t="s">
        <v>5101</v>
      </c>
      <c r="I12277" t="s">
        <v>29</v>
      </c>
    </row>
    <row r="12278" spans="1:9" x14ac:dyDescent="0.25">
      <c r="A12278">
        <v>20131025</v>
      </c>
      <c r="B12278" t="str">
        <f>"185929"</f>
        <v>185929</v>
      </c>
      <c r="C12278" t="str">
        <f>"86693"</f>
        <v>86693</v>
      </c>
      <c r="D12278" t="s">
        <v>5095</v>
      </c>
      <c r="E12278">
        <v>153</v>
      </c>
      <c r="F12278">
        <v>20131025</v>
      </c>
      <c r="G12278" t="s">
        <v>5096</v>
      </c>
      <c r="H12278" t="s">
        <v>5101</v>
      </c>
      <c r="I12278" t="s">
        <v>29</v>
      </c>
    </row>
    <row r="12279" spans="1:9" x14ac:dyDescent="0.25">
      <c r="A12279">
        <v>20131025</v>
      </c>
      <c r="B12279" t="str">
        <f>"185930"</f>
        <v>185930</v>
      </c>
      <c r="C12279" t="str">
        <f>"83209"</f>
        <v>83209</v>
      </c>
      <c r="D12279" t="s">
        <v>5097</v>
      </c>
      <c r="E12279">
        <v>385.99</v>
      </c>
      <c r="F12279">
        <v>20131025</v>
      </c>
      <c r="G12279" t="s">
        <v>5098</v>
      </c>
      <c r="H12279" t="s">
        <v>5101</v>
      </c>
      <c r="I12279" t="s">
        <v>29</v>
      </c>
    </row>
    <row r="12280" spans="1:9" x14ac:dyDescent="0.25">
      <c r="A12280">
        <v>20131025</v>
      </c>
      <c r="B12280" t="str">
        <f>"185931"</f>
        <v>185931</v>
      </c>
      <c r="C12280" t="str">
        <f>"76675"</f>
        <v>76675</v>
      </c>
      <c r="D12280" t="s">
        <v>5099</v>
      </c>
      <c r="E12280">
        <v>200</v>
      </c>
      <c r="F12280">
        <v>20131025</v>
      </c>
      <c r="G12280" t="s">
        <v>5100</v>
      </c>
      <c r="H12280" t="s">
        <v>5101</v>
      </c>
      <c r="I12280" t="s">
        <v>29</v>
      </c>
    </row>
    <row r="12281" spans="1:9" x14ac:dyDescent="0.25">
      <c r="A12281">
        <v>20131122</v>
      </c>
      <c r="B12281" t="str">
        <f>"186117"</f>
        <v>186117</v>
      </c>
      <c r="C12281" t="str">
        <f>"86972"</f>
        <v>86972</v>
      </c>
      <c r="D12281" t="s">
        <v>5033</v>
      </c>
      <c r="E12281">
        <v>485.74</v>
      </c>
      <c r="F12281">
        <v>20131122</v>
      </c>
      <c r="G12281" t="s">
        <v>5034</v>
      </c>
      <c r="H12281" t="s">
        <v>5107</v>
      </c>
      <c r="I12281" t="s">
        <v>29</v>
      </c>
    </row>
    <row r="12282" spans="1:9" x14ac:dyDescent="0.25">
      <c r="A12282">
        <v>20131122</v>
      </c>
      <c r="B12282" t="str">
        <f>"186118"</f>
        <v>186118</v>
      </c>
      <c r="C12282" t="str">
        <f>"07258"</f>
        <v>07258</v>
      </c>
      <c r="D12282" t="s">
        <v>5036</v>
      </c>
      <c r="E12282" s="1">
        <v>3036.93</v>
      </c>
      <c r="F12282">
        <v>20131122</v>
      </c>
      <c r="G12282" t="s">
        <v>5037</v>
      </c>
      <c r="H12282" t="s">
        <v>5107</v>
      </c>
      <c r="I12282" t="s">
        <v>29</v>
      </c>
    </row>
    <row r="12283" spans="1:9" x14ac:dyDescent="0.25">
      <c r="A12283">
        <v>20131122</v>
      </c>
      <c r="B12283" t="str">
        <f>"186119"</f>
        <v>186119</v>
      </c>
      <c r="C12283" t="str">
        <f>"16955"</f>
        <v>16955</v>
      </c>
      <c r="D12283" t="s">
        <v>5038</v>
      </c>
      <c r="E12283" s="1">
        <v>73238.649999999994</v>
      </c>
      <c r="F12283">
        <v>20131122</v>
      </c>
      <c r="G12283" t="s">
        <v>5039</v>
      </c>
      <c r="H12283" t="s">
        <v>5108</v>
      </c>
      <c r="I12283" t="s">
        <v>29</v>
      </c>
    </row>
    <row r="12284" spans="1:9" x14ac:dyDescent="0.25">
      <c r="A12284">
        <v>20131122</v>
      </c>
      <c r="B12284" t="str">
        <f>"186120"</f>
        <v>186120</v>
      </c>
      <c r="C12284" t="str">
        <f>"81559"</f>
        <v>81559</v>
      </c>
      <c r="D12284" t="s">
        <v>5041</v>
      </c>
      <c r="E12284" s="1">
        <v>2236</v>
      </c>
      <c r="F12284">
        <v>20131122</v>
      </c>
      <c r="G12284" t="s">
        <v>5042</v>
      </c>
      <c r="H12284" t="s">
        <v>5107</v>
      </c>
      <c r="I12284" t="s">
        <v>29</v>
      </c>
    </row>
    <row r="12285" spans="1:9" x14ac:dyDescent="0.25">
      <c r="A12285">
        <v>20131122</v>
      </c>
      <c r="B12285" t="str">
        <f>"186121"</f>
        <v>186121</v>
      </c>
      <c r="C12285" t="str">
        <f>"22240"</f>
        <v>22240</v>
      </c>
      <c r="D12285" t="s">
        <v>1038</v>
      </c>
      <c r="E12285">
        <v>750</v>
      </c>
      <c r="F12285">
        <v>20131122</v>
      </c>
      <c r="G12285" t="s">
        <v>5043</v>
      </c>
      <c r="H12285" t="s">
        <v>5107</v>
      </c>
      <c r="I12285" t="s">
        <v>29</v>
      </c>
    </row>
    <row r="12286" spans="1:9" x14ac:dyDescent="0.25">
      <c r="A12286">
        <v>20131122</v>
      </c>
      <c r="B12286" t="str">
        <f>"186122"</f>
        <v>186122</v>
      </c>
      <c r="C12286" t="str">
        <f>"26330"</f>
        <v>26330</v>
      </c>
      <c r="D12286" t="s">
        <v>5044</v>
      </c>
      <c r="E12286">
        <v>340</v>
      </c>
      <c r="F12286">
        <v>20131122</v>
      </c>
      <c r="G12286" t="s">
        <v>5045</v>
      </c>
      <c r="H12286" t="s">
        <v>5107</v>
      </c>
      <c r="I12286" t="s">
        <v>29</v>
      </c>
    </row>
    <row r="12287" spans="1:9" x14ac:dyDescent="0.25">
      <c r="A12287">
        <v>20131122</v>
      </c>
      <c r="B12287" t="str">
        <f>"186123"</f>
        <v>186123</v>
      </c>
      <c r="C12287" t="str">
        <f>"26994"</f>
        <v>26994</v>
      </c>
      <c r="D12287" t="s">
        <v>548</v>
      </c>
      <c r="E12287" s="1">
        <v>2400</v>
      </c>
      <c r="F12287">
        <v>20131122</v>
      </c>
      <c r="G12287" t="s">
        <v>5046</v>
      </c>
      <c r="H12287" t="s">
        <v>5107</v>
      </c>
      <c r="I12287" t="s">
        <v>29</v>
      </c>
    </row>
    <row r="12288" spans="1:9" x14ac:dyDescent="0.25">
      <c r="A12288">
        <v>20131122</v>
      </c>
      <c r="B12288" t="str">
        <f>"186124"</f>
        <v>186124</v>
      </c>
      <c r="C12288" t="str">
        <f>"26990"</f>
        <v>26990</v>
      </c>
      <c r="D12288" t="s">
        <v>548</v>
      </c>
      <c r="E12288">
        <v>76.92</v>
      </c>
      <c r="F12288">
        <v>20131122</v>
      </c>
      <c r="G12288" t="s">
        <v>5047</v>
      </c>
      <c r="H12288" t="s">
        <v>5107</v>
      </c>
      <c r="I12288" t="s">
        <v>29</v>
      </c>
    </row>
    <row r="12289" spans="1:9" x14ac:dyDescent="0.25">
      <c r="A12289">
        <v>20131122</v>
      </c>
      <c r="B12289" t="str">
        <f t="shared" ref="B12289:B12314" si="707">"186125"</f>
        <v>186125</v>
      </c>
      <c r="C12289" t="str">
        <f t="shared" ref="C12289:C12314" si="708">"86432"</f>
        <v>86432</v>
      </c>
      <c r="D12289" t="s">
        <v>5048</v>
      </c>
      <c r="E12289" s="1">
        <v>3399.04</v>
      </c>
      <c r="F12289">
        <v>20131122</v>
      </c>
      <c r="G12289" t="s">
        <v>5049</v>
      </c>
      <c r="H12289" t="s">
        <v>5109</v>
      </c>
      <c r="I12289" t="s">
        <v>29</v>
      </c>
    </row>
    <row r="12290" spans="1:9" x14ac:dyDescent="0.25">
      <c r="A12290">
        <v>20131122</v>
      </c>
      <c r="B12290" t="str">
        <f t="shared" si="707"/>
        <v>186125</v>
      </c>
      <c r="C12290" t="str">
        <f t="shared" si="708"/>
        <v>86432</v>
      </c>
      <c r="D12290" t="s">
        <v>5048</v>
      </c>
      <c r="E12290">
        <v>54.23</v>
      </c>
      <c r="F12290">
        <v>20131122</v>
      </c>
      <c r="G12290" t="s">
        <v>5051</v>
      </c>
      <c r="H12290" t="s">
        <v>5109</v>
      </c>
      <c r="I12290" t="s">
        <v>29</v>
      </c>
    </row>
    <row r="12291" spans="1:9" x14ac:dyDescent="0.25">
      <c r="A12291">
        <v>20131122</v>
      </c>
      <c r="B12291" t="str">
        <f t="shared" si="707"/>
        <v>186125</v>
      </c>
      <c r="C12291" t="str">
        <f t="shared" si="708"/>
        <v>86432</v>
      </c>
      <c r="D12291" t="s">
        <v>5048</v>
      </c>
      <c r="E12291">
        <v>33.15</v>
      </c>
      <c r="F12291">
        <v>20131122</v>
      </c>
      <c r="G12291" t="s">
        <v>5052</v>
      </c>
      <c r="H12291" t="s">
        <v>5109</v>
      </c>
      <c r="I12291" t="s">
        <v>29</v>
      </c>
    </row>
    <row r="12292" spans="1:9" x14ac:dyDescent="0.25">
      <c r="A12292">
        <v>20131122</v>
      </c>
      <c r="B12292" t="str">
        <f t="shared" si="707"/>
        <v>186125</v>
      </c>
      <c r="C12292" t="str">
        <f t="shared" si="708"/>
        <v>86432</v>
      </c>
      <c r="D12292" t="s">
        <v>5048</v>
      </c>
      <c r="E12292" s="1">
        <v>21165.200000000001</v>
      </c>
      <c r="F12292">
        <v>20131122</v>
      </c>
      <c r="G12292" t="s">
        <v>5053</v>
      </c>
      <c r="H12292" t="s">
        <v>5110</v>
      </c>
      <c r="I12292" t="s">
        <v>29</v>
      </c>
    </row>
    <row r="12293" spans="1:9" x14ac:dyDescent="0.25">
      <c r="A12293">
        <v>20131122</v>
      </c>
      <c r="B12293" t="str">
        <f t="shared" si="707"/>
        <v>186125</v>
      </c>
      <c r="C12293" t="str">
        <f t="shared" si="708"/>
        <v>86432</v>
      </c>
      <c r="D12293" t="s">
        <v>5048</v>
      </c>
      <c r="E12293" s="1">
        <v>2977.1</v>
      </c>
      <c r="F12293">
        <v>20131122</v>
      </c>
      <c r="G12293" t="s">
        <v>5055</v>
      </c>
      <c r="H12293" t="s">
        <v>5109</v>
      </c>
      <c r="I12293" t="s">
        <v>29</v>
      </c>
    </row>
    <row r="12294" spans="1:9" x14ac:dyDescent="0.25">
      <c r="A12294">
        <v>20131122</v>
      </c>
      <c r="B12294" t="str">
        <f t="shared" si="707"/>
        <v>186125</v>
      </c>
      <c r="C12294" t="str">
        <f t="shared" si="708"/>
        <v>86432</v>
      </c>
      <c r="D12294" t="s">
        <v>5048</v>
      </c>
      <c r="E12294" s="1">
        <v>3295.95</v>
      </c>
      <c r="F12294">
        <v>20131122</v>
      </c>
      <c r="G12294" t="s">
        <v>5056</v>
      </c>
      <c r="H12294" t="s">
        <v>5110</v>
      </c>
      <c r="I12294" t="s">
        <v>29</v>
      </c>
    </row>
    <row r="12295" spans="1:9" x14ac:dyDescent="0.25">
      <c r="A12295">
        <v>20131122</v>
      </c>
      <c r="B12295" t="str">
        <f t="shared" si="707"/>
        <v>186125</v>
      </c>
      <c r="C12295" t="str">
        <f t="shared" si="708"/>
        <v>86432</v>
      </c>
      <c r="D12295" t="s">
        <v>5048</v>
      </c>
      <c r="E12295">
        <v>231.71</v>
      </c>
      <c r="F12295">
        <v>20131122</v>
      </c>
      <c r="G12295" t="s">
        <v>5057</v>
      </c>
      <c r="H12295" t="s">
        <v>5110</v>
      </c>
      <c r="I12295" t="s">
        <v>29</v>
      </c>
    </row>
    <row r="12296" spans="1:9" x14ac:dyDescent="0.25">
      <c r="A12296">
        <v>20131122</v>
      </c>
      <c r="B12296" t="str">
        <f t="shared" si="707"/>
        <v>186125</v>
      </c>
      <c r="C12296" t="str">
        <f t="shared" si="708"/>
        <v>86432</v>
      </c>
      <c r="D12296" t="s">
        <v>5048</v>
      </c>
      <c r="E12296">
        <v>821.25</v>
      </c>
      <c r="F12296">
        <v>20131122</v>
      </c>
      <c r="G12296" t="s">
        <v>5058</v>
      </c>
      <c r="H12296" t="s">
        <v>5110</v>
      </c>
      <c r="I12296" t="s">
        <v>29</v>
      </c>
    </row>
    <row r="12297" spans="1:9" x14ac:dyDescent="0.25">
      <c r="A12297">
        <v>20131122</v>
      </c>
      <c r="B12297" t="str">
        <f t="shared" si="707"/>
        <v>186125</v>
      </c>
      <c r="C12297" t="str">
        <f t="shared" si="708"/>
        <v>86432</v>
      </c>
      <c r="D12297" t="s">
        <v>5048</v>
      </c>
      <c r="E12297">
        <v>60.65</v>
      </c>
      <c r="F12297">
        <v>20131122</v>
      </c>
      <c r="G12297" t="s">
        <v>5059</v>
      </c>
      <c r="H12297" t="s">
        <v>5110</v>
      </c>
      <c r="I12297" t="s">
        <v>29</v>
      </c>
    </row>
    <row r="12298" spans="1:9" x14ac:dyDescent="0.25">
      <c r="A12298">
        <v>20131122</v>
      </c>
      <c r="B12298" t="str">
        <f t="shared" si="707"/>
        <v>186125</v>
      </c>
      <c r="C12298" t="str">
        <f t="shared" si="708"/>
        <v>86432</v>
      </c>
      <c r="D12298" t="s">
        <v>5048</v>
      </c>
      <c r="E12298">
        <v>749.9</v>
      </c>
      <c r="F12298">
        <v>20131122</v>
      </c>
      <c r="G12298" t="s">
        <v>5060</v>
      </c>
      <c r="H12298" t="s">
        <v>5110</v>
      </c>
      <c r="I12298" t="s">
        <v>29</v>
      </c>
    </row>
    <row r="12299" spans="1:9" x14ac:dyDescent="0.25">
      <c r="A12299">
        <v>20131122</v>
      </c>
      <c r="B12299" t="str">
        <f t="shared" si="707"/>
        <v>186125</v>
      </c>
      <c r="C12299" t="str">
        <f t="shared" si="708"/>
        <v>86432</v>
      </c>
      <c r="D12299" t="s">
        <v>5048</v>
      </c>
      <c r="E12299">
        <v>278.8</v>
      </c>
      <c r="F12299">
        <v>20131122</v>
      </c>
      <c r="G12299" t="s">
        <v>5061</v>
      </c>
      <c r="H12299" t="s">
        <v>5110</v>
      </c>
      <c r="I12299" t="s">
        <v>29</v>
      </c>
    </row>
    <row r="12300" spans="1:9" x14ac:dyDescent="0.25">
      <c r="A12300">
        <v>20131122</v>
      </c>
      <c r="B12300" t="str">
        <f t="shared" si="707"/>
        <v>186125</v>
      </c>
      <c r="C12300" t="str">
        <f t="shared" si="708"/>
        <v>86432</v>
      </c>
      <c r="D12300" t="s">
        <v>5048</v>
      </c>
      <c r="E12300">
        <v>36.24</v>
      </c>
      <c r="F12300">
        <v>20131122</v>
      </c>
      <c r="G12300" t="s">
        <v>5062</v>
      </c>
      <c r="H12300" t="s">
        <v>5110</v>
      </c>
      <c r="I12300" t="s">
        <v>29</v>
      </c>
    </row>
    <row r="12301" spans="1:9" x14ac:dyDescent="0.25">
      <c r="A12301">
        <v>20131122</v>
      </c>
      <c r="B12301" t="str">
        <f t="shared" si="707"/>
        <v>186125</v>
      </c>
      <c r="C12301" t="str">
        <f t="shared" si="708"/>
        <v>86432</v>
      </c>
      <c r="D12301" t="s">
        <v>5048</v>
      </c>
      <c r="E12301" s="1">
        <v>17776.59</v>
      </c>
      <c r="F12301">
        <v>20131122</v>
      </c>
      <c r="G12301" t="s">
        <v>5063</v>
      </c>
      <c r="H12301" t="s">
        <v>5109</v>
      </c>
      <c r="I12301" t="s">
        <v>29</v>
      </c>
    </row>
    <row r="12302" spans="1:9" x14ac:dyDescent="0.25">
      <c r="A12302">
        <v>20131122</v>
      </c>
      <c r="B12302" t="str">
        <f t="shared" si="707"/>
        <v>186125</v>
      </c>
      <c r="C12302" t="str">
        <f t="shared" si="708"/>
        <v>86432</v>
      </c>
      <c r="D12302" t="s">
        <v>5048</v>
      </c>
      <c r="E12302" s="1">
        <v>12235.5</v>
      </c>
      <c r="F12302">
        <v>20131122</v>
      </c>
      <c r="G12302" t="s">
        <v>5064</v>
      </c>
      <c r="H12302" t="s">
        <v>5107</v>
      </c>
      <c r="I12302" t="s">
        <v>29</v>
      </c>
    </row>
    <row r="12303" spans="1:9" x14ac:dyDescent="0.25">
      <c r="A12303">
        <v>20131122</v>
      </c>
      <c r="B12303" t="str">
        <f t="shared" si="707"/>
        <v>186125</v>
      </c>
      <c r="C12303" t="str">
        <f t="shared" si="708"/>
        <v>86432</v>
      </c>
      <c r="D12303" t="s">
        <v>5048</v>
      </c>
      <c r="E12303" s="1">
        <v>4125</v>
      </c>
      <c r="F12303">
        <v>20131122</v>
      </c>
      <c r="G12303" t="s">
        <v>5065</v>
      </c>
      <c r="H12303" t="s">
        <v>5111</v>
      </c>
      <c r="I12303" t="s">
        <v>29</v>
      </c>
    </row>
    <row r="12304" spans="1:9" x14ac:dyDescent="0.25">
      <c r="A12304">
        <v>20131122</v>
      </c>
      <c r="B12304" t="str">
        <f t="shared" si="707"/>
        <v>186125</v>
      </c>
      <c r="C12304" t="str">
        <f t="shared" si="708"/>
        <v>86432</v>
      </c>
      <c r="D12304" t="s">
        <v>5048</v>
      </c>
      <c r="E12304">
        <v>150</v>
      </c>
      <c r="F12304">
        <v>20131122</v>
      </c>
      <c r="G12304" t="s">
        <v>5067</v>
      </c>
      <c r="H12304" t="s">
        <v>5111</v>
      </c>
      <c r="I12304" t="s">
        <v>29</v>
      </c>
    </row>
    <row r="12305" spans="1:9" x14ac:dyDescent="0.25">
      <c r="A12305">
        <v>20131122</v>
      </c>
      <c r="B12305" t="str">
        <f t="shared" si="707"/>
        <v>186125</v>
      </c>
      <c r="C12305" t="str">
        <f t="shared" si="708"/>
        <v>86432</v>
      </c>
      <c r="D12305" t="s">
        <v>5048</v>
      </c>
      <c r="E12305">
        <v>50</v>
      </c>
      <c r="F12305">
        <v>20131122</v>
      </c>
      <c r="G12305" t="s">
        <v>5068</v>
      </c>
      <c r="H12305" t="s">
        <v>5111</v>
      </c>
      <c r="I12305" t="s">
        <v>29</v>
      </c>
    </row>
    <row r="12306" spans="1:9" x14ac:dyDescent="0.25">
      <c r="A12306">
        <v>20131122</v>
      </c>
      <c r="B12306" t="str">
        <f t="shared" si="707"/>
        <v>186125</v>
      </c>
      <c r="C12306" t="str">
        <f t="shared" si="708"/>
        <v>86432</v>
      </c>
      <c r="D12306" t="s">
        <v>5048</v>
      </c>
      <c r="E12306" s="1">
        <v>1753</v>
      </c>
      <c r="F12306">
        <v>20131122</v>
      </c>
      <c r="G12306" t="s">
        <v>5069</v>
      </c>
      <c r="H12306" t="s">
        <v>5111</v>
      </c>
      <c r="I12306" t="s">
        <v>29</v>
      </c>
    </row>
    <row r="12307" spans="1:9" x14ac:dyDescent="0.25">
      <c r="A12307">
        <v>20131122</v>
      </c>
      <c r="B12307" t="str">
        <f t="shared" si="707"/>
        <v>186125</v>
      </c>
      <c r="C12307" t="str">
        <f t="shared" si="708"/>
        <v>86432</v>
      </c>
      <c r="D12307" t="s">
        <v>5048</v>
      </c>
      <c r="E12307">
        <v>175</v>
      </c>
      <c r="F12307">
        <v>20131122</v>
      </c>
      <c r="G12307" t="s">
        <v>5070</v>
      </c>
      <c r="H12307" t="s">
        <v>5111</v>
      </c>
      <c r="I12307" t="s">
        <v>29</v>
      </c>
    </row>
    <row r="12308" spans="1:9" x14ac:dyDescent="0.25">
      <c r="A12308">
        <v>20131122</v>
      </c>
      <c r="B12308" t="str">
        <f t="shared" si="707"/>
        <v>186125</v>
      </c>
      <c r="C12308" t="str">
        <f t="shared" si="708"/>
        <v>86432</v>
      </c>
      <c r="D12308" t="s">
        <v>5048</v>
      </c>
      <c r="E12308">
        <v>550</v>
      </c>
      <c r="F12308">
        <v>20131122</v>
      </c>
      <c r="G12308" t="s">
        <v>5071</v>
      </c>
      <c r="H12308" t="s">
        <v>5111</v>
      </c>
      <c r="I12308" t="s">
        <v>29</v>
      </c>
    </row>
    <row r="12309" spans="1:9" x14ac:dyDescent="0.25">
      <c r="A12309">
        <v>20131122</v>
      </c>
      <c r="B12309" t="str">
        <f t="shared" si="707"/>
        <v>186125</v>
      </c>
      <c r="C12309" t="str">
        <f t="shared" si="708"/>
        <v>86432</v>
      </c>
      <c r="D12309" t="s">
        <v>5048</v>
      </c>
      <c r="E12309" s="1">
        <v>2983.33</v>
      </c>
      <c r="F12309">
        <v>20131122</v>
      </c>
      <c r="G12309" t="s">
        <v>5072</v>
      </c>
      <c r="H12309" t="s">
        <v>5111</v>
      </c>
      <c r="I12309" t="s">
        <v>29</v>
      </c>
    </row>
    <row r="12310" spans="1:9" x14ac:dyDescent="0.25">
      <c r="A12310">
        <v>20131122</v>
      </c>
      <c r="B12310" t="str">
        <f t="shared" si="707"/>
        <v>186125</v>
      </c>
      <c r="C12310" t="str">
        <f t="shared" si="708"/>
        <v>86432</v>
      </c>
      <c r="D12310" t="s">
        <v>5048</v>
      </c>
      <c r="E12310" s="1">
        <v>1995</v>
      </c>
      <c r="F12310">
        <v>20131122</v>
      </c>
      <c r="G12310" t="s">
        <v>5073</v>
      </c>
      <c r="H12310" t="s">
        <v>5111</v>
      </c>
      <c r="I12310" t="s">
        <v>29</v>
      </c>
    </row>
    <row r="12311" spans="1:9" x14ac:dyDescent="0.25">
      <c r="A12311">
        <v>20131122</v>
      </c>
      <c r="B12311" t="str">
        <f t="shared" si="707"/>
        <v>186125</v>
      </c>
      <c r="C12311" t="str">
        <f t="shared" si="708"/>
        <v>86432</v>
      </c>
      <c r="D12311" t="s">
        <v>5048</v>
      </c>
      <c r="E12311">
        <v>485</v>
      </c>
      <c r="F12311">
        <v>20131122</v>
      </c>
      <c r="G12311" t="s">
        <v>5074</v>
      </c>
      <c r="H12311" t="s">
        <v>5111</v>
      </c>
      <c r="I12311" t="s">
        <v>29</v>
      </c>
    </row>
    <row r="12312" spans="1:9" x14ac:dyDescent="0.25">
      <c r="A12312">
        <v>20131122</v>
      </c>
      <c r="B12312" t="str">
        <f t="shared" si="707"/>
        <v>186125</v>
      </c>
      <c r="C12312" t="str">
        <f t="shared" si="708"/>
        <v>86432</v>
      </c>
      <c r="D12312" t="s">
        <v>5048</v>
      </c>
      <c r="E12312">
        <v>300</v>
      </c>
      <c r="F12312">
        <v>20131122</v>
      </c>
      <c r="G12312" t="s">
        <v>5075</v>
      </c>
      <c r="H12312" t="s">
        <v>5111</v>
      </c>
      <c r="I12312" t="s">
        <v>29</v>
      </c>
    </row>
    <row r="12313" spans="1:9" x14ac:dyDescent="0.25">
      <c r="A12313">
        <v>20131122</v>
      </c>
      <c r="B12313" t="str">
        <f t="shared" si="707"/>
        <v>186125</v>
      </c>
      <c r="C12313" t="str">
        <f t="shared" si="708"/>
        <v>86432</v>
      </c>
      <c r="D12313" t="s">
        <v>5048</v>
      </c>
      <c r="E12313">
        <v>575</v>
      </c>
      <c r="F12313">
        <v>20131122</v>
      </c>
      <c r="G12313" t="s">
        <v>5076</v>
      </c>
      <c r="H12313" t="s">
        <v>5111</v>
      </c>
      <c r="I12313" t="s">
        <v>29</v>
      </c>
    </row>
    <row r="12314" spans="1:9" x14ac:dyDescent="0.25">
      <c r="A12314">
        <v>20131122</v>
      </c>
      <c r="B12314" t="str">
        <f t="shared" si="707"/>
        <v>186125</v>
      </c>
      <c r="C12314" t="str">
        <f t="shared" si="708"/>
        <v>86432</v>
      </c>
      <c r="D12314" t="s">
        <v>5048</v>
      </c>
      <c r="E12314" s="1">
        <v>17341</v>
      </c>
      <c r="F12314">
        <v>20131122</v>
      </c>
      <c r="G12314" t="s">
        <v>5077</v>
      </c>
      <c r="H12314" t="s">
        <v>5112</v>
      </c>
      <c r="I12314" t="s">
        <v>29</v>
      </c>
    </row>
    <row r="12315" spans="1:9" x14ac:dyDescent="0.25">
      <c r="A12315">
        <v>20131122</v>
      </c>
      <c r="B12315" t="str">
        <f>"186126"</f>
        <v>186126</v>
      </c>
      <c r="C12315" t="str">
        <f>"85294"</f>
        <v>85294</v>
      </c>
      <c r="D12315" t="s">
        <v>5079</v>
      </c>
      <c r="E12315">
        <v>250.41</v>
      </c>
      <c r="F12315">
        <v>20131122</v>
      </c>
      <c r="G12315" t="s">
        <v>5080</v>
      </c>
      <c r="H12315" t="s">
        <v>5110</v>
      </c>
      <c r="I12315" t="s">
        <v>29</v>
      </c>
    </row>
    <row r="12316" spans="1:9" x14ac:dyDescent="0.25">
      <c r="A12316">
        <v>20131122</v>
      </c>
      <c r="B12316" t="str">
        <f>"186127"</f>
        <v>186127</v>
      </c>
      <c r="C12316" t="str">
        <f>"69390"</f>
        <v>69390</v>
      </c>
      <c r="D12316" t="s">
        <v>5081</v>
      </c>
      <c r="E12316">
        <v>260</v>
      </c>
      <c r="F12316">
        <v>20131122</v>
      </c>
      <c r="G12316" t="s">
        <v>5082</v>
      </c>
      <c r="H12316" t="s">
        <v>5107</v>
      </c>
      <c r="I12316" t="s">
        <v>29</v>
      </c>
    </row>
    <row r="12317" spans="1:9" x14ac:dyDescent="0.25">
      <c r="A12317">
        <v>20131122</v>
      </c>
      <c r="B12317" t="str">
        <f>"186128"</f>
        <v>186128</v>
      </c>
      <c r="C12317" t="str">
        <f>"70763"</f>
        <v>70763</v>
      </c>
      <c r="D12317" t="s">
        <v>5083</v>
      </c>
      <c r="E12317">
        <v>93.36</v>
      </c>
      <c r="F12317">
        <v>20131122</v>
      </c>
      <c r="G12317" t="s">
        <v>5084</v>
      </c>
      <c r="H12317" t="s">
        <v>5107</v>
      </c>
      <c r="I12317" t="s">
        <v>29</v>
      </c>
    </row>
    <row r="12318" spans="1:9" x14ac:dyDescent="0.25">
      <c r="A12318">
        <v>20131122</v>
      </c>
      <c r="B12318" t="str">
        <f>"186129"</f>
        <v>186129</v>
      </c>
      <c r="C12318" t="str">
        <f>"70692"</f>
        <v>70692</v>
      </c>
      <c r="D12318" t="s">
        <v>5085</v>
      </c>
      <c r="E12318">
        <v>609.27</v>
      </c>
      <c r="F12318">
        <v>20131122</v>
      </c>
      <c r="G12318" t="s">
        <v>5086</v>
      </c>
      <c r="H12318" t="s">
        <v>5107</v>
      </c>
      <c r="I12318" t="s">
        <v>29</v>
      </c>
    </row>
    <row r="12319" spans="1:9" x14ac:dyDescent="0.25">
      <c r="A12319">
        <v>20131122</v>
      </c>
      <c r="B12319" t="str">
        <f>"186130"</f>
        <v>186130</v>
      </c>
      <c r="C12319" t="str">
        <f>"70774"</f>
        <v>70774</v>
      </c>
      <c r="D12319" t="s">
        <v>5087</v>
      </c>
      <c r="E12319" s="1">
        <v>1557.84</v>
      </c>
      <c r="F12319">
        <v>20131122</v>
      </c>
      <c r="G12319" t="s">
        <v>5088</v>
      </c>
      <c r="H12319" t="s">
        <v>5107</v>
      </c>
      <c r="I12319" t="s">
        <v>29</v>
      </c>
    </row>
    <row r="12320" spans="1:9" x14ac:dyDescent="0.25">
      <c r="A12320">
        <v>20131122</v>
      </c>
      <c r="B12320" t="str">
        <f>"186131"</f>
        <v>186131</v>
      </c>
      <c r="C12320" t="str">
        <f>"70777"</f>
        <v>70777</v>
      </c>
      <c r="D12320" t="s">
        <v>5089</v>
      </c>
      <c r="E12320">
        <v>16.25</v>
      </c>
      <c r="F12320">
        <v>20131122</v>
      </c>
      <c r="G12320" t="s">
        <v>5090</v>
      </c>
      <c r="H12320" t="s">
        <v>5107</v>
      </c>
      <c r="I12320" t="s">
        <v>29</v>
      </c>
    </row>
    <row r="12321" spans="1:9" x14ac:dyDescent="0.25">
      <c r="A12321">
        <v>20131122</v>
      </c>
      <c r="B12321" t="str">
        <f>"186132"</f>
        <v>186132</v>
      </c>
      <c r="C12321" t="str">
        <f>"72502"</f>
        <v>72502</v>
      </c>
      <c r="D12321" t="s">
        <v>5091</v>
      </c>
      <c r="E12321">
        <v>330.44</v>
      </c>
      <c r="F12321">
        <v>20131122</v>
      </c>
      <c r="G12321" t="s">
        <v>5092</v>
      </c>
      <c r="H12321" t="s">
        <v>5107</v>
      </c>
      <c r="I12321" t="s">
        <v>29</v>
      </c>
    </row>
    <row r="12322" spans="1:9" x14ac:dyDescent="0.25">
      <c r="A12322">
        <v>20131122</v>
      </c>
      <c r="B12322" t="str">
        <f>"186133"</f>
        <v>186133</v>
      </c>
      <c r="C12322" t="str">
        <f>"83361"</f>
        <v>83361</v>
      </c>
      <c r="D12322" t="s">
        <v>5093</v>
      </c>
      <c r="E12322" s="1">
        <v>2359.5</v>
      </c>
      <c r="F12322">
        <v>20131122</v>
      </c>
      <c r="G12322" t="s">
        <v>5094</v>
      </c>
      <c r="H12322" t="s">
        <v>5107</v>
      </c>
      <c r="I12322" t="s">
        <v>29</v>
      </c>
    </row>
    <row r="12323" spans="1:9" x14ac:dyDescent="0.25">
      <c r="A12323">
        <v>20131122</v>
      </c>
      <c r="B12323" t="str">
        <f>"186134"</f>
        <v>186134</v>
      </c>
      <c r="C12323" t="str">
        <f>"83209"</f>
        <v>83209</v>
      </c>
      <c r="D12323" t="s">
        <v>5097</v>
      </c>
      <c r="E12323">
        <v>385.99</v>
      </c>
      <c r="F12323">
        <v>20131122</v>
      </c>
      <c r="G12323" t="s">
        <v>5098</v>
      </c>
      <c r="H12323" t="s">
        <v>5107</v>
      </c>
      <c r="I12323" t="s">
        <v>29</v>
      </c>
    </row>
    <row r="12324" spans="1:9" x14ac:dyDescent="0.25">
      <c r="A12324">
        <v>20131122</v>
      </c>
      <c r="B12324" t="str">
        <f>"186135"</f>
        <v>186135</v>
      </c>
      <c r="C12324" t="str">
        <f>"76675"</f>
        <v>76675</v>
      </c>
      <c r="D12324" t="s">
        <v>5099</v>
      </c>
      <c r="E12324">
        <v>200</v>
      </c>
      <c r="F12324">
        <v>20131122</v>
      </c>
      <c r="G12324" t="s">
        <v>5100</v>
      </c>
      <c r="H12324" t="s">
        <v>5107</v>
      </c>
      <c r="I12324" t="s">
        <v>29</v>
      </c>
    </row>
    <row r="12325" spans="1:9" x14ac:dyDescent="0.25">
      <c r="A12325">
        <v>20131220</v>
      </c>
      <c r="B12325" t="str">
        <f>"186313"</f>
        <v>186313</v>
      </c>
      <c r="C12325" t="str">
        <f>"86972"</f>
        <v>86972</v>
      </c>
      <c r="D12325" t="s">
        <v>5033</v>
      </c>
      <c r="E12325">
        <v>485.74</v>
      </c>
      <c r="F12325">
        <v>20131220</v>
      </c>
      <c r="G12325" t="s">
        <v>5034</v>
      </c>
      <c r="H12325" t="s">
        <v>5113</v>
      </c>
      <c r="I12325" t="s">
        <v>29</v>
      </c>
    </row>
    <row r="12326" spans="1:9" x14ac:dyDescent="0.25">
      <c r="A12326">
        <v>20131220</v>
      </c>
      <c r="B12326" t="str">
        <f>"186314"</f>
        <v>186314</v>
      </c>
      <c r="C12326" t="str">
        <f>"07258"</f>
        <v>07258</v>
      </c>
      <c r="D12326" t="s">
        <v>5036</v>
      </c>
      <c r="E12326" s="1">
        <v>3032.9</v>
      </c>
      <c r="F12326">
        <v>20131220</v>
      </c>
      <c r="G12326" t="s">
        <v>5037</v>
      </c>
      <c r="H12326" t="s">
        <v>5113</v>
      </c>
      <c r="I12326" t="s">
        <v>29</v>
      </c>
    </row>
    <row r="12327" spans="1:9" x14ac:dyDescent="0.25">
      <c r="A12327">
        <v>20131220</v>
      </c>
      <c r="B12327" t="str">
        <f>"186315"</f>
        <v>186315</v>
      </c>
      <c r="C12327" t="str">
        <f>"16955"</f>
        <v>16955</v>
      </c>
      <c r="D12327" t="s">
        <v>5038</v>
      </c>
      <c r="E12327" s="1">
        <v>74136.09</v>
      </c>
      <c r="F12327">
        <v>20131220</v>
      </c>
      <c r="G12327" t="s">
        <v>5039</v>
      </c>
      <c r="H12327" t="s">
        <v>5114</v>
      </c>
      <c r="I12327" t="s">
        <v>29</v>
      </c>
    </row>
    <row r="12328" spans="1:9" x14ac:dyDescent="0.25">
      <c r="A12328">
        <v>20131220</v>
      </c>
      <c r="B12328" t="str">
        <f>"186316"</f>
        <v>186316</v>
      </c>
      <c r="C12328" t="str">
        <f>"81559"</f>
        <v>81559</v>
      </c>
      <c r="D12328" t="s">
        <v>5041</v>
      </c>
      <c r="E12328" s="1">
        <v>2236</v>
      </c>
      <c r="F12328">
        <v>20131220</v>
      </c>
      <c r="G12328" t="s">
        <v>5042</v>
      </c>
      <c r="H12328" t="s">
        <v>5113</v>
      </c>
      <c r="I12328" t="s">
        <v>29</v>
      </c>
    </row>
    <row r="12329" spans="1:9" x14ac:dyDescent="0.25">
      <c r="A12329">
        <v>20131220</v>
      </c>
      <c r="B12329" t="str">
        <f>"186317"</f>
        <v>186317</v>
      </c>
      <c r="C12329" t="str">
        <f>"22240"</f>
        <v>22240</v>
      </c>
      <c r="D12329" t="s">
        <v>1038</v>
      </c>
      <c r="E12329">
        <v>750</v>
      </c>
      <c r="F12329">
        <v>20131220</v>
      </c>
      <c r="G12329" t="s">
        <v>5043</v>
      </c>
      <c r="H12329" t="s">
        <v>5113</v>
      </c>
      <c r="I12329" t="s">
        <v>29</v>
      </c>
    </row>
    <row r="12330" spans="1:9" x14ac:dyDescent="0.25">
      <c r="A12330">
        <v>20131220</v>
      </c>
      <c r="B12330" t="str">
        <f>"186318"</f>
        <v>186318</v>
      </c>
      <c r="C12330" t="str">
        <f>"26330"</f>
        <v>26330</v>
      </c>
      <c r="D12330" t="s">
        <v>5044</v>
      </c>
      <c r="E12330">
        <v>340</v>
      </c>
      <c r="F12330">
        <v>20131220</v>
      </c>
      <c r="G12330" t="s">
        <v>5045</v>
      </c>
      <c r="H12330" t="s">
        <v>5113</v>
      </c>
      <c r="I12330" t="s">
        <v>29</v>
      </c>
    </row>
    <row r="12331" spans="1:9" x14ac:dyDescent="0.25">
      <c r="A12331">
        <v>20131220</v>
      </c>
      <c r="B12331" t="str">
        <f>"186319"</f>
        <v>186319</v>
      </c>
      <c r="C12331" t="str">
        <f>"26994"</f>
        <v>26994</v>
      </c>
      <c r="D12331" t="s">
        <v>548</v>
      </c>
      <c r="E12331" s="1">
        <v>2400</v>
      </c>
      <c r="F12331">
        <v>20131220</v>
      </c>
      <c r="G12331" t="s">
        <v>5046</v>
      </c>
      <c r="H12331" t="s">
        <v>5113</v>
      </c>
      <c r="I12331" t="s">
        <v>29</v>
      </c>
    </row>
    <row r="12332" spans="1:9" x14ac:dyDescent="0.25">
      <c r="A12332">
        <v>20131220</v>
      </c>
      <c r="B12332" t="str">
        <f>"186320"</f>
        <v>186320</v>
      </c>
      <c r="C12332" t="str">
        <f>"26990"</f>
        <v>26990</v>
      </c>
      <c r="D12332" t="s">
        <v>548</v>
      </c>
      <c r="E12332">
        <v>76.92</v>
      </c>
      <c r="F12332">
        <v>20131220</v>
      </c>
      <c r="G12332" t="s">
        <v>5047</v>
      </c>
      <c r="H12332" t="s">
        <v>5113</v>
      </c>
      <c r="I12332" t="s">
        <v>29</v>
      </c>
    </row>
    <row r="12333" spans="1:9" x14ac:dyDescent="0.25">
      <c r="A12333">
        <v>20131220</v>
      </c>
      <c r="B12333" t="str">
        <f t="shared" ref="B12333:B12358" si="709">"186321"</f>
        <v>186321</v>
      </c>
      <c r="C12333" t="str">
        <f t="shared" ref="C12333:C12358" si="710">"86432"</f>
        <v>86432</v>
      </c>
      <c r="D12333" t="s">
        <v>5048</v>
      </c>
      <c r="E12333" s="1">
        <v>3399.04</v>
      </c>
      <c r="F12333">
        <v>20131220</v>
      </c>
      <c r="G12333" t="s">
        <v>5049</v>
      </c>
      <c r="H12333" t="s">
        <v>5115</v>
      </c>
      <c r="I12333" t="s">
        <v>29</v>
      </c>
    </row>
    <row r="12334" spans="1:9" x14ac:dyDescent="0.25">
      <c r="A12334">
        <v>20131220</v>
      </c>
      <c r="B12334" t="str">
        <f t="shared" si="709"/>
        <v>186321</v>
      </c>
      <c r="C12334" t="str">
        <f t="shared" si="710"/>
        <v>86432</v>
      </c>
      <c r="D12334" t="s">
        <v>5048</v>
      </c>
      <c r="E12334">
        <v>54.23</v>
      </c>
      <c r="F12334">
        <v>20131220</v>
      </c>
      <c r="G12334" t="s">
        <v>5051</v>
      </c>
      <c r="H12334" t="s">
        <v>5115</v>
      </c>
      <c r="I12334" t="s">
        <v>29</v>
      </c>
    </row>
    <row r="12335" spans="1:9" x14ac:dyDescent="0.25">
      <c r="A12335">
        <v>20131220</v>
      </c>
      <c r="B12335" t="str">
        <f t="shared" si="709"/>
        <v>186321</v>
      </c>
      <c r="C12335" t="str">
        <f t="shared" si="710"/>
        <v>86432</v>
      </c>
      <c r="D12335" t="s">
        <v>5048</v>
      </c>
      <c r="E12335">
        <v>33.15</v>
      </c>
      <c r="F12335">
        <v>20131220</v>
      </c>
      <c r="G12335" t="s">
        <v>5052</v>
      </c>
      <c r="H12335" t="s">
        <v>5115</v>
      </c>
      <c r="I12335" t="s">
        <v>29</v>
      </c>
    </row>
    <row r="12336" spans="1:9" x14ac:dyDescent="0.25">
      <c r="A12336">
        <v>20131220</v>
      </c>
      <c r="B12336" t="str">
        <f t="shared" si="709"/>
        <v>186321</v>
      </c>
      <c r="C12336" t="str">
        <f t="shared" si="710"/>
        <v>86432</v>
      </c>
      <c r="D12336" t="s">
        <v>5048</v>
      </c>
      <c r="E12336" s="1">
        <v>20927.32</v>
      </c>
      <c r="F12336">
        <v>20131220</v>
      </c>
      <c r="G12336" t="s">
        <v>5053</v>
      </c>
      <c r="H12336" t="s">
        <v>5116</v>
      </c>
      <c r="I12336" t="s">
        <v>29</v>
      </c>
    </row>
    <row r="12337" spans="1:9" x14ac:dyDescent="0.25">
      <c r="A12337">
        <v>20131220</v>
      </c>
      <c r="B12337" t="str">
        <f t="shared" si="709"/>
        <v>186321</v>
      </c>
      <c r="C12337" t="str">
        <f t="shared" si="710"/>
        <v>86432</v>
      </c>
      <c r="D12337" t="s">
        <v>5048</v>
      </c>
      <c r="E12337" s="1">
        <v>2977.1</v>
      </c>
      <c r="F12337">
        <v>20131220</v>
      </c>
      <c r="G12337" t="s">
        <v>5055</v>
      </c>
      <c r="H12337" t="s">
        <v>5115</v>
      </c>
      <c r="I12337" t="s">
        <v>29</v>
      </c>
    </row>
    <row r="12338" spans="1:9" x14ac:dyDescent="0.25">
      <c r="A12338">
        <v>20131220</v>
      </c>
      <c r="B12338" t="str">
        <f t="shared" si="709"/>
        <v>186321</v>
      </c>
      <c r="C12338" t="str">
        <f t="shared" si="710"/>
        <v>86432</v>
      </c>
      <c r="D12338" t="s">
        <v>5048</v>
      </c>
      <c r="E12338" s="1">
        <v>3284.14</v>
      </c>
      <c r="F12338">
        <v>20131220</v>
      </c>
      <c r="G12338" t="s">
        <v>5056</v>
      </c>
      <c r="H12338" t="s">
        <v>5116</v>
      </c>
      <c r="I12338" t="s">
        <v>29</v>
      </c>
    </row>
    <row r="12339" spans="1:9" x14ac:dyDescent="0.25">
      <c r="A12339">
        <v>20131220</v>
      </c>
      <c r="B12339" t="str">
        <f t="shared" si="709"/>
        <v>186321</v>
      </c>
      <c r="C12339" t="str">
        <f t="shared" si="710"/>
        <v>86432</v>
      </c>
      <c r="D12339" t="s">
        <v>5048</v>
      </c>
      <c r="E12339">
        <v>231.71</v>
      </c>
      <c r="F12339">
        <v>20131220</v>
      </c>
      <c r="G12339" t="s">
        <v>5057</v>
      </c>
      <c r="H12339" t="s">
        <v>5116</v>
      </c>
      <c r="I12339" t="s">
        <v>29</v>
      </c>
    </row>
    <row r="12340" spans="1:9" x14ac:dyDescent="0.25">
      <c r="A12340">
        <v>20131220</v>
      </c>
      <c r="B12340" t="str">
        <f t="shared" si="709"/>
        <v>186321</v>
      </c>
      <c r="C12340" t="str">
        <f t="shared" si="710"/>
        <v>86432</v>
      </c>
      <c r="D12340" t="s">
        <v>5048</v>
      </c>
      <c r="E12340">
        <v>821.25</v>
      </c>
      <c r="F12340">
        <v>20131220</v>
      </c>
      <c r="G12340" t="s">
        <v>5058</v>
      </c>
      <c r="H12340" t="s">
        <v>5116</v>
      </c>
      <c r="I12340" t="s">
        <v>29</v>
      </c>
    </row>
    <row r="12341" spans="1:9" x14ac:dyDescent="0.25">
      <c r="A12341">
        <v>20131220</v>
      </c>
      <c r="B12341" t="str">
        <f t="shared" si="709"/>
        <v>186321</v>
      </c>
      <c r="C12341" t="str">
        <f t="shared" si="710"/>
        <v>86432</v>
      </c>
      <c r="D12341" t="s">
        <v>5048</v>
      </c>
      <c r="E12341">
        <v>60.65</v>
      </c>
      <c r="F12341">
        <v>20131220</v>
      </c>
      <c r="G12341" t="s">
        <v>5059</v>
      </c>
      <c r="H12341" t="s">
        <v>5116</v>
      </c>
      <c r="I12341" t="s">
        <v>29</v>
      </c>
    </row>
    <row r="12342" spans="1:9" x14ac:dyDescent="0.25">
      <c r="A12342">
        <v>20131220</v>
      </c>
      <c r="B12342" t="str">
        <f t="shared" si="709"/>
        <v>186321</v>
      </c>
      <c r="C12342" t="str">
        <f t="shared" si="710"/>
        <v>86432</v>
      </c>
      <c r="D12342" t="s">
        <v>5048</v>
      </c>
      <c r="E12342">
        <v>749.9</v>
      </c>
      <c r="F12342">
        <v>20131220</v>
      </c>
      <c r="G12342" t="s">
        <v>5060</v>
      </c>
      <c r="H12342" t="s">
        <v>5116</v>
      </c>
      <c r="I12342" t="s">
        <v>29</v>
      </c>
    </row>
    <row r="12343" spans="1:9" x14ac:dyDescent="0.25">
      <c r="A12343">
        <v>20131220</v>
      </c>
      <c r="B12343" t="str">
        <f t="shared" si="709"/>
        <v>186321</v>
      </c>
      <c r="C12343" t="str">
        <f t="shared" si="710"/>
        <v>86432</v>
      </c>
      <c r="D12343" t="s">
        <v>5048</v>
      </c>
      <c r="E12343">
        <v>278.8</v>
      </c>
      <c r="F12343">
        <v>20131220</v>
      </c>
      <c r="G12343" t="s">
        <v>5061</v>
      </c>
      <c r="H12343" t="s">
        <v>5116</v>
      </c>
      <c r="I12343" t="s">
        <v>29</v>
      </c>
    </row>
    <row r="12344" spans="1:9" x14ac:dyDescent="0.25">
      <c r="A12344">
        <v>20131220</v>
      </c>
      <c r="B12344" t="str">
        <f t="shared" si="709"/>
        <v>186321</v>
      </c>
      <c r="C12344" t="str">
        <f t="shared" si="710"/>
        <v>86432</v>
      </c>
      <c r="D12344" t="s">
        <v>5048</v>
      </c>
      <c r="E12344">
        <v>36.24</v>
      </c>
      <c r="F12344">
        <v>20131220</v>
      </c>
      <c r="G12344" t="s">
        <v>5062</v>
      </c>
      <c r="H12344" t="s">
        <v>5116</v>
      </c>
      <c r="I12344" t="s">
        <v>29</v>
      </c>
    </row>
    <row r="12345" spans="1:9" x14ac:dyDescent="0.25">
      <c r="A12345">
        <v>20131220</v>
      </c>
      <c r="B12345" t="str">
        <f t="shared" si="709"/>
        <v>186321</v>
      </c>
      <c r="C12345" t="str">
        <f t="shared" si="710"/>
        <v>86432</v>
      </c>
      <c r="D12345" t="s">
        <v>5048</v>
      </c>
      <c r="E12345" s="1">
        <v>17776.59</v>
      </c>
      <c r="F12345">
        <v>20131220</v>
      </c>
      <c r="G12345" t="s">
        <v>5063</v>
      </c>
      <c r="H12345" t="s">
        <v>5115</v>
      </c>
      <c r="I12345" t="s">
        <v>29</v>
      </c>
    </row>
    <row r="12346" spans="1:9" x14ac:dyDescent="0.25">
      <c r="A12346">
        <v>20131220</v>
      </c>
      <c r="B12346" t="str">
        <f t="shared" si="709"/>
        <v>186321</v>
      </c>
      <c r="C12346" t="str">
        <f t="shared" si="710"/>
        <v>86432</v>
      </c>
      <c r="D12346" t="s">
        <v>5048</v>
      </c>
      <c r="E12346" s="1">
        <v>12235.5</v>
      </c>
      <c r="F12346">
        <v>20131220</v>
      </c>
      <c r="G12346" t="s">
        <v>5064</v>
      </c>
      <c r="H12346" t="s">
        <v>5113</v>
      </c>
      <c r="I12346" t="s">
        <v>29</v>
      </c>
    </row>
    <row r="12347" spans="1:9" x14ac:dyDescent="0.25">
      <c r="A12347">
        <v>20131220</v>
      </c>
      <c r="B12347" t="str">
        <f t="shared" si="709"/>
        <v>186321</v>
      </c>
      <c r="C12347" t="str">
        <f t="shared" si="710"/>
        <v>86432</v>
      </c>
      <c r="D12347" t="s">
        <v>5048</v>
      </c>
      <c r="E12347" s="1">
        <v>4125</v>
      </c>
      <c r="F12347">
        <v>20131220</v>
      </c>
      <c r="G12347" t="s">
        <v>5065</v>
      </c>
      <c r="H12347" t="s">
        <v>5117</v>
      </c>
      <c r="I12347" t="s">
        <v>29</v>
      </c>
    </row>
    <row r="12348" spans="1:9" x14ac:dyDescent="0.25">
      <c r="A12348">
        <v>20131220</v>
      </c>
      <c r="B12348" t="str">
        <f t="shared" si="709"/>
        <v>186321</v>
      </c>
      <c r="C12348" t="str">
        <f t="shared" si="710"/>
        <v>86432</v>
      </c>
      <c r="D12348" t="s">
        <v>5048</v>
      </c>
      <c r="E12348">
        <v>125</v>
      </c>
      <c r="F12348">
        <v>20131220</v>
      </c>
      <c r="G12348" t="s">
        <v>5067</v>
      </c>
      <c r="H12348" t="s">
        <v>5117</v>
      </c>
      <c r="I12348" t="s">
        <v>29</v>
      </c>
    </row>
    <row r="12349" spans="1:9" x14ac:dyDescent="0.25">
      <c r="A12349">
        <v>20131220</v>
      </c>
      <c r="B12349" t="str">
        <f t="shared" si="709"/>
        <v>186321</v>
      </c>
      <c r="C12349" t="str">
        <f t="shared" si="710"/>
        <v>86432</v>
      </c>
      <c r="D12349" t="s">
        <v>5048</v>
      </c>
      <c r="E12349">
        <v>50</v>
      </c>
      <c r="F12349">
        <v>20131220</v>
      </c>
      <c r="G12349" t="s">
        <v>5068</v>
      </c>
      <c r="H12349" t="s">
        <v>5117</v>
      </c>
      <c r="I12349" t="s">
        <v>29</v>
      </c>
    </row>
    <row r="12350" spans="1:9" x14ac:dyDescent="0.25">
      <c r="A12350">
        <v>20131220</v>
      </c>
      <c r="B12350" t="str">
        <f t="shared" si="709"/>
        <v>186321</v>
      </c>
      <c r="C12350" t="str">
        <f t="shared" si="710"/>
        <v>86432</v>
      </c>
      <c r="D12350" t="s">
        <v>5048</v>
      </c>
      <c r="E12350" s="1">
        <v>1753</v>
      </c>
      <c r="F12350">
        <v>20131220</v>
      </c>
      <c r="G12350" t="s">
        <v>5069</v>
      </c>
      <c r="H12350" t="s">
        <v>5117</v>
      </c>
      <c r="I12350" t="s">
        <v>29</v>
      </c>
    </row>
    <row r="12351" spans="1:9" x14ac:dyDescent="0.25">
      <c r="A12351">
        <v>20131220</v>
      </c>
      <c r="B12351" t="str">
        <f t="shared" si="709"/>
        <v>186321</v>
      </c>
      <c r="C12351" t="str">
        <f t="shared" si="710"/>
        <v>86432</v>
      </c>
      <c r="D12351" t="s">
        <v>5048</v>
      </c>
      <c r="E12351">
        <v>175</v>
      </c>
      <c r="F12351">
        <v>20131220</v>
      </c>
      <c r="G12351" t="s">
        <v>5070</v>
      </c>
      <c r="H12351" t="s">
        <v>5117</v>
      </c>
      <c r="I12351" t="s">
        <v>29</v>
      </c>
    </row>
    <row r="12352" spans="1:9" x14ac:dyDescent="0.25">
      <c r="A12352">
        <v>20131220</v>
      </c>
      <c r="B12352" t="str">
        <f t="shared" si="709"/>
        <v>186321</v>
      </c>
      <c r="C12352" t="str">
        <f t="shared" si="710"/>
        <v>86432</v>
      </c>
      <c r="D12352" t="s">
        <v>5048</v>
      </c>
      <c r="E12352">
        <v>550</v>
      </c>
      <c r="F12352">
        <v>20131220</v>
      </c>
      <c r="G12352" t="s">
        <v>5071</v>
      </c>
      <c r="H12352" t="s">
        <v>5117</v>
      </c>
      <c r="I12352" t="s">
        <v>29</v>
      </c>
    </row>
    <row r="12353" spans="1:9" x14ac:dyDescent="0.25">
      <c r="A12353">
        <v>20131220</v>
      </c>
      <c r="B12353" t="str">
        <f t="shared" si="709"/>
        <v>186321</v>
      </c>
      <c r="C12353" t="str">
        <f t="shared" si="710"/>
        <v>86432</v>
      </c>
      <c r="D12353" t="s">
        <v>5048</v>
      </c>
      <c r="E12353" s="1">
        <v>2983.33</v>
      </c>
      <c r="F12353">
        <v>20131220</v>
      </c>
      <c r="G12353" t="s">
        <v>5072</v>
      </c>
      <c r="H12353" t="s">
        <v>5117</v>
      </c>
      <c r="I12353" t="s">
        <v>29</v>
      </c>
    </row>
    <row r="12354" spans="1:9" x14ac:dyDescent="0.25">
      <c r="A12354">
        <v>20131220</v>
      </c>
      <c r="B12354" t="str">
        <f t="shared" si="709"/>
        <v>186321</v>
      </c>
      <c r="C12354" t="str">
        <f t="shared" si="710"/>
        <v>86432</v>
      </c>
      <c r="D12354" t="s">
        <v>5048</v>
      </c>
      <c r="E12354" s="1">
        <v>1995</v>
      </c>
      <c r="F12354">
        <v>20131220</v>
      </c>
      <c r="G12354" t="s">
        <v>5073</v>
      </c>
      <c r="H12354" t="s">
        <v>5117</v>
      </c>
      <c r="I12354" t="s">
        <v>29</v>
      </c>
    </row>
    <row r="12355" spans="1:9" x14ac:dyDescent="0.25">
      <c r="A12355">
        <v>20131220</v>
      </c>
      <c r="B12355" t="str">
        <f t="shared" si="709"/>
        <v>186321</v>
      </c>
      <c r="C12355" t="str">
        <f t="shared" si="710"/>
        <v>86432</v>
      </c>
      <c r="D12355" t="s">
        <v>5048</v>
      </c>
      <c r="E12355">
        <v>485</v>
      </c>
      <c r="F12355">
        <v>20131220</v>
      </c>
      <c r="G12355" t="s">
        <v>5074</v>
      </c>
      <c r="H12355" t="s">
        <v>5117</v>
      </c>
      <c r="I12355" t="s">
        <v>29</v>
      </c>
    </row>
    <row r="12356" spans="1:9" x14ac:dyDescent="0.25">
      <c r="A12356">
        <v>20131220</v>
      </c>
      <c r="B12356" t="str">
        <f t="shared" si="709"/>
        <v>186321</v>
      </c>
      <c r="C12356" t="str">
        <f t="shared" si="710"/>
        <v>86432</v>
      </c>
      <c r="D12356" t="s">
        <v>5048</v>
      </c>
      <c r="E12356">
        <v>300</v>
      </c>
      <c r="F12356">
        <v>20131220</v>
      </c>
      <c r="G12356" t="s">
        <v>5075</v>
      </c>
      <c r="H12356" t="s">
        <v>5117</v>
      </c>
      <c r="I12356" t="s">
        <v>29</v>
      </c>
    </row>
    <row r="12357" spans="1:9" x14ac:dyDescent="0.25">
      <c r="A12357">
        <v>20131220</v>
      </c>
      <c r="B12357" t="str">
        <f t="shared" si="709"/>
        <v>186321</v>
      </c>
      <c r="C12357" t="str">
        <f t="shared" si="710"/>
        <v>86432</v>
      </c>
      <c r="D12357" t="s">
        <v>5048</v>
      </c>
      <c r="E12357">
        <v>575</v>
      </c>
      <c r="F12357">
        <v>20131220</v>
      </c>
      <c r="G12357" t="s">
        <v>5076</v>
      </c>
      <c r="H12357" t="s">
        <v>5117</v>
      </c>
      <c r="I12357" t="s">
        <v>29</v>
      </c>
    </row>
    <row r="12358" spans="1:9" x14ac:dyDescent="0.25">
      <c r="A12358">
        <v>20131220</v>
      </c>
      <c r="B12358" t="str">
        <f t="shared" si="709"/>
        <v>186321</v>
      </c>
      <c r="C12358" t="str">
        <f t="shared" si="710"/>
        <v>86432</v>
      </c>
      <c r="D12358" t="s">
        <v>5048</v>
      </c>
      <c r="E12358" s="1">
        <v>17168.86</v>
      </c>
      <c r="F12358">
        <v>20131220</v>
      </c>
      <c r="G12358" t="s">
        <v>5077</v>
      </c>
      <c r="H12358" t="s">
        <v>5118</v>
      </c>
      <c r="I12358" t="s">
        <v>29</v>
      </c>
    </row>
    <row r="12359" spans="1:9" x14ac:dyDescent="0.25">
      <c r="A12359">
        <v>20131220</v>
      </c>
      <c r="B12359" t="str">
        <f>"186322"</f>
        <v>186322</v>
      </c>
      <c r="C12359" t="str">
        <f>"85294"</f>
        <v>85294</v>
      </c>
      <c r="D12359" t="s">
        <v>5079</v>
      </c>
      <c r="E12359">
        <v>250.41</v>
      </c>
      <c r="F12359">
        <v>20131220</v>
      </c>
      <c r="G12359" t="s">
        <v>5080</v>
      </c>
      <c r="H12359" t="s">
        <v>5116</v>
      </c>
      <c r="I12359" t="s">
        <v>29</v>
      </c>
    </row>
    <row r="12360" spans="1:9" x14ac:dyDescent="0.25">
      <c r="A12360">
        <v>20131220</v>
      </c>
      <c r="B12360" t="str">
        <f>"186323"</f>
        <v>186323</v>
      </c>
      <c r="C12360" t="str">
        <f>"69390"</f>
        <v>69390</v>
      </c>
      <c r="D12360" t="s">
        <v>5081</v>
      </c>
      <c r="E12360">
        <v>260</v>
      </c>
      <c r="F12360">
        <v>20131220</v>
      </c>
      <c r="G12360" t="s">
        <v>5082</v>
      </c>
      <c r="H12360" t="s">
        <v>5113</v>
      </c>
      <c r="I12360" t="s">
        <v>29</v>
      </c>
    </row>
    <row r="12361" spans="1:9" x14ac:dyDescent="0.25">
      <c r="A12361">
        <v>20131220</v>
      </c>
      <c r="B12361" t="str">
        <f>"186324"</f>
        <v>186324</v>
      </c>
      <c r="C12361" t="str">
        <f>"70763"</f>
        <v>70763</v>
      </c>
      <c r="D12361" t="s">
        <v>5083</v>
      </c>
      <c r="E12361">
        <v>93.36</v>
      </c>
      <c r="F12361">
        <v>20131220</v>
      </c>
      <c r="G12361" t="s">
        <v>5084</v>
      </c>
      <c r="H12361" t="s">
        <v>5113</v>
      </c>
      <c r="I12361" t="s">
        <v>29</v>
      </c>
    </row>
    <row r="12362" spans="1:9" x14ac:dyDescent="0.25">
      <c r="A12362">
        <v>20131220</v>
      </c>
      <c r="B12362" t="str">
        <f>"186325"</f>
        <v>186325</v>
      </c>
      <c r="C12362" t="str">
        <f>"70692"</f>
        <v>70692</v>
      </c>
      <c r="D12362" t="s">
        <v>5085</v>
      </c>
      <c r="E12362">
        <v>609.27</v>
      </c>
      <c r="F12362">
        <v>20131220</v>
      </c>
      <c r="G12362" t="s">
        <v>5086</v>
      </c>
      <c r="H12362" t="s">
        <v>5113</v>
      </c>
      <c r="I12362" t="s">
        <v>29</v>
      </c>
    </row>
    <row r="12363" spans="1:9" x14ac:dyDescent="0.25">
      <c r="A12363">
        <v>20131220</v>
      </c>
      <c r="B12363" t="str">
        <f>"186326"</f>
        <v>186326</v>
      </c>
      <c r="C12363" t="str">
        <f>"70774"</f>
        <v>70774</v>
      </c>
      <c r="D12363" t="s">
        <v>5087</v>
      </c>
      <c r="E12363" s="1">
        <v>1133.8399999999999</v>
      </c>
      <c r="F12363">
        <v>20131220</v>
      </c>
      <c r="G12363" t="s">
        <v>5088</v>
      </c>
      <c r="H12363" t="s">
        <v>5113</v>
      </c>
      <c r="I12363" t="s">
        <v>29</v>
      </c>
    </row>
    <row r="12364" spans="1:9" x14ac:dyDescent="0.25">
      <c r="A12364">
        <v>20131220</v>
      </c>
      <c r="B12364" t="str">
        <f>"186327"</f>
        <v>186327</v>
      </c>
      <c r="C12364" t="str">
        <f>"70777"</f>
        <v>70777</v>
      </c>
      <c r="D12364" t="s">
        <v>5089</v>
      </c>
      <c r="E12364">
        <v>16.25</v>
      </c>
      <c r="F12364">
        <v>20131220</v>
      </c>
      <c r="G12364" t="s">
        <v>5090</v>
      </c>
      <c r="H12364" t="s">
        <v>5113</v>
      </c>
      <c r="I12364" t="s">
        <v>29</v>
      </c>
    </row>
    <row r="12365" spans="1:9" x14ac:dyDescent="0.25">
      <c r="A12365">
        <v>20131220</v>
      </c>
      <c r="B12365" t="str">
        <f>"186328"</f>
        <v>186328</v>
      </c>
      <c r="C12365" t="str">
        <f>"72502"</f>
        <v>72502</v>
      </c>
      <c r="D12365" t="s">
        <v>5091</v>
      </c>
      <c r="E12365">
        <v>330.44</v>
      </c>
      <c r="F12365">
        <v>20131220</v>
      </c>
      <c r="G12365" t="s">
        <v>5092</v>
      </c>
      <c r="H12365" t="s">
        <v>5113</v>
      </c>
      <c r="I12365" t="s">
        <v>29</v>
      </c>
    </row>
    <row r="12366" spans="1:9" x14ac:dyDescent="0.25">
      <c r="A12366">
        <v>20131220</v>
      </c>
      <c r="B12366" t="str">
        <f>"186329"</f>
        <v>186329</v>
      </c>
      <c r="C12366" t="str">
        <f>"83361"</f>
        <v>83361</v>
      </c>
      <c r="D12366" t="s">
        <v>5093</v>
      </c>
      <c r="E12366" s="1">
        <v>2359.5</v>
      </c>
      <c r="F12366">
        <v>20131220</v>
      </c>
      <c r="G12366" t="s">
        <v>5094</v>
      </c>
      <c r="H12366" t="s">
        <v>5113</v>
      </c>
      <c r="I12366" t="s">
        <v>29</v>
      </c>
    </row>
    <row r="12367" spans="1:9" x14ac:dyDescent="0.25">
      <c r="A12367">
        <v>20131220</v>
      </c>
      <c r="B12367" t="str">
        <f>"186330"</f>
        <v>186330</v>
      </c>
      <c r="C12367" t="str">
        <f>"83209"</f>
        <v>83209</v>
      </c>
      <c r="D12367" t="s">
        <v>5097</v>
      </c>
      <c r="E12367">
        <v>385.99</v>
      </c>
      <c r="F12367">
        <v>20131220</v>
      </c>
      <c r="G12367" t="s">
        <v>5098</v>
      </c>
      <c r="H12367" t="s">
        <v>5113</v>
      </c>
      <c r="I12367" t="s">
        <v>29</v>
      </c>
    </row>
    <row r="12368" spans="1:9" x14ac:dyDescent="0.25">
      <c r="A12368">
        <v>20131220</v>
      </c>
      <c r="B12368" t="str">
        <f>"186331"</f>
        <v>186331</v>
      </c>
      <c r="C12368" t="str">
        <f>"76675"</f>
        <v>76675</v>
      </c>
      <c r="D12368" t="s">
        <v>5099</v>
      </c>
      <c r="E12368">
        <v>200</v>
      </c>
      <c r="F12368">
        <v>20131220</v>
      </c>
      <c r="G12368" t="s">
        <v>5100</v>
      </c>
      <c r="H12368" t="s">
        <v>5113</v>
      </c>
      <c r="I12368" t="s">
        <v>29</v>
      </c>
    </row>
    <row r="12369" spans="1:9" x14ac:dyDescent="0.25">
      <c r="A12369">
        <v>20140124</v>
      </c>
      <c r="B12369" t="str">
        <f>"186494"</f>
        <v>186494</v>
      </c>
      <c r="C12369" t="str">
        <f>"86972"</f>
        <v>86972</v>
      </c>
      <c r="D12369" t="s">
        <v>5033</v>
      </c>
      <c r="E12369">
        <v>485.74</v>
      </c>
      <c r="F12369">
        <v>20140124</v>
      </c>
      <c r="G12369" t="s">
        <v>5034</v>
      </c>
      <c r="H12369" t="s">
        <v>5119</v>
      </c>
      <c r="I12369" t="s">
        <v>29</v>
      </c>
    </row>
    <row r="12370" spans="1:9" x14ac:dyDescent="0.25">
      <c r="A12370">
        <v>20140124</v>
      </c>
      <c r="B12370" t="str">
        <f>"186495"</f>
        <v>186495</v>
      </c>
      <c r="C12370" t="str">
        <f>"07258"</f>
        <v>07258</v>
      </c>
      <c r="D12370" t="s">
        <v>5036</v>
      </c>
      <c r="E12370" s="1">
        <v>3019.98</v>
      </c>
      <c r="F12370">
        <v>20140124</v>
      </c>
      <c r="G12370" t="s">
        <v>5037</v>
      </c>
      <c r="H12370" t="s">
        <v>5119</v>
      </c>
      <c r="I12370" t="s">
        <v>29</v>
      </c>
    </row>
    <row r="12371" spans="1:9" x14ac:dyDescent="0.25">
      <c r="A12371">
        <v>20140124</v>
      </c>
      <c r="B12371" t="str">
        <f>"186496"</f>
        <v>186496</v>
      </c>
      <c r="C12371" t="str">
        <f>"16955"</f>
        <v>16955</v>
      </c>
      <c r="D12371" t="s">
        <v>5038</v>
      </c>
      <c r="E12371" s="1">
        <v>75158.880000000005</v>
      </c>
      <c r="F12371">
        <v>20140124</v>
      </c>
      <c r="G12371" t="s">
        <v>5039</v>
      </c>
      <c r="H12371" t="s">
        <v>5120</v>
      </c>
      <c r="I12371" t="s">
        <v>29</v>
      </c>
    </row>
    <row r="12372" spans="1:9" x14ac:dyDescent="0.25">
      <c r="A12372">
        <v>20140124</v>
      </c>
      <c r="B12372" t="str">
        <f>"186497"</f>
        <v>186497</v>
      </c>
      <c r="C12372" t="str">
        <f>"81559"</f>
        <v>81559</v>
      </c>
      <c r="D12372" t="s">
        <v>5041</v>
      </c>
      <c r="E12372" s="1">
        <v>2236</v>
      </c>
      <c r="F12372">
        <v>20140124</v>
      </c>
      <c r="G12372" t="s">
        <v>5042</v>
      </c>
      <c r="H12372" t="s">
        <v>5119</v>
      </c>
      <c r="I12372" t="s">
        <v>29</v>
      </c>
    </row>
    <row r="12373" spans="1:9" x14ac:dyDescent="0.25">
      <c r="A12373">
        <v>20140124</v>
      </c>
      <c r="B12373" t="str">
        <f>"186498"</f>
        <v>186498</v>
      </c>
      <c r="C12373" t="str">
        <f>"22240"</f>
        <v>22240</v>
      </c>
      <c r="D12373" t="s">
        <v>1038</v>
      </c>
      <c r="E12373">
        <v>750</v>
      </c>
      <c r="F12373">
        <v>20140124</v>
      </c>
      <c r="G12373" t="s">
        <v>5043</v>
      </c>
      <c r="H12373" t="s">
        <v>5119</v>
      </c>
      <c r="I12373" t="s">
        <v>29</v>
      </c>
    </row>
    <row r="12374" spans="1:9" x14ac:dyDescent="0.25">
      <c r="A12374">
        <v>20140124</v>
      </c>
      <c r="B12374" t="str">
        <f>"186499"</f>
        <v>186499</v>
      </c>
      <c r="C12374" t="str">
        <f>"26330"</f>
        <v>26330</v>
      </c>
      <c r="D12374" t="s">
        <v>5044</v>
      </c>
      <c r="E12374">
        <v>340</v>
      </c>
      <c r="F12374">
        <v>20140124</v>
      </c>
      <c r="G12374" t="s">
        <v>5045</v>
      </c>
      <c r="H12374" t="s">
        <v>5119</v>
      </c>
      <c r="I12374" t="s">
        <v>29</v>
      </c>
    </row>
    <row r="12375" spans="1:9" x14ac:dyDescent="0.25">
      <c r="A12375">
        <v>20140124</v>
      </c>
      <c r="B12375" t="str">
        <f>"186500"</f>
        <v>186500</v>
      </c>
      <c r="C12375" t="str">
        <f>"26994"</f>
        <v>26994</v>
      </c>
      <c r="D12375" t="s">
        <v>548</v>
      </c>
      <c r="E12375" s="1">
        <v>2400</v>
      </c>
      <c r="F12375">
        <v>20140124</v>
      </c>
      <c r="G12375" t="s">
        <v>5046</v>
      </c>
      <c r="H12375" t="s">
        <v>5119</v>
      </c>
      <c r="I12375" t="s">
        <v>29</v>
      </c>
    </row>
    <row r="12376" spans="1:9" x14ac:dyDescent="0.25">
      <c r="A12376">
        <v>20140124</v>
      </c>
      <c r="B12376" t="str">
        <f>"186501"</f>
        <v>186501</v>
      </c>
      <c r="C12376" t="str">
        <f>"26990"</f>
        <v>26990</v>
      </c>
      <c r="D12376" t="s">
        <v>548</v>
      </c>
      <c r="E12376">
        <v>76.92</v>
      </c>
      <c r="F12376">
        <v>20140124</v>
      </c>
      <c r="G12376" t="s">
        <v>5047</v>
      </c>
      <c r="H12376" t="s">
        <v>5119</v>
      </c>
      <c r="I12376" t="s">
        <v>29</v>
      </c>
    </row>
    <row r="12377" spans="1:9" x14ac:dyDescent="0.25">
      <c r="A12377">
        <v>20140124</v>
      </c>
      <c r="B12377" t="str">
        <f t="shared" ref="B12377:B12402" si="711">"186502"</f>
        <v>186502</v>
      </c>
      <c r="C12377" t="str">
        <f t="shared" ref="C12377:C12402" si="712">"86432"</f>
        <v>86432</v>
      </c>
      <c r="D12377" t="s">
        <v>5048</v>
      </c>
      <c r="E12377" s="1">
        <v>3399.04</v>
      </c>
      <c r="F12377">
        <v>20140124</v>
      </c>
      <c r="G12377" t="s">
        <v>5049</v>
      </c>
      <c r="H12377" t="s">
        <v>5121</v>
      </c>
      <c r="I12377" t="s">
        <v>29</v>
      </c>
    </row>
    <row r="12378" spans="1:9" x14ac:dyDescent="0.25">
      <c r="A12378">
        <v>20140124</v>
      </c>
      <c r="B12378" t="str">
        <f t="shared" si="711"/>
        <v>186502</v>
      </c>
      <c r="C12378" t="str">
        <f t="shared" si="712"/>
        <v>86432</v>
      </c>
      <c r="D12378" t="s">
        <v>5048</v>
      </c>
      <c r="E12378">
        <v>54.23</v>
      </c>
      <c r="F12378">
        <v>20140124</v>
      </c>
      <c r="G12378" t="s">
        <v>5051</v>
      </c>
      <c r="H12378" t="s">
        <v>5121</v>
      </c>
      <c r="I12378" t="s">
        <v>29</v>
      </c>
    </row>
    <row r="12379" spans="1:9" x14ac:dyDescent="0.25">
      <c r="A12379">
        <v>20140124</v>
      </c>
      <c r="B12379" t="str">
        <f t="shared" si="711"/>
        <v>186502</v>
      </c>
      <c r="C12379" t="str">
        <f t="shared" si="712"/>
        <v>86432</v>
      </c>
      <c r="D12379" t="s">
        <v>5048</v>
      </c>
      <c r="E12379">
        <v>33.15</v>
      </c>
      <c r="F12379">
        <v>20140124</v>
      </c>
      <c r="G12379" t="s">
        <v>5052</v>
      </c>
      <c r="H12379" t="s">
        <v>5121</v>
      </c>
      <c r="I12379" t="s">
        <v>29</v>
      </c>
    </row>
    <row r="12380" spans="1:9" x14ac:dyDescent="0.25">
      <c r="A12380">
        <v>20140124</v>
      </c>
      <c r="B12380" t="str">
        <f t="shared" si="711"/>
        <v>186502</v>
      </c>
      <c r="C12380" t="str">
        <f t="shared" si="712"/>
        <v>86432</v>
      </c>
      <c r="D12380" t="s">
        <v>5048</v>
      </c>
      <c r="E12380" s="1">
        <v>20759.48</v>
      </c>
      <c r="F12380">
        <v>20140124</v>
      </c>
      <c r="G12380" t="s">
        <v>5053</v>
      </c>
      <c r="H12380" t="s">
        <v>5122</v>
      </c>
      <c r="I12380" t="s">
        <v>29</v>
      </c>
    </row>
    <row r="12381" spans="1:9" x14ac:dyDescent="0.25">
      <c r="A12381">
        <v>20140124</v>
      </c>
      <c r="B12381" t="str">
        <f t="shared" si="711"/>
        <v>186502</v>
      </c>
      <c r="C12381" t="str">
        <f t="shared" si="712"/>
        <v>86432</v>
      </c>
      <c r="D12381" t="s">
        <v>5048</v>
      </c>
      <c r="E12381" s="1">
        <v>2922</v>
      </c>
      <c r="F12381">
        <v>20140124</v>
      </c>
      <c r="G12381" t="s">
        <v>5055</v>
      </c>
      <c r="H12381" t="s">
        <v>5121</v>
      </c>
      <c r="I12381" t="s">
        <v>29</v>
      </c>
    </row>
    <row r="12382" spans="1:9" x14ac:dyDescent="0.25">
      <c r="A12382">
        <v>20140124</v>
      </c>
      <c r="B12382" t="str">
        <f t="shared" si="711"/>
        <v>186502</v>
      </c>
      <c r="C12382" t="str">
        <f t="shared" si="712"/>
        <v>86432</v>
      </c>
      <c r="D12382" t="s">
        <v>5048</v>
      </c>
      <c r="E12382" s="1">
        <v>3272.33</v>
      </c>
      <c r="F12382">
        <v>20140124</v>
      </c>
      <c r="G12382" t="s">
        <v>5056</v>
      </c>
      <c r="H12382" t="s">
        <v>5122</v>
      </c>
      <c r="I12382" t="s">
        <v>29</v>
      </c>
    </row>
    <row r="12383" spans="1:9" x14ac:dyDescent="0.25">
      <c r="A12383">
        <v>20140124</v>
      </c>
      <c r="B12383" t="str">
        <f t="shared" si="711"/>
        <v>186502</v>
      </c>
      <c r="C12383" t="str">
        <f t="shared" si="712"/>
        <v>86432</v>
      </c>
      <c r="D12383" t="s">
        <v>5048</v>
      </c>
      <c r="E12383">
        <v>231.71</v>
      </c>
      <c r="F12383">
        <v>20140124</v>
      </c>
      <c r="G12383" t="s">
        <v>5057</v>
      </c>
      <c r="H12383" t="s">
        <v>5122</v>
      </c>
      <c r="I12383" t="s">
        <v>29</v>
      </c>
    </row>
    <row r="12384" spans="1:9" x14ac:dyDescent="0.25">
      <c r="A12384">
        <v>20140124</v>
      </c>
      <c r="B12384" t="str">
        <f t="shared" si="711"/>
        <v>186502</v>
      </c>
      <c r="C12384" t="str">
        <f t="shared" si="712"/>
        <v>86432</v>
      </c>
      <c r="D12384" t="s">
        <v>5048</v>
      </c>
      <c r="E12384">
        <v>821.25</v>
      </c>
      <c r="F12384">
        <v>20140124</v>
      </c>
      <c r="G12384" t="s">
        <v>5058</v>
      </c>
      <c r="H12384" t="s">
        <v>5122</v>
      </c>
      <c r="I12384" t="s">
        <v>29</v>
      </c>
    </row>
    <row r="12385" spans="1:9" x14ac:dyDescent="0.25">
      <c r="A12385">
        <v>20140124</v>
      </c>
      <c r="B12385" t="str">
        <f t="shared" si="711"/>
        <v>186502</v>
      </c>
      <c r="C12385" t="str">
        <f t="shared" si="712"/>
        <v>86432</v>
      </c>
      <c r="D12385" t="s">
        <v>5048</v>
      </c>
      <c r="E12385">
        <v>60.65</v>
      </c>
      <c r="F12385">
        <v>20140124</v>
      </c>
      <c r="G12385" t="s">
        <v>5059</v>
      </c>
      <c r="H12385" t="s">
        <v>5122</v>
      </c>
      <c r="I12385" t="s">
        <v>29</v>
      </c>
    </row>
    <row r="12386" spans="1:9" x14ac:dyDescent="0.25">
      <c r="A12386">
        <v>20140124</v>
      </c>
      <c r="B12386" t="str">
        <f t="shared" si="711"/>
        <v>186502</v>
      </c>
      <c r="C12386" t="str">
        <f t="shared" si="712"/>
        <v>86432</v>
      </c>
      <c r="D12386" t="s">
        <v>5048</v>
      </c>
      <c r="E12386">
        <v>749.9</v>
      </c>
      <c r="F12386">
        <v>20140124</v>
      </c>
      <c r="G12386" t="s">
        <v>5060</v>
      </c>
      <c r="H12386" t="s">
        <v>5122</v>
      </c>
      <c r="I12386" t="s">
        <v>29</v>
      </c>
    </row>
    <row r="12387" spans="1:9" x14ac:dyDescent="0.25">
      <c r="A12387">
        <v>20140124</v>
      </c>
      <c r="B12387" t="str">
        <f t="shared" si="711"/>
        <v>186502</v>
      </c>
      <c r="C12387" t="str">
        <f t="shared" si="712"/>
        <v>86432</v>
      </c>
      <c r="D12387" t="s">
        <v>5048</v>
      </c>
      <c r="E12387">
        <v>394.4</v>
      </c>
      <c r="F12387">
        <v>20140124</v>
      </c>
      <c r="G12387" t="s">
        <v>5061</v>
      </c>
      <c r="H12387" t="s">
        <v>5122</v>
      </c>
      <c r="I12387" t="s">
        <v>29</v>
      </c>
    </row>
    <row r="12388" spans="1:9" x14ac:dyDescent="0.25">
      <c r="A12388">
        <v>20140124</v>
      </c>
      <c r="B12388" t="str">
        <f t="shared" si="711"/>
        <v>186502</v>
      </c>
      <c r="C12388" t="str">
        <f t="shared" si="712"/>
        <v>86432</v>
      </c>
      <c r="D12388" t="s">
        <v>5048</v>
      </c>
      <c r="E12388">
        <v>36.24</v>
      </c>
      <c r="F12388">
        <v>20140124</v>
      </c>
      <c r="G12388" t="s">
        <v>5062</v>
      </c>
      <c r="H12388" t="s">
        <v>5122</v>
      </c>
      <c r="I12388" t="s">
        <v>29</v>
      </c>
    </row>
    <row r="12389" spans="1:9" x14ac:dyDescent="0.25">
      <c r="A12389">
        <v>20140124</v>
      </c>
      <c r="B12389" t="str">
        <f t="shared" si="711"/>
        <v>186502</v>
      </c>
      <c r="C12389" t="str">
        <f t="shared" si="712"/>
        <v>86432</v>
      </c>
      <c r="D12389" t="s">
        <v>5048</v>
      </c>
      <c r="E12389" s="1">
        <v>17776.59</v>
      </c>
      <c r="F12389">
        <v>20140124</v>
      </c>
      <c r="G12389" t="s">
        <v>5063</v>
      </c>
      <c r="H12389" t="s">
        <v>5121</v>
      </c>
      <c r="I12389" t="s">
        <v>29</v>
      </c>
    </row>
    <row r="12390" spans="1:9" x14ac:dyDescent="0.25">
      <c r="A12390">
        <v>20140124</v>
      </c>
      <c r="B12390" t="str">
        <f t="shared" si="711"/>
        <v>186502</v>
      </c>
      <c r="C12390" t="str">
        <f t="shared" si="712"/>
        <v>86432</v>
      </c>
      <c r="D12390" t="s">
        <v>5048</v>
      </c>
      <c r="E12390" s="1">
        <v>12285.5</v>
      </c>
      <c r="F12390">
        <v>20140124</v>
      </c>
      <c r="G12390" t="s">
        <v>5064</v>
      </c>
      <c r="H12390" t="s">
        <v>5119</v>
      </c>
      <c r="I12390" t="s">
        <v>29</v>
      </c>
    </row>
    <row r="12391" spans="1:9" x14ac:dyDescent="0.25">
      <c r="A12391">
        <v>20140124</v>
      </c>
      <c r="B12391" t="str">
        <f t="shared" si="711"/>
        <v>186502</v>
      </c>
      <c r="C12391" t="str">
        <f t="shared" si="712"/>
        <v>86432</v>
      </c>
      <c r="D12391" t="s">
        <v>5048</v>
      </c>
      <c r="E12391" s="1">
        <v>4125</v>
      </c>
      <c r="F12391">
        <v>20140124</v>
      </c>
      <c r="G12391" t="s">
        <v>5065</v>
      </c>
      <c r="H12391" t="s">
        <v>5123</v>
      </c>
      <c r="I12391" t="s">
        <v>29</v>
      </c>
    </row>
    <row r="12392" spans="1:9" x14ac:dyDescent="0.25">
      <c r="A12392">
        <v>20140124</v>
      </c>
      <c r="B12392" t="str">
        <f t="shared" si="711"/>
        <v>186502</v>
      </c>
      <c r="C12392" t="str">
        <f t="shared" si="712"/>
        <v>86432</v>
      </c>
      <c r="D12392" t="s">
        <v>5048</v>
      </c>
      <c r="E12392">
        <v>125</v>
      </c>
      <c r="F12392">
        <v>20140124</v>
      </c>
      <c r="G12392" t="s">
        <v>5067</v>
      </c>
      <c r="H12392" t="s">
        <v>5123</v>
      </c>
      <c r="I12392" t="s">
        <v>29</v>
      </c>
    </row>
    <row r="12393" spans="1:9" x14ac:dyDescent="0.25">
      <c r="A12393">
        <v>20140124</v>
      </c>
      <c r="B12393" t="str">
        <f t="shared" si="711"/>
        <v>186502</v>
      </c>
      <c r="C12393" t="str">
        <f t="shared" si="712"/>
        <v>86432</v>
      </c>
      <c r="D12393" t="s">
        <v>5048</v>
      </c>
      <c r="E12393">
        <v>50</v>
      </c>
      <c r="F12393">
        <v>20140124</v>
      </c>
      <c r="G12393" t="s">
        <v>5068</v>
      </c>
      <c r="H12393" t="s">
        <v>5123</v>
      </c>
      <c r="I12393" t="s">
        <v>29</v>
      </c>
    </row>
    <row r="12394" spans="1:9" x14ac:dyDescent="0.25">
      <c r="A12394">
        <v>20140124</v>
      </c>
      <c r="B12394" t="str">
        <f t="shared" si="711"/>
        <v>186502</v>
      </c>
      <c r="C12394" t="str">
        <f t="shared" si="712"/>
        <v>86432</v>
      </c>
      <c r="D12394" t="s">
        <v>5048</v>
      </c>
      <c r="E12394" s="1">
        <v>1753</v>
      </c>
      <c r="F12394">
        <v>20140124</v>
      </c>
      <c r="G12394" t="s">
        <v>5069</v>
      </c>
      <c r="H12394" t="s">
        <v>5123</v>
      </c>
      <c r="I12394" t="s">
        <v>29</v>
      </c>
    </row>
    <row r="12395" spans="1:9" x14ac:dyDescent="0.25">
      <c r="A12395">
        <v>20140124</v>
      </c>
      <c r="B12395" t="str">
        <f t="shared" si="711"/>
        <v>186502</v>
      </c>
      <c r="C12395" t="str">
        <f t="shared" si="712"/>
        <v>86432</v>
      </c>
      <c r="D12395" t="s">
        <v>5048</v>
      </c>
      <c r="E12395">
        <v>175</v>
      </c>
      <c r="F12395">
        <v>20140124</v>
      </c>
      <c r="G12395" t="s">
        <v>5070</v>
      </c>
      <c r="H12395" t="s">
        <v>5123</v>
      </c>
      <c r="I12395" t="s">
        <v>29</v>
      </c>
    </row>
    <row r="12396" spans="1:9" x14ac:dyDescent="0.25">
      <c r="A12396">
        <v>20140124</v>
      </c>
      <c r="B12396" t="str">
        <f t="shared" si="711"/>
        <v>186502</v>
      </c>
      <c r="C12396" t="str">
        <f t="shared" si="712"/>
        <v>86432</v>
      </c>
      <c r="D12396" t="s">
        <v>5048</v>
      </c>
      <c r="E12396">
        <v>550</v>
      </c>
      <c r="F12396">
        <v>20140124</v>
      </c>
      <c r="G12396" t="s">
        <v>5071</v>
      </c>
      <c r="H12396" t="s">
        <v>5123</v>
      </c>
      <c r="I12396" t="s">
        <v>29</v>
      </c>
    </row>
    <row r="12397" spans="1:9" x14ac:dyDescent="0.25">
      <c r="A12397">
        <v>20140124</v>
      </c>
      <c r="B12397" t="str">
        <f t="shared" si="711"/>
        <v>186502</v>
      </c>
      <c r="C12397" t="str">
        <f t="shared" si="712"/>
        <v>86432</v>
      </c>
      <c r="D12397" t="s">
        <v>5048</v>
      </c>
      <c r="E12397" s="1">
        <v>2983.33</v>
      </c>
      <c r="F12397">
        <v>20140124</v>
      </c>
      <c r="G12397" t="s">
        <v>5072</v>
      </c>
      <c r="H12397" t="s">
        <v>5123</v>
      </c>
      <c r="I12397" t="s">
        <v>29</v>
      </c>
    </row>
    <row r="12398" spans="1:9" x14ac:dyDescent="0.25">
      <c r="A12398">
        <v>20140124</v>
      </c>
      <c r="B12398" t="str">
        <f t="shared" si="711"/>
        <v>186502</v>
      </c>
      <c r="C12398" t="str">
        <f t="shared" si="712"/>
        <v>86432</v>
      </c>
      <c r="D12398" t="s">
        <v>5048</v>
      </c>
      <c r="E12398" s="1">
        <v>1995</v>
      </c>
      <c r="F12398">
        <v>20140124</v>
      </c>
      <c r="G12398" t="s">
        <v>5073</v>
      </c>
      <c r="H12398" t="s">
        <v>5123</v>
      </c>
      <c r="I12398" t="s">
        <v>29</v>
      </c>
    </row>
    <row r="12399" spans="1:9" x14ac:dyDescent="0.25">
      <c r="A12399">
        <v>20140124</v>
      </c>
      <c r="B12399" t="str">
        <f t="shared" si="711"/>
        <v>186502</v>
      </c>
      <c r="C12399" t="str">
        <f t="shared" si="712"/>
        <v>86432</v>
      </c>
      <c r="D12399" t="s">
        <v>5048</v>
      </c>
      <c r="E12399">
        <v>485</v>
      </c>
      <c r="F12399">
        <v>20140124</v>
      </c>
      <c r="G12399" t="s">
        <v>5074</v>
      </c>
      <c r="H12399" t="s">
        <v>5123</v>
      </c>
      <c r="I12399" t="s">
        <v>29</v>
      </c>
    </row>
    <row r="12400" spans="1:9" x14ac:dyDescent="0.25">
      <c r="A12400">
        <v>20140124</v>
      </c>
      <c r="B12400" t="str">
        <f t="shared" si="711"/>
        <v>186502</v>
      </c>
      <c r="C12400" t="str">
        <f t="shared" si="712"/>
        <v>86432</v>
      </c>
      <c r="D12400" t="s">
        <v>5048</v>
      </c>
      <c r="E12400">
        <v>400</v>
      </c>
      <c r="F12400">
        <v>20140124</v>
      </c>
      <c r="G12400" t="s">
        <v>5075</v>
      </c>
      <c r="H12400" t="s">
        <v>5123</v>
      </c>
      <c r="I12400" t="s">
        <v>29</v>
      </c>
    </row>
    <row r="12401" spans="1:9" x14ac:dyDescent="0.25">
      <c r="A12401">
        <v>20140124</v>
      </c>
      <c r="B12401" t="str">
        <f t="shared" si="711"/>
        <v>186502</v>
      </c>
      <c r="C12401" t="str">
        <f t="shared" si="712"/>
        <v>86432</v>
      </c>
      <c r="D12401" t="s">
        <v>5048</v>
      </c>
      <c r="E12401">
        <v>575</v>
      </c>
      <c r="F12401">
        <v>20140124</v>
      </c>
      <c r="G12401" t="s">
        <v>5076</v>
      </c>
      <c r="H12401" t="s">
        <v>5123</v>
      </c>
      <c r="I12401" t="s">
        <v>29</v>
      </c>
    </row>
    <row r="12402" spans="1:9" x14ac:dyDescent="0.25">
      <c r="A12402">
        <v>20140124</v>
      </c>
      <c r="B12402" t="str">
        <f t="shared" si="711"/>
        <v>186502</v>
      </c>
      <c r="C12402" t="str">
        <f t="shared" si="712"/>
        <v>86432</v>
      </c>
      <c r="D12402" t="s">
        <v>5048</v>
      </c>
      <c r="E12402" s="1">
        <v>17085.14</v>
      </c>
      <c r="F12402">
        <v>20140124</v>
      </c>
      <c r="G12402" t="s">
        <v>5077</v>
      </c>
      <c r="H12402" t="s">
        <v>5124</v>
      </c>
      <c r="I12402" t="s">
        <v>29</v>
      </c>
    </row>
    <row r="12403" spans="1:9" x14ac:dyDescent="0.25">
      <c r="A12403">
        <v>20140124</v>
      </c>
      <c r="B12403" t="str">
        <f>"186503"</f>
        <v>186503</v>
      </c>
      <c r="C12403" t="str">
        <f>"85294"</f>
        <v>85294</v>
      </c>
      <c r="D12403" t="s">
        <v>5079</v>
      </c>
      <c r="E12403">
        <v>250.41</v>
      </c>
      <c r="F12403">
        <v>20140124</v>
      </c>
      <c r="G12403" t="s">
        <v>5080</v>
      </c>
      <c r="H12403" t="s">
        <v>5122</v>
      </c>
      <c r="I12403" t="s">
        <v>29</v>
      </c>
    </row>
    <row r="12404" spans="1:9" x14ac:dyDescent="0.25">
      <c r="A12404">
        <v>20140124</v>
      </c>
      <c r="B12404" t="str">
        <f>"186504"</f>
        <v>186504</v>
      </c>
      <c r="C12404" t="str">
        <f>"87668"</f>
        <v>87668</v>
      </c>
      <c r="D12404" t="s">
        <v>5125</v>
      </c>
      <c r="E12404">
        <v>438.68</v>
      </c>
      <c r="F12404">
        <v>20140124</v>
      </c>
      <c r="G12404" t="s">
        <v>5126</v>
      </c>
      <c r="H12404" t="s">
        <v>5119</v>
      </c>
      <c r="I12404" t="s">
        <v>29</v>
      </c>
    </row>
    <row r="12405" spans="1:9" x14ac:dyDescent="0.25">
      <c r="A12405">
        <v>20140124</v>
      </c>
      <c r="B12405" t="str">
        <f>"186505"</f>
        <v>186505</v>
      </c>
      <c r="C12405" t="str">
        <f>"69390"</f>
        <v>69390</v>
      </c>
      <c r="D12405" t="s">
        <v>5081</v>
      </c>
      <c r="E12405">
        <v>260</v>
      </c>
      <c r="F12405">
        <v>20140124</v>
      </c>
      <c r="G12405" t="s">
        <v>5082</v>
      </c>
      <c r="H12405" t="s">
        <v>5119</v>
      </c>
      <c r="I12405" t="s">
        <v>29</v>
      </c>
    </row>
    <row r="12406" spans="1:9" x14ac:dyDescent="0.25">
      <c r="A12406">
        <v>20140124</v>
      </c>
      <c r="B12406" t="str">
        <f>"186506"</f>
        <v>186506</v>
      </c>
      <c r="C12406" t="str">
        <f>"70763"</f>
        <v>70763</v>
      </c>
      <c r="D12406" t="s">
        <v>5083</v>
      </c>
      <c r="E12406">
        <v>93.36</v>
      </c>
      <c r="F12406">
        <v>20140124</v>
      </c>
      <c r="G12406" t="s">
        <v>5084</v>
      </c>
      <c r="H12406" t="s">
        <v>5119</v>
      </c>
      <c r="I12406" t="s">
        <v>29</v>
      </c>
    </row>
    <row r="12407" spans="1:9" x14ac:dyDescent="0.25">
      <c r="A12407">
        <v>20140124</v>
      </c>
      <c r="B12407" t="str">
        <f>"186507"</f>
        <v>186507</v>
      </c>
      <c r="C12407" t="str">
        <f>"70692"</f>
        <v>70692</v>
      </c>
      <c r="D12407" t="s">
        <v>5085</v>
      </c>
      <c r="E12407">
        <v>609.27</v>
      </c>
      <c r="F12407">
        <v>20140124</v>
      </c>
      <c r="G12407" t="s">
        <v>5086</v>
      </c>
      <c r="H12407" t="s">
        <v>5119</v>
      </c>
      <c r="I12407" t="s">
        <v>29</v>
      </c>
    </row>
    <row r="12408" spans="1:9" x14ac:dyDescent="0.25">
      <c r="A12408">
        <v>20140124</v>
      </c>
      <c r="B12408" t="str">
        <f>"186508"</f>
        <v>186508</v>
      </c>
      <c r="C12408" t="str">
        <f>"70774"</f>
        <v>70774</v>
      </c>
      <c r="D12408" t="s">
        <v>5087</v>
      </c>
      <c r="E12408" s="1">
        <v>1133.8399999999999</v>
      </c>
      <c r="F12408">
        <v>20140124</v>
      </c>
      <c r="G12408" t="s">
        <v>5088</v>
      </c>
      <c r="H12408" t="s">
        <v>5119</v>
      </c>
      <c r="I12408" t="s">
        <v>29</v>
      </c>
    </row>
    <row r="12409" spans="1:9" x14ac:dyDescent="0.25">
      <c r="A12409">
        <v>20140124</v>
      </c>
      <c r="B12409" t="str">
        <f>"186509"</f>
        <v>186509</v>
      </c>
      <c r="C12409" t="str">
        <f>"70777"</f>
        <v>70777</v>
      </c>
      <c r="D12409" t="s">
        <v>5089</v>
      </c>
      <c r="E12409">
        <v>16.25</v>
      </c>
      <c r="F12409">
        <v>20140124</v>
      </c>
      <c r="G12409" t="s">
        <v>5090</v>
      </c>
      <c r="H12409" t="s">
        <v>5119</v>
      </c>
      <c r="I12409" t="s">
        <v>29</v>
      </c>
    </row>
    <row r="12410" spans="1:9" x14ac:dyDescent="0.25">
      <c r="A12410">
        <v>20140124</v>
      </c>
      <c r="B12410" t="str">
        <f>"186510"</f>
        <v>186510</v>
      </c>
      <c r="C12410" t="str">
        <f>"72502"</f>
        <v>72502</v>
      </c>
      <c r="D12410" t="s">
        <v>5091</v>
      </c>
      <c r="E12410">
        <v>330.44</v>
      </c>
      <c r="F12410">
        <v>20140124</v>
      </c>
      <c r="G12410" t="s">
        <v>5092</v>
      </c>
      <c r="H12410" t="s">
        <v>5119</v>
      </c>
      <c r="I12410" t="s">
        <v>29</v>
      </c>
    </row>
    <row r="12411" spans="1:9" x14ac:dyDescent="0.25">
      <c r="A12411">
        <v>20140124</v>
      </c>
      <c r="B12411" t="str">
        <f>"186511"</f>
        <v>186511</v>
      </c>
      <c r="C12411" t="str">
        <f>"83361"</f>
        <v>83361</v>
      </c>
      <c r="D12411" t="s">
        <v>5093</v>
      </c>
      <c r="E12411" s="1">
        <v>2359.5</v>
      </c>
      <c r="F12411">
        <v>20140124</v>
      </c>
      <c r="G12411" t="s">
        <v>5094</v>
      </c>
      <c r="H12411" t="s">
        <v>5119</v>
      </c>
      <c r="I12411" t="s">
        <v>29</v>
      </c>
    </row>
    <row r="12412" spans="1:9" x14ac:dyDescent="0.25">
      <c r="A12412">
        <v>20140124</v>
      </c>
      <c r="B12412" t="str">
        <f>"186512"</f>
        <v>186512</v>
      </c>
      <c r="C12412" t="str">
        <f>"83209"</f>
        <v>83209</v>
      </c>
      <c r="D12412" t="s">
        <v>5097</v>
      </c>
      <c r="E12412">
        <v>385.99</v>
      </c>
      <c r="F12412">
        <v>20140124</v>
      </c>
      <c r="G12412" t="s">
        <v>5098</v>
      </c>
      <c r="H12412" t="s">
        <v>5119</v>
      </c>
      <c r="I12412" t="s">
        <v>29</v>
      </c>
    </row>
    <row r="12413" spans="1:9" x14ac:dyDescent="0.25">
      <c r="A12413">
        <v>20140124</v>
      </c>
      <c r="B12413" t="str">
        <f>"186513"</f>
        <v>186513</v>
      </c>
      <c r="C12413" t="str">
        <f>"76675"</f>
        <v>76675</v>
      </c>
      <c r="D12413" t="s">
        <v>5099</v>
      </c>
      <c r="E12413">
        <v>200</v>
      </c>
      <c r="F12413">
        <v>20140124</v>
      </c>
      <c r="G12413" t="s">
        <v>5100</v>
      </c>
      <c r="H12413" t="s">
        <v>5119</v>
      </c>
      <c r="I12413" t="s">
        <v>29</v>
      </c>
    </row>
    <row r="12414" spans="1:9" x14ac:dyDescent="0.25">
      <c r="A12414">
        <v>20140124</v>
      </c>
      <c r="B12414" t="str">
        <f>"186514"</f>
        <v>186514</v>
      </c>
      <c r="C12414" t="str">
        <f>"76745"</f>
        <v>76745</v>
      </c>
      <c r="D12414" t="s">
        <v>5127</v>
      </c>
      <c r="E12414" s="1">
        <v>1396</v>
      </c>
      <c r="F12414">
        <v>20140124</v>
      </c>
      <c r="G12414" t="s">
        <v>5128</v>
      </c>
      <c r="H12414" t="s">
        <v>5129</v>
      </c>
      <c r="I12414" t="s">
        <v>29</v>
      </c>
    </row>
    <row r="12415" spans="1:9" x14ac:dyDescent="0.25">
      <c r="A12415">
        <v>20140228</v>
      </c>
      <c r="B12415" t="str">
        <f>"186676"</f>
        <v>186676</v>
      </c>
      <c r="C12415" t="str">
        <f>"86972"</f>
        <v>86972</v>
      </c>
      <c r="D12415" t="s">
        <v>5033</v>
      </c>
      <c r="E12415">
        <v>485.74</v>
      </c>
      <c r="F12415">
        <v>20140228</v>
      </c>
      <c r="G12415" t="s">
        <v>5034</v>
      </c>
      <c r="H12415" t="s">
        <v>5130</v>
      </c>
      <c r="I12415" t="s">
        <v>29</v>
      </c>
    </row>
    <row r="12416" spans="1:9" x14ac:dyDescent="0.25">
      <c r="A12416">
        <v>20140228</v>
      </c>
      <c r="B12416" t="str">
        <f>"186677"</f>
        <v>186677</v>
      </c>
      <c r="C12416" t="str">
        <f>"07258"</f>
        <v>07258</v>
      </c>
      <c r="D12416" t="s">
        <v>5036</v>
      </c>
      <c r="E12416" s="1">
        <v>3019.98</v>
      </c>
      <c r="F12416">
        <v>20140228</v>
      </c>
      <c r="G12416" t="s">
        <v>5037</v>
      </c>
      <c r="H12416" t="s">
        <v>5130</v>
      </c>
      <c r="I12416" t="s">
        <v>29</v>
      </c>
    </row>
    <row r="12417" spans="1:9" x14ac:dyDescent="0.25">
      <c r="A12417">
        <v>20140228</v>
      </c>
      <c r="B12417" t="str">
        <f>"186678"</f>
        <v>186678</v>
      </c>
      <c r="C12417" t="str">
        <f>"16955"</f>
        <v>16955</v>
      </c>
      <c r="D12417" t="s">
        <v>5038</v>
      </c>
      <c r="E12417" s="1">
        <v>76550.899999999994</v>
      </c>
      <c r="F12417">
        <v>20140228</v>
      </c>
      <c r="G12417" t="s">
        <v>5039</v>
      </c>
      <c r="H12417" t="s">
        <v>5131</v>
      </c>
      <c r="I12417" t="s">
        <v>29</v>
      </c>
    </row>
    <row r="12418" spans="1:9" x14ac:dyDescent="0.25">
      <c r="A12418">
        <v>20140228</v>
      </c>
      <c r="B12418" t="str">
        <f>"186679"</f>
        <v>186679</v>
      </c>
      <c r="C12418" t="str">
        <f>"81559"</f>
        <v>81559</v>
      </c>
      <c r="D12418" t="s">
        <v>5041</v>
      </c>
      <c r="E12418" s="1">
        <v>2236</v>
      </c>
      <c r="F12418">
        <v>20140228</v>
      </c>
      <c r="G12418" t="s">
        <v>5042</v>
      </c>
      <c r="H12418" t="s">
        <v>5130</v>
      </c>
      <c r="I12418" t="s">
        <v>29</v>
      </c>
    </row>
    <row r="12419" spans="1:9" x14ac:dyDescent="0.25">
      <c r="A12419">
        <v>20140228</v>
      </c>
      <c r="B12419" t="str">
        <f>"186680"</f>
        <v>186680</v>
      </c>
      <c r="C12419" t="str">
        <f>"22240"</f>
        <v>22240</v>
      </c>
      <c r="D12419" t="s">
        <v>1038</v>
      </c>
      <c r="E12419">
        <v>750</v>
      </c>
      <c r="F12419">
        <v>20140228</v>
      </c>
      <c r="G12419" t="s">
        <v>5043</v>
      </c>
      <c r="H12419" t="s">
        <v>5130</v>
      </c>
      <c r="I12419" t="s">
        <v>29</v>
      </c>
    </row>
    <row r="12420" spans="1:9" x14ac:dyDescent="0.25">
      <c r="A12420">
        <v>20140228</v>
      </c>
      <c r="B12420" t="str">
        <f>"186681"</f>
        <v>186681</v>
      </c>
      <c r="C12420" t="str">
        <f>"26330"</f>
        <v>26330</v>
      </c>
      <c r="D12420" t="s">
        <v>5044</v>
      </c>
      <c r="E12420">
        <v>340</v>
      </c>
      <c r="F12420">
        <v>20140228</v>
      </c>
      <c r="G12420" t="s">
        <v>5045</v>
      </c>
      <c r="H12420" t="s">
        <v>5130</v>
      </c>
      <c r="I12420" t="s">
        <v>29</v>
      </c>
    </row>
    <row r="12421" spans="1:9" x14ac:dyDescent="0.25">
      <c r="A12421">
        <v>20140228</v>
      </c>
      <c r="B12421" t="str">
        <f>"186682"</f>
        <v>186682</v>
      </c>
      <c r="C12421" t="str">
        <f>"26994"</f>
        <v>26994</v>
      </c>
      <c r="D12421" t="s">
        <v>548</v>
      </c>
      <c r="E12421" s="1">
        <v>2400</v>
      </c>
      <c r="F12421">
        <v>20140228</v>
      </c>
      <c r="G12421" t="s">
        <v>5046</v>
      </c>
      <c r="H12421" t="s">
        <v>5130</v>
      </c>
      <c r="I12421" t="s">
        <v>29</v>
      </c>
    </row>
    <row r="12422" spans="1:9" x14ac:dyDescent="0.25">
      <c r="A12422">
        <v>20140228</v>
      </c>
      <c r="B12422" t="str">
        <f>"186683"</f>
        <v>186683</v>
      </c>
      <c r="C12422" t="str">
        <f>"26990"</f>
        <v>26990</v>
      </c>
      <c r="D12422" t="s">
        <v>548</v>
      </c>
      <c r="E12422">
        <v>76.92</v>
      </c>
      <c r="F12422">
        <v>20140228</v>
      </c>
      <c r="G12422" t="s">
        <v>5047</v>
      </c>
      <c r="H12422" t="s">
        <v>5130</v>
      </c>
      <c r="I12422" t="s">
        <v>29</v>
      </c>
    </row>
    <row r="12423" spans="1:9" x14ac:dyDescent="0.25">
      <c r="A12423">
        <v>20140228</v>
      </c>
      <c r="B12423" t="str">
        <f t="shared" ref="B12423:B12448" si="713">"186684"</f>
        <v>186684</v>
      </c>
      <c r="C12423" t="str">
        <f t="shared" ref="C12423:C12448" si="714">"86432"</f>
        <v>86432</v>
      </c>
      <c r="D12423" t="s">
        <v>5048</v>
      </c>
      <c r="E12423" s="1">
        <v>3268.57</v>
      </c>
      <c r="F12423">
        <v>20140228</v>
      </c>
      <c r="G12423" t="s">
        <v>5049</v>
      </c>
      <c r="H12423" t="s">
        <v>5132</v>
      </c>
      <c r="I12423" t="s">
        <v>29</v>
      </c>
    </row>
    <row r="12424" spans="1:9" x14ac:dyDescent="0.25">
      <c r="A12424">
        <v>20140228</v>
      </c>
      <c r="B12424" t="str">
        <f t="shared" si="713"/>
        <v>186684</v>
      </c>
      <c r="C12424" t="str">
        <f t="shared" si="714"/>
        <v>86432</v>
      </c>
      <c r="D12424" t="s">
        <v>5048</v>
      </c>
      <c r="E12424">
        <v>54.23</v>
      </c>
      <c r="F12424">
        <v>20140228</v>
      </c>
      <c r="G12424" t="s">
        <v>5051</v>
      </c>
      <c r="H12424" t="s">
        <v>5132</v>
      </c>
      <c r="I12424" t="s">
        <v>29</v>
      </c>
    </row>
    <row r="12425" spans="1:9" x14ac:dyDescent="0.25">
      <c r="A12425">
        <v>20140228</v>
      </c>
      <c r="B12425" t="str">
        <f t="shared" si="713"/>
        <v>186684</v>
      </c>
      <c r="C12425" t="str">
        <f t="shared" si="714"/>
        <v>86432</v>
      </c>
      <c r="D12425" t="s">
        <v>5048</v>
      </c>
      <c r="E12425">
        <v>29.5</v>
      </c>
      <c r="F12425">
        <v>20140228</v>
      </c>
      <c r="G12425" t="s">
        <v>5052</v>
      </c>
      <c r="H12425" t="s">
        <v>5132</v>
      </c>
      <c r="I12425" t="s">
        <v>29</v>
      </c>
    </row>
    <row r="12426" spans="1:9" x14ac:dyDescent="0.25">
      <c r="A12426">
        <v>20140228</v>
      </c>
      <c r="B12426" t="str">
        <f t="shared" si="713"/>
        <v>186684</v>
      </c>
      <c r="C12426" t="str">
        <f t="shared" si="714"/>
        <v>86432</v>
      </c>
      <c r="D12426" t="s">
        <v>5048</v>
      </c>
      <c r="E12426" s="1">
        <v>20739.16</v>
      </c>
      <c r="F12426">
        <v>20140228</v>
      </c>
      <c r="G12426" t="s">
        <v>5053</v>
      </c>
      <c r="H12426" t="s">
        <v>5133</v>
      </c>
      <c r="I12426" t="s">
        <v>29</v>
      </c>
    </row>
    <row r="12427" spans="1:9" x14ac:dyDescent="0.25">
      <c r="A12427">
        <v>20140228</v>
      </c>
      <c r="B12427" t="str">
        <f t="shared" si="713"/>
        <v>186684</v>
      </c>
      <c r="C12427" t="str">
        <f t="shared" si="714"/>
        <v>86432</v>
      </c>
      <c r="D12427" t="s">
        <v>5048</v>
      </c>
      <c r="E12427" s="1">
        <v>2922</v>
      </c>
      <c r="F12427">
        <v>20140228</v>
      </c>
      <c r="G12427" t="s">
        <v>5055</v>
      </c>
      <c r="H12427" t="s">
        <v>5132</v>
      </c>
      <c r="I12427" t="s">
        <v>29</v>
      </c>
    </row>
    <row r="12428" spans="1:9" x14ac:dyDescent="0.25">
      <c r="A12428">
        <v>20140228</v>
      </c>
      <c r="B12428" t="str">
        <f t="shared" si="713"/>
        <v>186684</v>
      </c>
      <c r="C12428" t="str">
        <f t="shared" si="714"/>
        <v>86432</v>
      </c>
      <c r="D12428" t="s">
        <v>5048</v>
      </c>
      <c r="E12428" s="1">
        <v>3277.21</v>
      </c>
      <c r="F12428">
        <v>20140228</v>
      </c>
      <c r="G12428" t="s">
        <v>5056</v>
      </c>
      <c r="H12428" t="s">
        <v>5133</v>
      </c>
      <c r="I12428" t="s">
        <v>29</v>
      </c>
    </row>
    <row r="12429" spans="1:9" x14ac:dyDescent="0.25">
      <c r="A12429">
        <v>20140228</v>
      </c>
      <c r="B12429" t="str">
        <f t="shared" si="713"/>
        <v>186684</v>
      </c>
      <c r="C12429" t="str">
        <f t="shared" si="714"/>
        <v>86432</v>
      </c>
      <c r="D12429" t="s">
        <v>5048</v>
      </c>
      <c r="E12429">
        <v>231.71</v>
      </c>
      <c r="F12429">
        <v>20140228</v>
      </c>
      <c r="G12429" t="s">
        <v>5057</v>
      </c>
      <c r="H12429" t="s">
        <v>5133</v>
      </c>
      <c r="I12429" t="s">
        <v>29</v>
      </c>
    </row>
    <row r="12430" spans="1:9" x14ac:dyDescent="0.25">
      <c r="A12430">
        <v>20140228</v>
      </c>
      <c r="B12430" t="str">
        <f t="shared" si="713"/>
        <v>186684</v>
      </c>
      <c r="C12430" t="str">
        <f t="shared" si="714"/>
        <v>86432</v>
      </c>
      <c r="D12430" t="s">
        <v>5048</v>
      </c>
      <c r="E12430">
        <v>821.25</v>
      </c>
      <c r="F12430">
        <v>20140228</v>
      </c>
      <c r="G12430" t="s">
        <v>5058</v>
      </c>
      <c r="H12430" t="s">
        <v>5133</v>
      </c>
      <c r="I12430" t="s">
        <v>29</v>
      </c>
    </row>
    <row r="12431" spans="1:9" x14ac:dyDescent="0.25">
      <c r="A12431">
        <v>20140228</v>
      </c>
      <c r="B12431" t="str">
        <f t="shared" si="713"/>
        <v>186684</v>
      </c>
      <c r="C12431" t="str">
        <f t="shared" si="714"/>
        <v>86432</v>
      </c>
      <c r="D12431" t="s">
        <v>5048</v>
      </c>
      <c r="E12431">
        <v>60.65</v>
      </c>
      <c r="F12431">
        <v>20140228</v>
      </c>
      <c r="G12431" t="s">
        <v>5059</v>
      </c>
      <c r="H12431" t="s">
        <v>5133</v>
      </c>
      <c r="I12431" t="s">
        <v>29</v>
      </c>
    </row>
    <row r="12432" spans="1:9" x14ac:dyDescent="0.25">
      <c r="A12432">
        <v>20140228</v>
      </c>
      <c r="B12432" t="str">
        <f t="shared" si="713"/>
        <v>186684</v>
      </c>
      <c r="C12432" t="str">
        <f t="shared" si="714"/>
        <v>86432</v>
      </c>
      <c r="D12432" t="s">
        <v>5048</v>
      </c>
      <c r="E12432">
        <v>749.9</v>
      </c>
      <c r="F12432">
        <v>20140228</v>
      </c>
      <c r="G12432" t="s">
        <v>5060</v>
      </c>
      <c r="H12432" t="s">
        <v>5133</v>
      </c>
      <c r="I12432" t="s">
        <v>29</v>
      </c>
    </row>
    <row r="12433" spans="1:9" x14ac:dyDescent="0.25">
      <c r="A12433">
        <v>20140228</v>
      </c>
      <c r="B12433" t="str">
        <f t="shared" si="713"/>
        <v>186684</v>
      </c>
      <c r="C12433" t="str">
        <f t="shared" si="714"/>
        <v>86432</v>
      </c>
      <c r="D12433" t="s">
        <v>5048</v>
      </c>
      <c r="E12433">
        <v>307.7</v>
      </c>
      <c r="F12433">
        <v>20140228</v>
      </c>
      <c r="G12433" t="s">
        <v>5061</v>
      </c>
      <c r="H12433" t="s">
        <v>5133</v>
      </c>
      <c r="I12433" t="s">
        <v>29</v>
      </c>
    </row>
    <row r="12434" spans="1:9" x14ac:dyDescent="0.25">
      <c r="A12434">
        <v>20140228</v>
      </c>
      <c r="B12434" t="str">
        <f t="shared" si="713"/>
        <v>186684</v>
      </c>
      <c r="C12434" t="str">
        <f t="shared" si="714"/>
        <v>86432</v>
      </c>
      <c r="D12434" t="s">
        <v>5048</v>
      </c>
      <c r="E12434">
        <v>36.24</v>
      </c>
      <c r="F12434">
        <v>20140228</v>
      </c>
      <c r="G12434" t="s">
        <v>5062</v>
      </c>
      <c r="H12434" t="s">
        <v>5133</v>
      </c>
      <c r="I12434" t="s">
        <v>29</v>
      </c>
    </row>
    <row r="12435" spans="1:9" x14ac:dyDescent="0.25">
      <c r="A12435">
        <v>20140228</v>
      </c>
      <c r="B12435" t="str">
        <f t="shared" si="713"/>
        <v>186684</v>
      </c>
      <c r="C12435" t="str">
        <f t="shared" si="714"/>
        <v>86432</v>
      </c>
      <c r="D12435" t="s">
        <v>5048</v>
      </c>
      <c r="E12435" s="1">
        <v>17455.29</v>
      </c>
      <c r="F12435">
        <v>20140228</v>
      </c>
      <c r="G12435" t="s">
        <v>5063</v>
      </c>
      <c r="H12435" t="s">
        <v>5132</v>
      </c>
      <c r="I12435" t="s">
        <v>29</v>
      </c>
    </row>
    <row r="12436" spans="1:9" x14ac:dyDescent="0.25">
      <c r="A12436">
        <v>20140228</v>
      </c>
      <c r="B12436" t="str">
        <f t="shared" si="713"/>
        <v>186684</v>
      </c>
      <c r="C12436" t="str">
        <f t="shared" si="714"/>
        <v>86432</v>
      </c>
      <c r="D12436" t="s">
        <v>5048</v>
      </c>
      <c r="E12436" s="1">
        <v>12160.5</v>
      </c>
      <c r="F12436">
        <v>20140228</v>
      </c>
      <c r="G12436" t="s">
        <v>5064</v>
      </c>
      <c r="H12436" t="s">
        <v>5130</v>
      </c>
      <c r="I12436" t="s">
        <v>29</v>
      </c>
    </row>
    <row r="12437" spans="1:9" x14ac:dyDescent="0.25">
      <c r="A12437">
        <v>20140228</v>
      </c>
      <c r="B12437" t="str">
        <f t="shared" si="713"/>
        <v>186684</v>
      </c>
      <c r="C12437" t="str">
        <f t="shared" si="714"/>
        <v>86432</v>
      </c>
      <c r="D12437" t="s">
        <v>5048</v>
      </c>
      <c r="E12437" s="1">
        <v>4125</v>
      </c>
      <c r="F12437">
        <v>20140228</v>
      </c>
      <c r="G12437" t="s">
        <v>5065</v>
      </c>
      <c r="H12437" t="s">
        <v>5134</v>
      </c>
      <c r="I12437" t="s">
        <v>29</v>
      </c>
    </row>
    <row r="12438" spans="1:9" x14ac:dyDescent="0.25">
      <c r="A12438">
        <v>20140228</v>
      </c>
      <c r="B12438" t="str">
        <f t="shared" si="713"/>
        <v>186684</v>
      </c>
      <c r="C12438" t="str">
        <f t="shared" si="714"/>
        <v>86432</v>
      </c>
      <c r="D12438" t="s">
        <v>5048</v>
      </c>
      <c r="E12438">
        <v>125</v>
      </c>
      <c r="F12438">
        <v>20140228</v>
      </c>
      <c r="G12438" t="s">
        <v>5067</v>
      </c>
      <c r="H12438" t="s">
        <v>5134</v>
      </c>
      <c r="I12438" t="s">
        <v>29</v>
      </c>
    </row>
    <row r="12439" spans="1:9" x14ac:dyDescent="0.25">
      <c r="A12439">
        <v>20140228</v>
      </c>
      <c r="B12439" t="str">
        <f t="shared" si="713"/>
        <v>186684</v>
      </c>
      <c r="C12439" t="str">
        <f t="shared" si="714"/>
        <v>86432</v>
      </c>
      <c r="D12439" t="s">
        <v>5048</v>
      </c>
      <c r="E12439">
        <v>50</v>
      </c>
      <c r="F12439">
        <v>20140228</v>
      </c>
      <c r="G12439" t="s">
        <v>5068</v>
      </c>
      <c r="H12439" t="s">
        <v>5134</v>
      </c>
      <c r="I12439" t="s">
        <v>29</v>
      </c>
    </row>
    <row r="12440" spans="1:9" x14ac:dyDescent="0.25">
      <c r="A12440">
        <v>20140228</v>
      </c>
      <c r="B12440" t="str">
        <f t="shared" si="713"/>
        <v>186684</v>
      </c>
      <c r="C12440" t="str">
        <f t="shared" si="714"/>
        <v>86432</v>
      </c>
      <c r="D12440" t="s">
        <v>5048</v>
      </c>
      <c r="E12440" s="1">
        <v>1753</v>
      </c>
      <c r="F12440">
        <v>20140228</v>
      </c>
      <c r="G12440" t="s">
        <v>5069</v>
      </c>
      <c r="H12440" t="s">
        <v>5134</v>
      </c>
      <c r="I12440" t="s">
        <v>29</v>
      </c>
    </row>
    <row r="12441" spans="1:9" x14ac:dyDescent="0.25">
      <c r="A12441">
        <v>20140228</v>
      </c>
      <c r="B12441" t="str">
        <f t="shared" si="713"/>
        <v>186684</v>
      </c>
      <c r="C12441" t="str">
        <f t="shared" si="714"/>
        <v>86432</v>
      </c>
      <c r="D12441" t="s">
        <v>5048</v>
      </c>
      <c r="E12441">
        <v>175</v>
      </c>
      <c r="F12441">
        <v>20140228</v>
      </c>
      <c r="G12441" t="s">
        <v>5070</v>
      </c>
      <c r="H12441" t="s">
        <v>5134</v>
      </c>
      <c r="I12441" t="s">
        <v>29</v>
      </c>
    </row>
    <row r="12442" spans="1:9" x14ac:dyDescent="0.25">
      <c r="A12442">
        <v>20140228</v>
      </c>
      <c r="B12442" t="str">
        <f t="shared" si="713"/>
        <v>186684</v>
      </c>
      <c r="C12442" t="str">
        <f t="shared" si="714"/>
        <v>86432</v>
      </c>
      <c r="D12442" t="s">
        <v>5048</v>
      </c>
      <c r="E12442">
        <v>550</v>
      </c>
      <c r="F12442">
        <v>20140228</v>
      </c>
      <c r="G12442" t="s">
        <v>5071</v>
      </c>
      <c r="H12442" t="s">
        <v>5134</v>
      </c>
      <c r="I12442" t="s">
        <v>29</v>
      </c>
    </row>
    <row r="12443" spans="1:9" x14ac:dyDescent="0.25">
      <c r="A12443">
        <v>20140228</v>
      </c>
      <c r="B12443" t="str">
        <f t="shared" si="713"/>
        <v>186684</v>
      </c>
      <c r="C12443" t="str">
        <f t="shared" si="714"/>
        <v>86432</v>
      </c>
      <c r="D12443" t="s">
        <v>5048</v>
      </c>
      <c r="E12443" s="1">
        <v>2983.33</v>
      </c>
      <c r="F12443">
        <v>20140228</v>
      </c>
      <c r="G12443" t="s">
        <v>5072</v>
      </c>
      <c r="H12443" t="s">
        <v>5134</v>
      </c>
      <c r="I12443" t="s">
        <v>29</v>
      </c>
    </row>
    <row r="12444" spans="1:9" x14ac:dyDescent="0.25">
      <c r="A12444">
        <v>20140228</v>
      </c>
      <c r="B12444" t="str">
        <f t="shared" si="713"/>
        <v>186684</v>
      </c>
      <c r="C12444" t="str">
        <f t="shared" si="714"/>
        <v>86432</v>
      </c>
      <c r="D12444" t="s">
        <v>5048</v>
      </c>
      <c r="E12444" s="1">
        <v>2295</v>
      </c>
      <c r="F12444">
        <v>20140228</v>
      </c>
      <c r="G12444" t="s">
        <v>5073</v>
      </c>
      <c r="H12444" t="s">
        <v>5134</v>
      </c>
      <c r="I12444" t="s">
        <v>29</v>
      </c>
    </row>
    <row r="12445" spans="1:9" x14ac:dyDescent="0.25">
      <c r="A12445">
        <v>20140228</v>
      </c>
      <c r="B12445" t="str">
        <f t="shared" si="713"/>
        <v>186684</v>
      </c>
      <c r="C12445" t="str">
        <f t="shared" si="714"/>
        <v>86432</v>
      </c>
      <c r="D12445" t="s">
        <v>5048</v>
      </c>
      <c r="E12445">
        <v>485</v>
      </c>
      <c r="F12445">
        <v>20140228</v>
      </c>
      <c r="G12445" t="s">
        <v>5074</v>
      </c>
      <c r="H12445" t="s">
        <v>5134</v>
      </c>
      <c r="I12445" t="s">
        <v>29</v>
      </c>
    </row>
    <row r="12446" spans="1:9" x14ac:dyDescent="0.25">
      <c r="A12446">
        <v>20140228</v>
      </c>
      <c r="B12446" t="str">
        <f t="shared" si="713"/>
        <v>186684</v>
      </c>
      <c r="C12446" t="str">
        <f t="shared" si="714"/>
        <v>86432</v>
      </c>
      <c r="D12446" t="s">
        <v>5048</v>
      </c>
      <c r="E12446">
        <v>400</v>
      </c>
      <c r="F12446">
        <v>20140228</v>
      </c>
      <c r="G12446" t="s">
        <v>5075</v>
      </c>
      <c r="H12446" t="s">
        <v>5134</v>
      </c>
      <c r="I12446" t="s">
        <v>29</v>
      </c>
    </row>
    <row r="12447" spans="1:9" x14ac:dyDescent="0.25">
      <c r="A12447">
        <v>20140228</v>
      </c>
      <c r="B12447" t="str">
        <f t="shared" si="713"/>
        <v>186684</v>
      </c>
      <c r="C12447" t="str">
        <f t="shared" si="714"/>
        <v>86432</v>
      </c>
      <c r="D12447" t="s">
        <v>5048</v>
      </c>
      <c r="E12447">
        <v>575</v>
      </c>
      <c r="F12447">
        <v>20140228</v>
      </c>
      <c r="G12447" t="s">
        <v>5076</v>
      </c>
      <c r="H12447" t="s">
        <v>5134</v>
      </c>
      <c r="I12447" t="s">
        <v>29</v>
      </c>
    </row>
    <row r="12448" spans="1:9" x14ac:dyDescent="0.25">
      <c r="A12448">
        <v>20140228</v>
      </c>
      <c r="B12448" t="str">
        <f t="shared" si="713"/>
        <v>186684</v>
      </c>
      <c r="C12448" t="str">
        <f t="shared" si="714"/>
        <v>86432</v>
      </c>
      <c r="D12448" t="s">
        <v>5048</v>
      </c>
      <c r="E12448" s="1">
        <v>16978.14</v>
      </c>
      <c r="F12448">
        <v>20140228</v>
      </c>
      <c r="G12448" t="s">
        <v>5077</v>
      </c>
      <c r="H12448" t="s">
        <v>5135</v>
      </c>
      <c r="I12448" t="s">
        <v>29</v>
      </c>
    </row>
    <row r="12449" spans="1:9" x14ac:dyDescent="0.25">
      <c r="A12449">
        <v>20140228</v>
      </c>
      <c r="B12449" t="str">
        <f>"186685"</f>
        <v>186685</v>
      </c>
      <c r="C12449" t="str">
        <f>"85294"</f>
        <v>85294</v>
      </c>
      <c r="D12449" t="s">
        <v>5079</v>
      </c>
      <c r="E12449">
        <v>250.41</v>
      </c>
      <c r="F12449">
        <v>20140228</v>
      </c>
      <c r="G12449" t="s">
        <v>5080</v>
      </c>
      <c r="H12449" t="s">
        <v>5133</v>
      </c>
      <c r="I12449" t="s">
        <v>29</v>
      </c>
    </row>
    <row r="12450" spans="1:9" x14ac:dyDescent="0.25">
      <c r="A12450">
        <v>20140228</v>
      </c>
      <c r="B12450" t="str">
        <f>"186686"</f>
        <v>186686</v>
      </c>
      <c r="C12450" t="str">
        <f>"87668"</f>
        <v>87668</v>
      </c>
      <c r="D12450" t="s">
        <v>5125</v>
      </c>
      <c r="E12450">
        <v>438.68</v>
      </c>
      <c r="F12450">
        <v>20140228</v>
      </c>
      <c r="G12450" t="s">
        <v>5126</v>
      </c>
      <c r="H12450" t="s">
        <v>5130</v>
      </c>
      <c r="I12450" t="s">
        <v>29</v>
      </c>
    </row>
    <row r="12451" spans="1:9" x14ac:dyDescent="0.25">
      <c r="A12451">
        <v>20140228</v>
      </c>
      <c r="B12451" t="str">
        <f>"186687"</f>
        <v>186687</v>
      </c>
      <c r="C12451" t="str">
        <f>"69390"</f>
        <v>69390</v>
      </c>
      <c r="D12451" t="s">
        <v>5081</v>
      </c>
      <c r="E12451">
        <v>260</v>
      </c>
      <c r="F12451">
        <v>20140228</v>
      </c>
      <c r="G12451" t="s">
        <v>5082</v>
      </c>
      <c r="H12451" t="s">
        <v>5130</v>
      </c>
      <c r="I12451" t="s">
        <v>29</v>
      </c>
    </row>
    <row r="12452" spans="1:9" x14ac:dyDescent="0.25">
      <c r="A12452">
        <v>20140228</v>
      </c>
      <c r="B12452" t="str">
        <f>"186688"</f>
        <v>186688</v>
      </c>
      <c r="C12452" t="str">
        <f>"70763"</f>
        <v>70763</v>
      </c>
      <c r="D12452" t="s">
        <v>5083</v>
      </c>
      <c r="E12452">
        <v>93.36</v>
      </c>
      <c r="F12452">
        <v>20140228</v>
      </c>
      <c r="G12452" t="s">
        <v>5084</v>
      </c>
      <c r="H12452" t="s">
        <v>5130</v>
      </c>
      <c r="I12452" t="s">
        <v>29</v>
      </c>
    </row>
    <row r="12453" spans="1:9" x14ac:dyDescent="0.25">
      <c r="A12453">
        <v>20140228</v>
      </c>
      <c r="B12453" t="str">
        <f>"186689"</f>
        <v>186689</v>
      </c>
      <c r="C12453" t="str">
        <f>"70692"</f>
        <v>70692</v>
      </c>
      <c r="D12453" t="s">
        <v>5085</v>
      </c>
      <c r="E12453">
        <v>576.76</v>
      </c>
      <c r="F12453">
        <v>20140228</v>
      </c>
      <c r="G12453" t="s">
        <v>5086</v>
      </c>
      <c r="H12453" t="s">
        <v>5130</v>
      </c>
      <c r="I12453" t="s">
        <v>29</v>
      </c>
    </row>
    <row r="12454" spans="1:9" x14ac:dyDescent="0.25">
      <c r="A12454">
        <v>20140228</v>
      </c>
      <c r="B12454" t="str">
        <f>"186690"</f>
        <v>186690</v>
      </c>
      <c r="C12454" t="str">
        <f>"70774"</f>
        <v>70774</v>
      </c>
      <c r="D12454" t="s">
        <v>5087</v>
      </c>
      <c r="E12454" s="1">
        <v>1317.84</v>
      </c>
      <c r="F12454">
        <v>20140228</v>
      </c>
      <c r="G12454" t="s">
        <v>5088</v>
      </c>
      <c r="H12454" t="s">
        <v>5130</v>
      </c>
      <c r="I12454" t="s">
        <v>29</v>
      </c>
    </row>
    <row r="12455" spans="1:9" x14ac:dyDescent="0.25">
      <c r="A12455">
        <v>20140228</v>
      </c>
      <c r="B12455" t="str">
        <f>"186691"</f>
        <v>186691</v>
      </c>
      <c r="C12455" t="str">
        <f>"70777"</f>
        <v>70777</v>
      </c>
      <c r="D12455" t="s">
        <v>5089</v>
      </c>
      <c r="E12455">
        <v>16.25</v>
      </c>
      <c r="F12455">
        <v>20140228</v>
      </c>
      <c r="G12455" t="s">
        <v>5090</v>
      </c>
      <c r="H12455" t="s">
        <v>5130</v>
      </c>
      <c r="I12455" t="s">
        <v>29</v>
      </c>
    </row>
    <row r="12456" spans="1:9" x14ac:dyDescent="0.25">
      <c r="A12456">
        <v>20140228</v>
      </c>
      <c r="B12456" t="str">
        <f>"186692"</f>
        <v>186692</v>
      </c>
      <c r="C12456" t="str">
        <f>"72502"</f>
        <v>72502</v>
      </c>
      <c r="D12456" t="s">
        <v>5091</v>
      </c>
      <c r="E12456">
        <v>330.44</v>
      </c>
      <c r="F12456">
        <v>20140228</v>
      </c>
      <c r="G12456" t="s">
        <v>5092</v>
      </c>
      <c r="H12456" t="s">
        <v>5130</v>
      </c>
      <c r="I12456" t="s">
        <v>29</v>
      </c>
    </row>
    <row r="12457" spans="1:9" x14ac:dyDescent="0.25">
      <c r="A12457">
        <v>20140228</v>
      </c>
      <c r="B12457" t="str">
        <f>"186693"</f>
        <v>186693</v>
      </c>
      <c r="C12457" t="str">
        <f>"83361"</f>
        <v>83361</v>
      </c>
      <c r="D12457" t="s">
        <v>5093</v>
      </c>
      <c r="E12457" s="1">
        <v>1569.5</v>
      </c>
      <c r="F12457">
        <v>20140228</v>
      </c>
      <c r="G12457" t="s">
        <v>5094</v>
      </c>
      <c r="H12457" t="s">
        <v>5130</v>
      </c>
      <c r="I12457" t="s">
        <v>29</v>
      </c>
    </row>
    <row r="12458" spans="1:9" x14ac:dyDescent="0.25">
      <c r="A12458">
        <v>20140228</v>
      </c>
      <c r="B12458" t="str">
        <f>"186694"</f>
        <v>186694</v>
      </c>
      <c r="C12458" t="str">
        <f>"83209"</f>
        <v>83209</v>
      </c>
      <c r="D12458" t="s">
        <v>5097</v>
      </c>
      <c r="E12458">
        <v>385.99</v>
      </c>
      <c r="F12458">
        <v>20140228</v>
      </c>
      <c r="G12458" t="s">
        <v>5098</v>
      </c>
      <c r="H12458" t="s">
        <v>5130</v>
      </c>
      <c r="I12458" t="s">
        <v>29</v>
      </c>
    </row>
    <row r="12459" spans="1:9" x14ac:dyDescent="0.25">
      <c r="A12459">
        <v>20140228</v>
      </c>
      <c r="B12459" t="str">
        <f>"186695"</f>
        <v>186695</v>
      </c>
      <c r="C12459" t="str">
        <f>"76675"</f>
        <v>76675</v>
      </c>
      <c r="D12459" t="s">
        <v>5099</v>
      </c>
      <c r="E12459">
        <v>200</v>
      </c>
      <c r="F12459">
        <v>20140228</v>
      </c>
      <c r="G12459" t="s">
        <v>5100</v>
      </c>
      <c r="H12459" t="s">
        <v>5130</v>
      </c>
      <c r="I12459" t="s">
        <v>29</v>
      </c>
    </row>
    <row r="12460" spans="1:9" x14ac:dyDescent="0.25">
      <c r="A12460">
        <v>20140228</v>
      </c>
      <c r="B12460" t="str">
        <f>"186696"</f>
        <v>186696</v>
      </c>
      <c r="C12460" t="str">
        <f>"76745"</f>
        <v>76745</v>
      </c>
      <c r="D12460" t="s">
        <v>5127</v>
      </c>
      <c r="E12460" s="1">
        <v>1447</v>
      </c>
      <c r="F12460">
        <v>20140228</v>
      </c>
      <c r="G12460" t="s">
        <v>5128</v>
      </c>
      <c r="H12460" t="s">
        <v>5136</v>
      </c>
      <c r="I12460" t="s">
        <v>29</v>
      </c>
    </row>
    <row r="12461" spans="1:9" x14ac:dyDescent="0.25">
      <c r="A12461">
        <v>20140328</v>
      </c>
      <c r="B12461" t="str">
        <f>"186849"</f>
        <v>186849</v>
      </c>
      <c r="C12461" t="str">
        <f>"86972"</f>
        <v>86972</v>
      </c>
      <c r="D12461" t="s">
        <v>5033</v>
      </c>
      <c r="E12461">
        <v>485.74</v>
      </c>
      <c r="F12461">
        <v>20140328</v>
      </c>
      <c r="G12461" t="s">
        <v>5034</v>
      </c>
      <c r="H12461" t="s">
        <v>5137</v>
      </c>
      <c r="I12461" t="s">
        <v>29</v>
      </c>
    </row>
    <row r="12462" spans="1:9" x14ac:dyDescent="0.25">
      <c r="A12462">
        <v>20140328</v>
      </c>
      <c r="B12462" t="str">
        <f>"186850"</f>
        <v>186850</v>
      </c>
      <c r="C12462" t="str">
        <f>"07258"</f>
        <v>07258</v>
      </c>
      <c r="D12462" t="s">
        <v>5036</v>
      </c>
      <c r="E12462" s="1">
        <v>2993.72</v>
      </c>
      <c r="F12462">
        <v>20140328</v>
      </c>
      <c r="G12462" t="s">
        <v>5037</v>
      </c>
      <c r="H12462" t="s">
        <v>5137</v>
      </c>
      <c r="I12462" t="s">
        <v>29</v>
      </c>
    </row>
    <row r="12463" spans="1:9" x14ac:dyDescent="0.25">
      <c r="A12463">
        <v>20140328</v>
      </c>
      <c r="B12463" t="str">
        <f>"186851"</f>
        <v>186851</v>
      </c>
      <c r="C12463" t="str">
        <f>"16955"</f>
        <v>16955</v>
      </c>
      <c r="D12463" t="s">
        <v>5038</v>
      </c>
      <c r="E12463" s="1">
        <v>78468.72</v>
      </c>
      <c r="F12463">
        <v>20140328</v>
      </c>
      <c r="G12463" t="s">
        <v>5039</v>
      </c>
      <c r="H12463" t="s">
        <v>5138</v>
      </c>
      <c r="I12463" t="s">
        <v>29</v>
      </c>
    </row>
    <row r="12464" spans="1:9" x14ac:dyDescent="0.25">
      <c r="A12464">
        <v>20140328</v>
      </c>
      <c r="B12464" t="str">
        <f>"186852"</f>
        <v>186852</v>
      </c>
      <c r="C12464" t="str">
        <f>"81559"</f>
        <v>81559</v>
      </c>
      <c r="D12464" t="s">
        <v>5041</v>
      </c>
      <c r="E12464" s="1">
        <v>2236</v>
      </c>
      <c r="F12464">
        <v>20140328</v>
      </c>
      <c r="G12464" t="s">
        <v>5042</v>
      </c>
      <c r="H12464" t="s">
        <v>5137</v>
      </c>
      <c r="I12464" t="s">
        <v>29</v>
      </c>
    </row>
    <row r="12465" spans="1:9" x14ac:dyDescent="0.25">
      <c r="A12465">
        <v>20140328</v>
      </c>
      <c r="B12465" t="str">
        <f>"186853"</f>
        <v>186853</v>
      </c>
      <c r="C12465" t="str">
        <f>"22240"</f>
        <v>22240</v>
      </c>
      <c r="D12465" t="s">
        <v>1038</v>
      </c>
      <c r="E12465">
        <v>750</v>
      </c>
      <c r="F12465">
        <v>20140328</v>
      </c>
      <c r="G12465" t="s">
        <v>5043</v>
      </c>
      <c r="H12465" t="s">
        <v>5137</v>
      </c>
      <c r="I12465" t="s">
        <v>29</v>
      </c>
    </row>
    <row r="12466" spans="1:9" x14ac:dyDescent="0.25">
      <c r="A12466">
        <v>20140328</v>
      </c>
      <c r="B12466" t="str">
        <f>"186854"</f>
        <v>186854</v>
      </c>
      <c r="C12466" t="str">
        <f>"26330"</f>
        <v>26330</v>
      </c>
      <c r="D12466" t="s">
        <v>5044</v>
      </c>
      <c r="E12466">
        <v>340</v>
      </c>
      <c r="F12466">
        <v>20140328</v>
      </c>
      <c r="G12466" t="s">
        <v>5045</v>
      </c>
      <c r="H12466" t="s">
        <v>5137</v>
      </c>
      <c r="I12466" t="s">
        <v>29</v>
      </c>
    </row>
    <row r="12467" spans="1:9" x14ac:dyDescent="0.25">
      <c r="A12467">
        <v>20140328</v>
      </c>
      <c r="B12467" t="str">
        <f>"186855"</f>
        <v>186855</v>
      </c>
      <c r="C12467" t="str">
        <f>"26994"</f>
        <v>26994</v>
      </c>
      <c r="D12467" t="s">
        <v>548</v>
      </c>
      <c r="E12467" s="1">
        <v>2400</v>
      </c>
      <c r="F12467">
        <v>20140328</v>
      </c>
      <c r="G12467" t="s">
        <v>5046</v>
      </c>
      <c r="H12467" t="s">
        <v>5137</v>
      </c>
      <c r="I12467" t="s">
        <v>29</v>
      </c>
    </row>
    <row r="12468" spans="1:9" x14ac:dyDescent="0.25">
      <c r="A12468">
        <v>20140328</v>
      </c>
      <c r="B12468" t="str">
        <f>"186856"</f>
        <v>186856</v>
      </c>
      <c r="C12468" t="str">
        <f>"26990"</f>
        <v>26990</v>
      </c>
      <c r="D12468" t="s">
        <v>548</v>
      </c>
      <c r="E12468">
        <v>76.92</v>
      </c>
      <c r="F12468">
        <v>20140328</v>
      </c>
      <c r="G12468" t="s">
        <v>5047</v>
      </c>
      <c r="H12468" t="s">
        <v>5137</v>
      </c>
      <c r="I12468" t="s">
        <v>29</v>
      </c>
    </row>
    <row r="12469" spans="1:9" x14ac:dyDescent="0.25">
      <c r="A12469">
        <v>20140328</v>
      </c>
      <c r="B12469" t="str">
        <f t="shared" ref="B12469:B12494" si="715">"186857"</f>
        <v>186857</v>
      </c>
      <c r="C12469" t="str">
        <f t="shared" ref="C12469:C12494" si="716">"86432"</f>
        <v>86432</v>
      </c>
      <c r="D12469" t="s">
        <v>5048</v>
      </c>
      <c r="E12469" s="1">
        <v>3268.57</v>
      </c>
      <c r="F12469">
        <v>20140328</v>
      </c>
      <c r="G12469" t="s">
        <v>5049</v>
      </c>
      <c r="H12469" t="s">
        <v>5139</v>
      </c>
      <c r="I12469" t="s">
        <v>29</v>
      </c>
    </row>
    <row r="12470" spans="1:9" x14ac:dyDescent="0.25">
      <c r="A12470">
        <v>20140328</v>
      </c>
      <c r="B12470" t="str">
        <f t="shared" si="715"/>
        <v>186857</v>
      </c>
      <c r="C12470" t="str">
        <f t="shared" si="716"/>
        <v>86432</v>
      </c>
      <c r="D12470" t="s">
        <v>5048</v>
      </c>
      <c r="E12470">
        <v>54.23</v>
      </c>
      <c r="F12470">
        <v>20140328</v>
      </c>
      <c r="G12470" t="s">
        <v>5051</v>
      </c>
      <c r="H12470" t="s">
        <v>5139</v>
      </c>
      <c r="I12470" t="s">
        <v>29</v>
      </c>
    </row>
    <row r="12471" spans="1:9" x14ac:dyDescent="0.25">
      <c r="A12471">
        <v>20140328</v>
      </c>
      <c r="B12471" t="str">
        <f t="shared" si="715"/>
        <v>186857</v>
      </c>
      <c r="C12471" t="str">
        <f t="shared" si="716"/>
        <v>86432</v>
      </c>
      <c r="D12471" t="s">
        <v>5048</v>
      </c>
      <c r="E12471">
        <v>29.5</v>
      </c>
      <c r="F12471">
        <v>20140328</v>
      </c>
      <c r="G12471" t="s">
        <v>5052</v>
      </c>
      <c r="H12471" t="s">
        <v>5139</v>
      </c>
      <c r="I12471" t="s">
        <v>29</v>
      </c>
    </row>
    <row r="12472" spans="1:9" x14ac:dyDescent="0.25">
      <c r="A12472">
        <v>20140328</v>
      </c>
      <c r="B12472" t="str">
        <f t="shared" si="715"/>
        <v>186857</v>
      </c>
      <c r="C12472" t="str">
        <f t="shared" si="716"/>
        <v>86432</v>
      </c>
      <c r="D12472" t="s">
        <v>5048</v>
      </c>
      <c r="E12472" s="1">
        <v>20541.36</v>
      </c>
      <c r="F12472">
        <v>20140328</v>
      </c>
      <c r="G12472" t="s">
        <v>5053</v>
      </c>
      <c r="H12472" t="s">
        <v>5140</v>
      </c>
      <c r="I12472" t="s">
        <v>29</v>
      </c>
    </row>
    <row r="12473" spans="1:9" x14ac:dyDescent="0.25">
      <c r="A12473">
        <v>20140328</v>
      </c>
      <c r="B12473" t="str">
        <f t="shared" si="715"/>
        <v>186857</v>
      </c>
      <c r="C12473" t="str">
        <f t="shared" si="716"/>
        <v>86432</v>
      </c>
      <c r="D12473" t="s">
        <v>5048</v>
      </c>
      <c r="E12473" s="1">
        <v>2922</v>
      </c>
      <c r="F12473">
        <v>20140328</v>
      </c>
      <c r="G12473" t="s">
        <v>5055</v>
      </c>
      <c r="H12473" t="s">
        <v>5139</v>
      </c>
      <c r="I12473" t="s">
        <v>29</v>
      </c>
    </row>
    <row r="12474" spans="1:9" x14ac:dyDescent="0.25">
      <c r="A12474">
        <v>20140328</v>
      </c>
      <c r="B12474" t="str">
        <f t="shared" si="715"/>
        <v>186857</v>
      </c>
      <c r="C12474" t="str">
        <f t="shared" si="716"/>
        <v>86432</v>
      </c>
      <c r="D12474" t="s">
        <v>5048</v>
      </c>
      <c r="E12474" s="1">
        <v>3246</v>
      </c>
      <c r="F12474">
        <v>20140328</v>
      </c>
      <c r="G12474" t="s">
        <v>5056</v>
      </c>
      <c r="H12474" t="s">
        <v>5140</v>
      </c>
      <c r="I12474" t="s">
        <v>29</v>
      </c>
    </row>
    <row r="12475" spans="1:9" x14ac:dyDescent="0.25">
      <c r="A12475">
        <v>20140328</v>
      </c>
      <c r="B12475" t="str">
        <f t="shared" si="715"/>
        <v>186857</v>
      </c>
      <c r="C12475" t="str">
        <f t="shared" si="716"/>
        <v>86432</v>
      </c>
      <c r="D12475" t="s">
        <v>5048</v>
      </c>
      <c r="E12475">
        <v>231.71</v>
      </c>
      <c r="F12475">
        <v>20140328</v>
      </c>
      <c r="G12475" t="s">
        <v>5057</v>
      </c>
      <c r="H12475" t="s">
        <v>5140</v>
      </c>
      <c r="I12475" t="s">
        <v>29</v>
      </c>
    </row>
    <row r="12476" spans="1:9" x14ac:dyDescent="0.25">
      <c r="A12476">
        <v>20140328</v>
      </c>
      <c r="B12476" t="str">
        <f t="shared" si="715"/>
        <v>186857</v>
      </c>
      <c r="C12476" t="str">
        <f t="shared" si="716"/>
        <v>86432</v>
      </c>
      <c r="D12476" t="s">
        <v>5048</v>
      </c>
      <c r="E12476">
        <v>821.25</v>
      </c>
      <c r="F12476">
        <v>20140328</v>
      </c>
      <c r="G12476" t="s">
        <v>5058</v>
      </c>
      <c r="H12476" t="s">
        <v>5140</v>
      </c>
      <c r="I12476" t="s">
        <v>29</v>
      </c>
    </row>
    <row r="12477" spans="1:9" x14ac:dyDescent="0.25">
      <c r="A12477">
        <v>20140328</v>
      </c>
      <c r="B12477" t="str">
        <f t="shared" si="715"/>
        <v>186857</v>
      </c>
      <c r="C12477" t="str">
        <f t="shared" si="716"/>
        <v>86432</v>
      </c>
      <c r="D12477" t="s">
        <v>5048</v>
      </c>
      <c r="E12477">
        <v>60.65</v>
      </c>
      <c r="F12477">
        <v>20140328</v>
      </c>
      <c r="G12477" t="s">
        <v>5059</v>
      </c>
      <c r="H12477" t="s">
        <v>5140</v>
      </c>
      <c r="I12477" t="s">
        <v>29</v>
      </c>
    </row>
    <row r="12478" spans="1:9" x14ac:dyDescent="0.25">
      <c r="A12478">
        <v>20140328</v>
      </c>
      <c r="B12478" t="str">
        <f t="shared" si="715"/>
        <v>186857</v>
      </c>
      <c r="C12478" t="str">
        <f t="shared" si="716"/>
        <v>86432</v>
      </c>
      <c r="D12478" t="s">
        <v>5048</v>
      </c>
      <c r="E12478">
        <v>749.9</v>
      </c>
      <c r="F12478">
        <v>20140328</v>
      </c>
      <c r="G12478" t="s">
        <v>5060</v>
      </c>
      <c r="H12478" t="s">
        <v>5140</v>
      </c>
      <c r="I12478" t="s">
        <v>29</v>
      </c>
    </row>
    <row r="12479" spans="1:9" x14ac:dyDescent="0.25">
      <c r="A12479">
        <v>20140328</v>
      </c>
      <c r="B12479" t="str">
        <f t="shared" si="715"/>
        <v>186857</v>
      </c>
      <c r="C12479" t="str">
        <f t="shared" si="716"/>
        <v>86432</v>
      </c>
      <c r="D12479" t="s">
        <v>5048</v>
      </c>
      <c r="E12479">
        <v>307.7</v>
      </c>
      <c r="F12479">
        <v>20140328</v>
      </c>
      <c r="G12479" t="s">
        <v>5061</v>
      </c>
      <c r="H12479" t="s">
        <v>5140</v>
      </c>
      <c r="I12479" t="s">
        <v>29</v>
      </c>
    </row>
    <row r="12480" spans="1:9" x14ac:dyDescent="0.25">
      <c r="A12480">
        <v>20140328</v>
      </c>
      <c r="B12480" t="str">
        <f t="shared" si="715"/>
        <v>186857</v>
      </c>
      <c r="C12480" t="str">
        <f t="shared" si="716"/>
        <v>86432</v>
      </c>
      <c r="D12480" t="s">
        <v>5048</v>
      </c>
      <c r="E12480">
        <v>36.24</v>
      </c>
      <c r="F12480">
        <v>20140328</v>
      </c>
      <c r="G12480" t="s">
        <v>5062</v>
      </c>
      <c r="H12480" t="s">
        <v>5140</v>
      </c>
      <c r="I12480" t="s">
        <v>29</v>
      </c>
    </row>
    <row r="12481" spans="1:9" x14ac:dyDescent="0.25">
      <c r="A12481">
        <v>20140328</v>
      </c>
      <c r="B12481" t="str">
        <f t="shared" si="715"/>
        <v>186857</v>
      </c>
      <c r="C12481" t="str">
        <f t="shared" si="716"/>
        <v>86432</v>
      </c>
      <c r="D12481" t="s">
        <v>5048</v>
      </c>
      <c r="E12481" s="1">
        <v>17424.04</v>
      </c>
      <c r="F12481">
        <v>20140328</v>
      </c>
      <c r="G12481" t="s">
        <v>5063</v>
      </c>
      <c r="H12481" t="s">
        <v>5139</v>
      </c>
      <c r="I12481" t="s">
        <v>29</v>
      </c>
    </row>
    <row r="12482" spans="1:9" x14ac:dyDescent="0.25">
      <c r="A12482">
        <v>20140328</v>
      </c>
      <c r="B12482" t="str">
        <f t="shared" si="715"/>
        <v>186857</v>
      </c>
      <c r="C12482" t="str">
        <f t="shared" si="716"/>
        <v>86432</v>
      </c>
      <c r="D12482" t="s">
        <v>5048</v>
      </c>
      <c r="E12482" s="1">
        <v>12160.5</v>
      </c>
      <c r="F12482">
        <v>20140328</v>
      </c>
      <c r="G12482" t="s">
        <v>5064</v>
      </c>
      <c r="H12482" t="s">
        <v>5137</v>
      </c>
      <c r="I12482" t="s">
        <v>29</v>
      </c>
    </row>
    <row r="12483" spans="1:9" x14ac:dyDescent="0.25">
      <c r="A12483">
        <v>20140328</v>
      </c>
      <c r="B12483" t="str">
        <f t="shared" si="715"/>
        <v>186857</v>
      </c>
      <c r="C12483" t="str">
        <f t="shared" si="716"/>
        <v>86432</v>
      </c>
      <c r="D12483" t="s">
        <v>5048</v>
      </c>
      <c r="E12483" s="1">
        <v>4125</v>
      </c>
      <c r="F12483">
        <v>20140328</v>
      </c>
      <c r="G12483" t="s">
        <v>5065</v>
      </c>
      <c r="H12483" t="s">
        <v>5141</v>
      </c>
      <c r="I12483" t="s">
        <v>29</v>
      </c>
    </row>
    <row r="12484" spans="1:9" x14ac:dyDescent="0.25">
      <c r="A12484">
        <v>20140328</v>
      </c>
      <c r="B12484" t="str">
        <f t="shared" si="715"/>
        <v>186857</v>
      </c>
      <c r="C12484" t="str">
        <f t="shared" si="716"/>
        <v>86432</v>
      </c>
      <c r="D12484" t="s">
        <v>5048</v>
      </c>
      <c r="E12484">
        <v>125</v>
      </c>
      <c r="F12484">
        <v>20140328</v>
      </c>
      <c r="G12484" t="s">
        <v>5067</v>
      </c>
      <c r="H12484" t="s">
        <v>5141</v>
      </c>
      <c r="I12484" t="s">
        <v>29</v>
      </c>
    </row>
    <row r="12485" spans="1:9" x14ac:dyDescent="0.25">
      <c r="A12485">
        <v>20140328</v>
      </c>
      <c r="B12485" t="str">
        <f t="shared" si="715"/>
        <v>186857</v>
      </c>
      <c r="C12485" t="str">
        <f t="shared" si="716"/>
        <v>86432</v>
      </c>
      <c r="D12485" t="s">
        <v>5048</v>
      </c>
      <c r="E12485">
        <v>50</v>
      </c>
      <c r="F12485">
        <v>20140328</v>
      </c>
      <c r="G12485" t="s">
        <v>5068</v>
      </c>
      <c r="H12485" t="s">
        <v>5141</v>
      </c>
      <c r="I12485" t="s">
        <v>29</v>
      </c>
    </row>
    <row r="12486" spans="1:9" x14ac:dyDescent="0.25">
      <c r="A12486">
        <v>20140328</v>
      </c>
      <c r="B12486" t="str">
        <f t="shared" si="715"/>
        <v>186857</v>
      </c>
      <c r="C12486" t="str">
        <f t="shared" si="716"/>
        <v>86432</v>
      </c>
      <c r="D12486" t="s">
        <v>5048</v>
      </c>
      <c r="E12486" s="1">
        <v>1753</v>
      </c>
      <c r="F12486">
        <v>20140328</v>
      </c>
      <c r="G12486" t="s">
        <v>5069</v>
      </c>
      <c r="H12486" t="s">
        <v>5141</v>
      </c>
      <c r="I12486" t="s">
        <v>29</v>
      </c>
    </row>
    <row r="12487" spans="1:9" x14ac:dyDescent="0.25">
      <c r="A12487">
        <v>20140328</v>
      </c>
      <c r="B12487" t="str">
        <f t="shared" si="715"/>
        <v>186857</v>
      </c>
      <c r="C12487" t="str">
        <f t="shared" si="716"/>
        <v>86432</v>
      </c>
      <c r="D12487" t="s">
        <v>5048</v>
      </c>
      <c r="E12487">
        <v>175</v>
      </c>
      <c r="F12487">
        <v>20140328</v>
      </c>
      <c r="G12487" t="s">
        <v>5070</v>
      </c>
      <c r="H12487" t="s">
        <v>5141</v>
      </c>
      <c r="I12487" t="s">
        <v>29</v>
      </c>
    </row>
    <row r="12488" spans="1:9" x14ac:dyDescent="0.25">
      <c r="A12488">
        <v>20140328</v>
      </c>
      <c r="B12488" t="str">
        <f t="shared" si="715"/>
        <v>186857</v>
      </c>
      <c r="C12488" t="str">
        <f t="shared" si="716"/>
        <v>86432</v>
      </c>
      <c r="D12488" t="s">
        <v>5048</v>
      </c>
      <c r="E12488">
        <v>550</v>
      </c>
      <c r="F12488">
        <v>20140328</v>
      </c>
      <c r="G12488" t="s">
        <v>5071</v>
      </c>
      <c r="H12488" t="s">
        <v>5141</v>
      </c>
      <c r="I12488" t="s">
        <v>29</v>
      </c>
    </row>
    <row r="12489" spans="1:9" x14ac:dyDescent="0.25">
      <c r="A12489">
        <v>20140328</v>
      </c>
      <c r="B12489" t="str">
        <f t="shared" si="715"/>
        <v>186857</v>
      </c>
      <c r="C12489" t="str">
        <f t="shared" si="716"/>
        <v>86432</v>
      </c>
      <c r="D12489" t="s">
        <v>5048</v>
      </c>
      <c r="E12489" s="1">
        <v>2983.33</v>
      </c>
      <c r="F12489">
        <v>20140328</v>
      </c>
      <c r="G12489" t="s">
        <v>5072</v>
      </c>
      <c r="H12489" t="s">
        <v>5141</v>
      </c>
      <c r="I12489" t="s">
        <v>29</v>
      </c>
    </row>
    <row r="12490" spans="1:9" x14ac:dyDescent="0.25">
      <c r="A12490">
        <v>20140328</v>
      </c>
      <c r="B12490" t="str">
        <f t="shared" si="715"/>
        <v>186857</v>
      </c>
      <c r="C12490" t="str">
        <f t="shared" si="716"/>
        <v>86432</v>
      </c>
      <c r="D12490" t="s">
        <v>5048</v>
      </c>
      <c r="E12490" s="1">
        <v>2295</v>
      </c>
      <c r="F12490">
        <v>20140328</v>
      </c>
      <c r="G12490" t="s">
        <v>5073</v>
      </c>
      <c r="H12490" t="s">
        <v>5141</v>
      </c>
      <c r="I12490" t="s">
        <v>29</v>
      </c>
    </row>
    <row r="12491" spans="1:9" x14ac:dyDescent="0.25">
      <c r="A12491">
        <v>20140328</v>
      </c>
      <c r="B12491" t="str">
        <f t="shared" si="715"/>
        <v>186857</v>
      </c>
      <c r="C12491" t="str">
        <f t="shared" si="716"/>
        <v>86432</v>
      </c>
      <c r="D12491" t="s">
        <v>5048</v>
      </c>
      <c r="E12491">
        <v>485</v>
      </c>
      <c r="F12491">
        <v>20140328</v>
      </c>
      <c r="G12491" t="s">
        <v>5074</v>
      </c>
      <c r="H12491" t="s">
        <v>5141</v>
      </c>
      <c r="I12491" t="s">
        <v>29</v>
      </c>
    </row>
    <row r="12492" spans="1:9" x14ac:dyDescent="0.25">
      <c r="A12492">
        <v>20140328</v>
      </c>
      <c r="B12492" t="str">
        <f t="shared" si="715"/>
        <v>186857</v>
      </c>
      <c r="C12492" t="str">
        <f t="shared" si="716"/>
        <v>86432</v>
      </c>
      <c r="D12492" t="s">
        <v>5048</v>
      </c>
      <c r="E12492">
        <v>400</v>
      </c>
      <c r="F12492">
        <v>20140328</v>
      </c>
      <c r="G12492" t="s">
        <v>5075</v>
      </c>
      <c r="H12492" t="s">
        <v>5141</v>
      </c>
      <c r="I12492" t="s">
        <v>29</v>
      </c>
    </row>
    <row r="12493" spans="1:9" x14ac:dyDescent="0.25">
      <c r="A12493">
        <v>20140328</v>
      </c>
      <c r="B12493" t="str">
        <f t="shared" si="715"/>
        <v>186857</v>
      </c>
      <c r="C12493" t="str">
        <f t="shared" si="716"/>
        <v>86432</v>
      </c>
      <c r="D12493" t="s">
        <v>5048</v>
      </c>
      <c r="E12493">
        <v>575</v>
      </c>
      <c r="F12493">
        <v>20140328</v>
      </c>
      <c r="G12493" t="s">
        <v>5076</v>
      </c>
      <c r="H12493" t="s">
        <v>5141</v>
      </c>
      <c r="I12493" t="s">
        <v>29</v>
      </c>
    </row>
    <row r="12494" spans="1:9" x14ac:dyDescent="0.25">
      <c r="A12494">
        <v>20140328</v>
      </c>
      <c r="B12494" t="str">
        <f t="shared" si="715"/>
        <v>186857</v>
      </c>
      <c r="C12494" t="str">
        <f t="shared" si="716"/>
        <v>86432</v>
      </c>
      <c r="D12494" t="s">
        <v>5048</v>
      </c>
      <c r="E12494" s="1">
        <v>16914.18</v>
      </c>
      <c r="F12494">
        <v>20140328</v>
      </c>
      <c r="G12494" t="s">
        <v>5077</v>
      </c>
      <c r="H12494" t="s">
        <v>5142</v>
      </c>
      <c r="I12494" t="s">
        <v>29</v>
      </c>
    </row>
    <row r="12495" spans="1:9" x14ac:dyDescent="0.25">
      <c r="A12495">
        <v>20140328</v>
      </c>
      <c r="B12495" t="str">
        <f>"186858"</f>
        <v>186858</v>
      </c>
      <c r="C12495" t="str">
        <f>"85294"</f>
        <v>85294</v>
      </c>
      <c r="D12495" t="s">
        <v>5079</v>
      </c>
      <c r="E12495">
        <v>250.41</v>
      </c>
      <c r="F12495">
        <v>20140328</v>
      </c>
      <c r="G12495" t="s">
        <v>5080</v>
      </c>
      <c r="H12495" t="s">
        <v>5140</v>
      </c>
      <c r="I12495" t="s">
        <v>29</v>
      </c>
    </row>
    <row r="12496" spans="1:9" x14ac:dyDescent="0.25">
      <c r="A12496">
        <v>20140328</v>
      </c>
      <c r="B12496" t="str">
        <f>"186859"</f>
        <v>186859</v>
      </c>
      <c r="C12496" t="str">
        <f>"87668"</f>
        <v>87668</v>
      </c>
      <c r="D12496" t="s">
        <v>5125</v>
      </c>
      <c r="E12496">
        <v>438.68</v>
      </c>
      <c r="F12496">
        <v>20140328</v>
      </c>
      <c r="G12496" t="s">
        <v>5126</v>
      </c>
      <c r="H12496" t="s">
        <v>5137</v>
      </c>
      <c r="I12496" t="s">
        <v>29</v>
      </c>
    </row>
    <row r="12497" spans="1:9" x14ac:dyDescent="0.25">
      <c r="A12497">
        <v>20140328</v>
      </c>
      <c r="B12497" t="str">
        <f>"186860"</f>
        <v>186860</v>
      </c>
      <c r="C12497" t="str">
        <f>"69390"</f>
        <v>69390</v>
      </c>
      <c r="D12497" t="s">
        <v>5081</v>
      </c>
      <c r="E12497">
        <v>260</v>
      </c>
      <c r="F12497">
        <v>20140328</v>
      </c>
      <c r="G12497" t="s">
        <v>5082</v>
      </c>
      <c r="H12497" t="s">
        <v>5137</v>
      </c>
      <c r="I12497" t="s">
        <v>29</v>
      </c>
    </row>
    <row r="12498" spans="1:9" x14ac:dyDescent="0.25">
      <c r="A12498">
        <v>20140328</v>
      </c>
      <c r="B12498" t="str">
        <f>"186861"</f>
        <v>186861</v>
      </c>
      <c r="C12498" t="str">
        <f>"70763"</f>
        <v>70763</v>
      </c>
      <c r="D12498" t="s">
        <v>5083</v>
      </c>
      <c r="E12498">
        <v>93.36</v>
      </c>
      <c r="F12498">
        <v>20140328</v>
      </c>
      <c r="G12498" t="s">
        <v>5084</v>
      </c>
      <c r="H12498" t="s">
        <v>5137</v>
      </c>
      <c r="I12498" t="s">
        <v>29</v>
      </c>
    </row>
    <row r="12499" spans="1:9" x14ac:dyDescent="0.25">
      <c r="A12499">
        <v>20140328</v>
      </c>
      <c r="B12499" t="str">
        <f>"186862"</f>
        <v>186862</v>
      </c>
      <c r="C12499" t="str">
        <f>"70692"</f>
        <v>70692</v>
      </c>
      <c r="D12499" t="s">
        <v>5085</v>
      </c>
      <c r="E12499">
        <v>576.76</v>
      </c>
      <c r="F12499">
        <v>20140328</v>
      </c>
      <c r="G12499" t="s">
        <v>5086</v>
      </c>
      <c r="H12499" t="s">
        <v>5137</v>
      </c>
      <c r="I12499" t="s">
        <v>29</v>
      </c>
    </row>
    <row r="12500" spans="1:9" x14ac:dyDescent="0.25">
      <c r="A12500">
        <v>20140328</v>
      </c>
      <c r="B12500" t="str">
        <f>"186863"</f>
        <v>186863</v>
      </c>
      <c r="C12500" t="str">
        <f>"70774"</f>
        <v>70774</v>
      </c>
      <c r="D12500" t="s">
        <v>5087</v>
      </c>
      <c r="E12500" s="1">
        <v>1133.8399999999999</v>
      </c>
      <c r="F12500">
        <v>20140328</v>
      </c>
      <c r="G12500" t="s">
        <v>5088</v>
      </c>
      <c r="H12500" t="s">
        <v>5137</v>
      </c>
      <c r="I12500" t="s">
        <v>29</v>
      </c>
    </row>
    <row r="12501" spans="1:9" x14ac:dyDescent="0.25">
      <c r="A12501">
        <v>20140328</v>
      </c>
      <c r="B12501" t="str">
        <f>"186864"</f>
        <v>186864</v>
      </c>
      <c r="C12501" t="str">
        <f>"70777"</f>
        <v>70777</v>
      </c>
      <c r="D12501" t="s">
        <v>5089</v>
      </c>
      <c r="E12501">
        <v>16.25</v>
      </c>
      <c r="F12501">
        <v>20140328</v>
      </c>
      <c r="G12501" t="s">
        <v>5090</v>
      </c>
      <c r="H12501" t="s">
        <v>5137</v>
      </c>
      <c r="I12501" t="s">
        <v>29</v>
      </c>
    </row>
    <row r="12502" spans="1:9" x14ac:dyDescent="0.25">
      <c r="A12502">
        <v>20140328</v>
      </c>
      <c r="B12502" t="str">
        <f>"186865"</f>
        <v>186865</v>
      </c>
      <c r="C12502" t="str">
        <f>"72502"</f>
        <v>72502</v>
      </c>
      <c r="D12502" t="s">
        <v>5091</v>
      </c>
      <c r="E12502">
        <v>330.44</v>
      </c>
      <c r="F12502">
        <v>20140328</v>
      </c>
      <c r="G12502" t="s">
        <v>5092</v>
      </c>
      <c r="H12502" t="s">
        <v>5137</v>
      </c>
      <c r="I12502" t="s">
        <v>29</v>
      </c>
    </row>
    <row r="12503" spans="1:9" x14ac:dyDescent="0.25">
      <c r="A12503">
        <v>20140328</v>
      </c>
      <c r="B12503" t="str">
        <f>"186866"</f>
        <v>186866</v>
      </c>
      <c r="C12503" t="str">
        <f>"83361"</f>
        <v>83361</v>
      </c>
      <c r="D12503" t="s">
        <v>5093</v>
      </c>
      <c r="E12503" s="1">
        <v>1569.5</v>
      </c>
      <c r="F12503">
        <v>20140328</v>
      </c>
      <c r="G12503" t="s">
        <v>5094</v>
      </c>
      <c r="H12503" t="s">
        <v>5137</v>
      </c>
      <c r="I12503" t="s">
        <v>29</v>
      </c>
    </row>
    <row r="12504" spans="1:9" x14ac:dyDescent="0.25">
      <c r="A12504">
        <v>20140328</v>
      </c>
      <c r="B12504" t="str">
        <f>"186867"</f>
        <v>186867</v>
      </c>
      <c r="C12504" t="str">
        <f>"83209"</f>
        <v>83209</v>
      </c>
      <c r="D12504" t="s">
        <v>5097</v>
      </c>
      <c r="E12504">
        <v>693.42</v>
      </c>
      <c r="F12504">
        <v>20140328</v>
      </c>
      <c r="G12504" t="s">
        <v>5098</v>
      </c>
      <c r="H12504" t="s">
        <v>5137</v>
      </c>
      <c r="I12504" t="s">
        <v>29</v>
      </c>
    </row>
    <row r="12505" spans="1:9" x14ac:dyDescent="0.25">
      <c r="A12505">
        <v>20140328</v>
      </c>
      <c r="B12505" t="str">
        <f>"186868"</f>
        <v>186868</v>
      </c>
      <c r="C12505" t="str">
        <f>"76675"</f>
        <v>76675</v>
      </c>
      <c r="D12505" t="s">
        <v>5099</v>
      </c>
      <c r="E12505">
        <v>200</v>
      </c>
      <c r="F12505">
        <v>20140328</v>
      </c>
      <c r="G12505" t="s">
        <v>5100</v>
      </c>
      <c r="H12505" t="s">
        <v>5137</v>
      </c>
      <c r="I12505" t="s">
        <v>29</v>
      </c>
    </row>
    <row r="12506" spans="1:9" x14ac:dyDescent="0.25">
      <c r="A12506">
        <v>20140328</v>
      </c>
      <c r="B12506" t="str">
        <f>"186869"</f>
        <v>186869</v>
      </c>
      <c r="C12506" t="str">
        <f>"76745"</f>
        <v>76745</v>
      </c>
      <c r="D12506" t="s">
        <v>5127</v>
      </c>
      <c r="E12506" s="1">
        <v>1389</v>
      </c>
      <c r="F12506">
        <v>20140328</v>
      </c>
      <c r="G12506" t="s">
        <v>5128</v>
      </c>
      <c r="H12506" t="s">
        <v>5143</v>
      </c>
      <c r="I12506" t="s">
        <v>29</v>
      </c>
    </row>
    <row r="12507" spans="1:9" x14ac:dyDescent="0.25">
      <c r="A12507">
        <v>20140425</v>
      </c>
      <c r="B12507" t="str">
        <f>"187012"</f>
        <v>187012</v>
      </c>
      <c r="C12507" t="str">
        <f>"86972"</f>
        <v>86972</v>
      </c>
      <c r="D12507" t="s">
        <v>5033</v>
      </c>
      <c r="E12507">
        <v>485.74</v>
      </c>
      <c r="F12507">
        <v>20140425</v>
      </c>
      <c r="G12507" t="s">
        <v>5034</v>
      </c>
      <c r="H12507" t="s">
        <v>5144</v>
      </c>
      <c r="I12507" t="s">
        <v>29</v>
      </c>
    </row>
    <row r="12508" spans="1:9" x14ac:dyDescent="0.25">
      <c r="A12508">
        <v>20140425</v>
      </c>
      <c r="B12508" t="str">
        <f>"187013"</f>
        <v>187013</v>
      </c>
      <c r="C12508" t="str">
        <f>"07258"</f>
        <v>07258</v>
      </c>
      <c r="D12508" t="s">
        <v>5036</v>
      </c>
      <c r="E12508" s="1">
        <v>2987.05</v>
      </c>
      <c r="F12508">
        <v>20140425</v>
      </c>
      <c r="G12508" t="s">
        <v>5037</v>
      </c>
      <c r="H12508" t="s">
        <v>5144</v>
      </c>
      <c r="I12508" t="s">
        <v>29</v>
      </c>
    </row>
    <row r="12509" spans="1:9" x14ac:dyDescent="0.25">
      <c r="A12509">
        <v>20140425</v>
      </c>
      <c r="B12509" t="str">
        <f>"187014"</f>
        <v>187014</v>
      </c>
      <c r="C12509" t="str">
        <f>"16955"</f>
        <v>16955</v>
      </c>
      <c r="D12509" t="s">
        <v>5038</v>
      </c>
      <c r="E12509" s="1">
        <v>78347.23</v>
      </c>
      <c r="F12509">
        <v>20140425</v>
      </c>
      <c r="G12509" t="s">
        <v>5039</v>
      </c>
      <c r="H12509" t="s">
        <v>5145</v>
      </c>
      <c r="I12509" t="s">
        <v>29</v>
      </c>
    </row>
    <row r="12510" spans="1:9" x14ac:dyDescent="0.25">
      <c r="A12510">
        <v>20140425</v>
      </c>
      <c r="B12510" t="str">
        <f>"187015"</f>
        <v>187015</v>
      </c>
      <c r="C12510" t="str">
        <f>"81559"</f>
        <v>81559</v>
      </c>
      <c r="D12510" t="s">
        <v>5041</v>
      </c>
      <c r="E12510" s="1">
        <v>2236</v>
      </c>
      <c r="F12510">
        <v>20140425</v>
      </c>
      <c r="G12510" t="s">
        <v>5042</v>
      </c>
      <c r="H12510" t="s">
        <v>5144</v>
      </c>
      <c r="I12510" t="s">
        <v>29</v>
      </c>
    </row>
    <row r="12511" spans="1:9" x14ac:dyDescent="0.25">
      <c r="A12511">
        <v>20140425</v>
      </c>
      <c r="B12511" t="str">
        <f>"187016"</f>
        <v>187016</v>
      </c>
      <c r="C12511" t="str">
        <f>"22240"</f>
        <v>22240</v>
      </c>
      <c r="D12511" t="s">
        <v>1038</v>
      </c>
      <c r="E12511">
        <v>750</v>
      </c>
      <c r="F12511">
        <v>20140425</v>
      </c>
      <c r="G12511" t="s">
        <v>5043</v>
      </c>
      <c r="H12511" t="s">
        <v>5144</v>
      </c>
      <c r="I12511" t="s">
        <v>29</v>
      </c>
    </row>
    <row r="12512" spans="1:9" x14ac:dyDescent="0.25">
      <c r="A12512">
        <v>20140425</v>
      </c>
      <c r="B12512" t="str">
        <f>"187017"</f>
        <v>187017</v>
      </c>
      <c r="C12512" t="str">
        <f>"26330"</f>
        <v>26330</v>
      </c>
      <c r="D12512" t="s">
        <v>5044</v>
      </c>
      <c r="E12512">
        <v>340</v>
      </c>
      <c r="F12512">
        <v>20140425</v>
      </c>
      <c r="G12512" t="s">
        <v>5045</v>
      </c>
      <c r="H12512" t="s">
        <v>5144</v>
      </c>
      <c r="I12512" t="s">
        <v>29</v>
      </c>
    </row>
    <row r="12513" spans="1:9" x14ac:dyDescent="0.25">
      <c r="A12513">
        <v>20140425</v>
      </c>
      <c r="B12513" t="str">
        <f>"187018"</f>
        <v>187018</v>
      </c>
      <c r="C12513" t="str">
        <f>"26994"</f>
        <v>26994</v>
      </c>
      <c r="D12513" t="s">
        <v>548</v>
      </c>
      <c r="E12513" s="1">
        <v>2400</v>
      </c>
      <c r="F12513">
        <v>20140425</v>
      </c>
      <c r="G12513" t="s">
        <v>5046</v>
      </c>
      <c r="H12513" t="s">
        <v>5144</v>
      </c>
      <c r="I12513" t="s">
        <v>29</v>
      </c>
    </row>
    <row r="12514" spans="1:9" x14ac:dyDescent="0.25">
      <c r="A12514">
        <v>20140425</v>
      </c>
      <c r="B12514" t="str">
        <f>"187019"</f>
        <v>187019</v>
      </c>
      <c r="C12514" t="str">
        <f>"26990"</f>
        <v>26990</v>
      </c>
      <c r="D12514" t="s">
        <v>548</v>
      </c>
      <c r="E12514">
        <v>76.92</v>
      </c>
      <c r="F12514">
        <v>20140425</v>
      </c>
      <c r="G12514" t="s">
        <v>5047</v>
      </c>
      <c r="H12514" t="s">
        <v>5144</v>
      </c>
      <c r="I12514" t="s">
        <v>29</v>
      </c>
    </row>
    <row r="12515" spans="1:9" x14ac:dyDescent="0.25">
      <c r="A12515">
        <v>20140425</v>
      </c>
      <c r="B12515" t="str">
        <f t="shared" ref="B12515:B12540" si="717">"187020"</f>
        <v>187020</v>
      </c>
      <c r="C12515" t="str">
        <f t="shared" ref="C12515:C12540" si="718">"86432"</f>
        <v>86432</v>
      </c>
      <c r="D12515" t="s">
        <v>5048</v>
      </c>
      <c r="E12515" s="1">
        <v>3268.57</v>
      </c>
      <c r="F12515">
        <v>20140425</v>
      </c>
      <c r="G12515" t="s">
        <v>5049</v>
      </c>
      <c r="H12515" t="s">
        <v>5146</v>
      </c>
      <c r="I12515" t="s">
        <v>29</v>
      </c>
    </row>
    <row r="12516" spans="1:9" x14ac:dyDescent="0.25">
      <c r="A12516">
        <v>20140425</v>
      </c>
      <c r="B12516" t="str">
        <f t="shared" si="717"/>
        <v>187020</v>
      </c>
      <c r="C12516" t="str">
        <f t="shared" si="718"/>
        <v>86432</v>
      </c>
      <c r="D12516" t="s">
        <v>5048</v>
      </c>
      <c r="E12516">
        <v>54.23</v>
      </c>
      <c r="F12516">
        <v>20140425</v>
      </c>
      <c r="G12516" t="s">
        <v>5051</v>
      </c>
      <c r="H12516" t="s">
        <v>5146</v>
      </c>
      <c r="I12516" t="s">
        <v>29</v>
      </c>
    </row>
    <row r="12517" spans="1:9" x14ac:dyDescent="0.25">
      <c r="A12517">
        <v>20140425</v>
      </c>
      <c r="B12517" t="str">
        <f t="shared" si="717"/>
        <v>187020</v>
      </c>
      <c r="C12517" t="str">
        <f t="shared" si="718"/>
        <v>86432</v>
      </c>
      <c r="D12517" t="s">
        <v>5048</v>
      </c>
      <c r="E12517">
        <v>29.5</v>
      </c>
      <c r="F12517">
        <v>20140425</v>
      </c>
      <c r="G12517" t="s">
        <v>5052</v>
      </c>
      <c r="H12517" t="s">
        <v>5146</v>
      </c>
      <c r="I12517" t="s">
        <v>29</v>
      </c>
    </row>
    <row r="12518" spans="1:9" x14ac:dyDescent="0.25">
      <c r="A12518">
        <v>20140425</v>
      </c>
      <c r="B12518" t="str">
        <f t="shared" si="717"/>
        <v>187020</v>
      </c>
      <c r="C12518" t="str">
        <f t="shared" si="718"/>
        <v>86432</v>
      </c>
      <c r="D12518" t="s">
        <v>5048</v>
      </c>
      <c r="E12518" s="1">
        <v>20481.439999999999</v>
      </c>
      <c r="F12518">
        <v>20140425</v>
      </c>
      <c r="G12518" t="s">
        <v>5053</v>
      </c>
      <c r="H12518" t="s">
        <v>5147</v>
      </c>
      <c r="I12518" t="s">
        <v>29</v>
      </c>
    </row>
    <row r="12519" spans="1:9" x14ac:dyDescent="0.25">
      <c r="A12519">
        <v>20140425</v>
      </c>
      <c r="B12519" t="str">
        <f t="shared" si="717"/>
        <v>187020</v>
      </c>
      <c r="C12519" t="str">
        <f t="shared" si="718"/>
        <v>86432</v>
      </c>
      <c r="D12519" t="s">
        <v>5048</v>
      </c>
      <c r="E12519" s="1">
        <v>2922</v>
      </c>
      <c r="F12519">
        <v>20140425</v>
      </c>
      <c r="G12519" t="s">
        <v>5055</v>
      </c>
      <c r="H12519" t="s">
        <v>5146</v>
      </c>
      <c r="I12519" t="s">
        <v>29</v>
      </c>
    </row>
    <row r="12520" spans="1:9" x14ac:dyDescent="0.25">
      <c r="A12520">
        <v>20140425</v>
      </c>
      <c r="B12520" t="str">
        <f t="shared" si="717"/>
        <v>187020</v>
      </c>
      <c r="C12520" t="str">
        <f t="shared" si="718"/>
        <v>86432</v>
      </c>
      <c r="D12520" t="s">
        <v>5048</v>
      </c>
      <c r="E12520" s="1">
        <v>3232.14</v>
      </c>
      <c r="F12520">
        <v>20140425</v>
      </c>
      <c r="G12520" t="s">
        <v>5056</v>
      </c>
      <c r="H12520" t="s">
        <v>5147</v>
      </c>
      <c r="I12520" t="s">
        <v>29</v>
      </c>
    </row>
    <row r="12521" spans="1:9" x14ac:dyDescent="0.25">
      <c r="A12521">
        <v>20140425</v>
      </c>
      <c r="B12521" t="str">
        <f t="shared" si="717"/>
        <v>187020</v>
      </c>
      <c r="C12521" t="str">
        <f t="shared" si="718"/>
        <v>86432</v>
      </c>
      <c r="D12521" t="s">
        <v>5048</v>
      </c>
      <c r="E12521">
        <v>231.71</v>
      </c>
      <c r="F12521">
        <v>20140425</v>
      </c>
      <c r="G12521" t="s">
        <v>5057</v>
      </c>
      <c r="H12521" t="s">
        <v>5147</v>
      </c>
      <c r="I12521" t="s">
        <v>29</v>
      </c>
    </row>
    <row r="12522" spans="1:9" x14ac:dyDescent="0.25">
      <c r="A12522">
        <v>20140425</v>
      </c>
      <c r="B12522" t="str">
        <f t="shared" si="717"/>
        <v>187020</v>
      </c>
      <c r="C12522" t="str">
        <f t="shared" si="718"/>
        <v>86432</v>
      </c>
      <c r="D12522" t="s">
        <v>5048</v>
      </c>
      <c r="E12522">
        <v>821.25</v>
      </c>
      <c r="F12522">
        <v>20140425</v>
      </c>
      <c r="G12522" t="s">
        <v>5058</v>
      </c>
      <c r="H12522" t="s">
        <v>5147</v>
      </c>
      <c r="I12522" t="s">
        <v>29</v>
      </c>
    </row>
    <row r="12523" spans="1:9" x14ac:dyDescent="0.25">
      <c r="A12523">
        <v>20140425</v>
      </c>
      <c r="B12523" t="str">
        <f t="shared" si="717"/>
        <v>187020</v>
      </c>
      <c r="C12523" t="str">
        <f t="shared" si="718"/>
        <v>86432</v>
      </c>
      <c r="D12523" t="s">
        <v>5048</v>
      </c>
      <c r="E12523">
        <v>60.65</v>
      </c>
      <c r="F12523">
        <v>20140425</v>
      </c>
      <c r="G12523" t="s">
        <v>5059</v>
      </c>
      <c r="H12523" t="s">
        <v>5147</v>
      </c>
      <c r="I12523" t="s">
        <v>29</v>
      </c>
    </row>
    <row r="12524" spans="1:9" x14ac:dyDescent="0.25">
      <c r="A12524">
        <v>20140425</v>
      </c>
      <c r="B12524" t="str">
        <f t="shared" si="717"/>
        <v>187020</v>
      </c>
      <c r="C12524" t="str">
        <f t="shared" si="718"/>
        <v>86432</v>
      </c>
      <c r="D12524" t="s">
        <v>5048</v>
      </c>
      <c r="E12524">
        <v>749.9</v>
      </c>
      <c r="F12524">
        <v>20140425</v>
      </c>
      <c r="G12524" t="s">
        <v>5060</v>
      </c>
      <c r="H12524" t="s">
        <v>5147</v>
      </c>
      <c r="I12524" t="s">
        <v>29</v>
      </c>
    </row>
    <row r="12525" spans="1:9" x14ac:dyDescent="0.25">
      <c r="A12525">
        <v>20140425</v>
      </c>
      <c r="B12525" t="str">
        <f t="shared" si="717"/>
        <v>187020</v>
      </c>
      <c r="C12525" t="str">
        <f t="shared" si="718"/>
        <v>86432</v>
      </c>
      <c r="D12525" t="s">
        <v>5048</v>
      </c>
      <c r="E12525">
        <v>307.7</v>
      </c>
      <c r="F12525">
        <v>20140425</v>
      </c>
      <c r="G12525" t="s">
        <v>5061</v>
      </c>
      <c r="H12525" t="s">
        <v>5147</v>
      </c>
      <c r="I12525" t="s">
        <v>29</v>
      </c>
    </row>
    <row r="12526" spans="1:9" x14ac:dyDescent="0.25">
      <c r="A12526">
        <v>20140425</v>
      </c>
      <c r="B12526" t="str">
        <f t="shared" si="717"/>
        <v>187020</v>
      </c>
      <c r="C12526" t="str">
        <f t="shared" si="718"/>
        <v>86432</v>
      </c>
      <c r="D12526" t="s">
        <v>5048</v>
      </c>
      <c r="E12526">
        <v>36.24</v>
      </c>
      <c r="F12526">
        <v>20140425</v>
      </c>
      <c r="G12526" t="s">
        <v>5062</v>
      </c>
      <c r="H12526" t="s">
        <v>5147</v>
      </c>
      <c r="I12526" t="s">
        <v>29</v>
      </c>
    </row>
    <row r="12527" spans="1:9" x14ac:dyDescent="0.25">
      <c r="A12527">
        <v>20140425</v>
      </c>
      <c r="B12527" t="str">
        <f t="shared" si="717"/>
        <v>187020</v>
      </c>
      <c r="C12527" t="str">
        <f t="shared" si="718"/>
        <v>86432</v>
      </c>
      <c r="D12527" t="s">
        <v>5048</v>
      </c>
      <c r="E12527" s="1">
        <v>17424.04</v>
      </c>
      <c r="F12527">
        <v>20140425</v>
      </c>
      <c r="G12527" t="s">
        <v>5063</v>
      </c>
      <c r="H12527" t="s">
        <v>5146</v>
      </c>
      <c r="I12527" t="s">
        <v>29</v>
      </c>
    </row>
    <row r="12528" spans="1:9" x14ac:dyDescent="0.25">
      <c r="A12528">
        <v>20140425</v>
      </c>
      <c r="B12528" t="str">
        <f t="shared" si="717"/>
        <v>187020</v>
      </c>
      <c r="C12528" t="str">
        <f t="shared" si="718"/>
        <v>86432</v>
      </c>
      <c r="D12528" t="s">
        <v>5048</v>
      </c>
      <c r="E12528" s="1">
        <v>12160.5</v>
      </c>
      <c r="F12528">
        <v>20140425</v>
      </c>
      <c r="G12528" t="s">
        <v>5064</v>
      </c>
      <c r="H12528" t="s">
        <v>5144</v>
      </c>
      <c r="I12528" t="s">
        <v>29</v>
      </c>
    </row>
    <row r="12529" spans="1:9" x14ac:dyDescent="0.25">
      <c r="A12529">
        <v>20140425</v>
      </c>
      <c r="B12529" t="str">
        <f t="shared" si="717"/>
        <v>187020</v>
      </c>
      <c r="C12529" t="str">
        <f t="shared" si="718"/>
        <v>86432</v>
      </c>
      <c r="D12529" t="s">
        <v>5048</v>
      </c>
      <c r="E12529" s="1">
        <v>4125</v>
      </c>
      <c r="F12529">
        <v>20140425</v>
      </c>
      <c r="G12529" t="s">
        <v>5065</v>
      </c>
      <c r="H12529" t="s">
        <v>5148</v>
      </c>
      <c r="I12529" t="s">
        <v>29</v>
      </c>
    </row>
    <row r="12530" spans="1:9" x14ac:dyDescent="0.25">
      <c r="A12530">
        <v>20140425</v>
      </c>
      <c r="B12530" t="str">
        <f t="shared" si="717"/>
        <v>187020</v>
      </c>
      <c r="C12530" t="str">
        <f t="shared" si="718"/>
        <v>86432</v>
      </c>
      <c r="D12530" t="s">
        <v>5048</v>
      </c>
      <c r="E12530">
        <v>125</v>
      </c>
      <c r="F12530">
        <v>20140425</v>
      </c>
      <c r="G12530" t="s">
        <v>5067</v>
      </c>
      <c r="H12530" t="s">
        <v>5148</v>
      </c>
      <c r="I12530" t="s">
        <v>29</v>
      </c>
    </row>
    <row r="12531" spans="1:9" x14ac:dyDescent="0.25">
      <c r="A12531">
        <v>20140425</v>
      </c>
      <c r="B12531" t="str">
        <f t="shared" si="717"/>
        <v>187020</v>
      </c>
      <c r="C12531" t="str">
        <f t="shared" si="718"/>
        <v>86432</v>
      </c>
      <c r="D12531" t="s">
        <v>5048</v>
      </c>
      <c r="E12531">
        <v>50</v>
      </c>
      <c r="F12531">
        <v>20140425</v>
      </c>
      <c r="G12531" t="s">
        <v>5068</v>
      </c>
      <c r="H12531" t="s">
        <v>5148</v>
      </c>
      <c r="I12531" t="s">
        <v>29</v>
      </c>
    </row>
    <row r="12532" spans="1:9" x14ac:dyDescent="0.25">
      <c r="A12532">
        <v>20140425</v>
      </c>
      <c r="B12532" t="str">
        <f t="shared" si="717"/>
        <v>187020</v>
      </c>
      <c r="C12532" t="str">
        <f t="shared" si="718"/>
        <v>86432</v>
      </c>
      <c r="D12532" t="s">
        <v>5048</v>
      </c>
      <c r="E12532" s="1">
        <v>1753</v>
      </c>
      <c r="F12532">
        <v>20140425</v>
      </c>
      <c r="G12532" t="s">
        <v>5069</v>
      </c>
      <c r="H12532" t="s">
        <v>5148</v>
      </c>
      <c r="I12532" t="s">
        <v>29</v>
      </c>
    </row>
    <row r="12533" spans="1:9" x14ac:dyDescent="0.25">
      <c r="A12533">
        <v>20140425</v>
      </c>
      <c r="B12533" t="str">
        <f t="shared" si="717"/>
        <v>187020</v>
      </c>
      <c r="C12533" t="str">
        <f t="shared" si="718"/>
        <v>86432</v>
      </c>
      <c r="D12533" t="s">
        <v>5048</v>
      </c>
      <c r="E12533">
        <v>175</v>
      </c>
      <c r="F12533">
        <v>20140425</v>
      </c>
      <c r="G12533" t="s">
        <v>5070</v>
      </c>
      <c r="H12533" t="s">
        <v>5148</v>
      </c>
      <c r="I12533" t="s">
        <v>29</v>
      </c>
    </row>
    <row r="12534" spans="1:9" x14ac:dyDescent="0.25">
      <c r="A12534">
        <v>20140425</v>
      </c>
      <c r="B12534" t="str">
        <f t="shared" si="717"/>
        <v>187020</v>
      </c>
      <c r="C12534" t="str">
        <f t="shared" si="718"/>
        <v>86432</v>
      </c>
      <c r="D12534" t="s">
        <v>5048</v>
      </c>
      <c r="E12534">
        <v>550</v>
      </c>
      <c r="F12534">
        <v>20140425</v>
      </c>
      <c r="G12534" t="s">
        <v>5071</v>
      </c>
      <c r="H12534" t="s">
        <v>5148</v>
      </c>
      <c r="I12534" t="s">
        <v>29</v>
      </c>
    </row>
    <row r="12535" spans="1:9" x14ac:dyDescent="0.25">
      <c r="A12535">
        <v>20140425</v>
      </c>
      <c r="B12535" t="str">
        <f t="shared" si="717"/>
        <v>187020</v>
      </c>
      <c r="C12535" t="str">
        <f t="shared" si="718"/>
        <v>86432</v>
      </c>
      <c r="D12535" t="s">
        <v>5048</v>
      </c>
      <c r="E12535" s="1">
        <v>2983.33</v>
      </c>
      <c r="F12535">
        <v>20140425</v>
      </c>
      <c r="G12535" t="s">
        <v>5072</v>
      </c>
      <c r="H12535" t="s">
        <v>5148</v>
      </c>
      <c r="I12535" t="s">
        <v>29</v>
      </c>
    </row>
    <row r="12536" spans="1:9" x14ac:dyDescent="0.25">
      <c r="A12536">
        <v>20140425</v>
      </c>
      <c r="B12536" t="str">
        <f t="shared" si="717"/>
        <v>187020</v>
      </c>
      <c r="C12536" t="str">
        <f t="shared" si="718"/>
        <v>86432</v>
      </c>
      <c r="D12536" t="s">
        <v>5048</v>
      </c>
      <c r="E12536" s="1">
        <v>2315</v>
      </c>
      <c r="F12536">
        <v>20140425</v>
      </c>
      <c r="G12536" t="s">
        <v>5073</v>
      </c>
      <c r="H12536" t="s">
        <v>5148</v>
      </c>
      <c r="I12536" t="s">
        <v>29</v>
      </c>
    </row>
    <row r="12537" spans="1:9" x14ac:dyDescent="0.25">
      <c r="A12537">
        <v>20140425</v>
      </c>
      <c r="B12537" t="str">
        <f t="shared" si="717"/>
        <v>187020</v>
      </c>
      <c r="C12537" t="str">
        <f t="shared" si="718"/>
        <v>86432</v>
      </c>
      <c r="D12537" t="s">
        <v>5048</v>
      </c>
      <c r="E12537">
        <v>485</v>
      </c>
      <c r="F12537">
        <v>20140425</v>
      </c>
      <c r="G12537" t="s">
        <v>5074</v>
      </c>
      <c r="H12537" t="s">
        <v>5148</v>
      </c>
      <c r="I12537" t="s">
        <v>29</v>
      </c>
    </row>
    <row r="12538" spans="1:9" x14ac:dyDescent="0.25">
      <c r="A12538">
        <v>20140425</v>
      </c>
      <c r="B12538" t="str">
        <f t="shared" si="717"/>
        <v>187020</v>
      </c>
      <c r="C12538" t="str">
        <f t="shared" si="718"/>
        <v>86432</v>
      </c>
      <c r="D12538" t="s">
        <v>5048</v>
      </c>
      <c r="E12538">
        <v>400</v>
      </c>
      <c r="F12538">
        <v>20140425</v>
      </c>
      <c r="G12538" t="s">
        <v>5075</v>
      </c>
      <c r="H12538" t="s">
        <v>5148</v>
      </c>
      <c r="I12538" t="s">
        <v>29</v>
      </c>
    </row>
    <row r="12539" spans="1:9" x14ac:dyDescent="0.25">
      <c r="A12539">
        <v>20140425</v>
      </c>
      <c r="B12539" t="str">
        <f t="shared" si="717"/>
        <v>187020</v>
      </c>
      <c r="C12539" t="str">
        <f t="shared" si="718"/>
        <v>86432</v>
      </c>
      <c r="D12539" t="s">
        <v>5048</v>
      </c>
      <c r="E12539">
        <v>575</v>
      </c>
      <c r="F12539">
        <v>20140425</v>
      </c>
      <c r="G12539" t="s">
        <v>5076</v>
      </c>
      <c r="H12539" t="s">
        <v>5148</v>
      </c>
      <c r="I12539" t="s">
        <v>29</v>
      </c>
    </row>
    <row r="12540" spans="1:9" x14ac:dyDescent="0.25">
      <c r="A12540">
        <v>20140425</v>
      </c>
      <c r="B12540" t="str">
        <f t="shared" si="717"/>
        <v>187020</v>
      </c>
      <c r="C12540" t="str">
        <f t="shared" si="718"/>
        <v>86432</v>
      </c>
      <c r="D12540" t="s">
        <v>5048</v>
      </c>
      <c r="E12540" s="1">
        <v>16914.18</v>
      </c>
      <c r="F12540">
        <v>20140425</v>
      </c>
      <c r="G12540" t="s">
        <v>5077</v>
      </c>
      <c r="H12540" t="s">
        <v>5149</v>
      </c>
      <c r="I12540" t="s">
        <v>29</v>
      </c>
    </row>
    <row r="12541" spans="1:9" x14ac:dyDescent="0.25">
      <c r="A12541">
        <v>20140425</v>
      </c>
      <c r="B12541" t="str">
        <f>"187021"</f>
        <v>187021</v>
      </c>
      <c r="C12541" t="str">
        <f>"85294"</f>
        <v>85294</v>
      </c>
      <c r="D12541" t="s">
        <v>5079</v>
      </c>
      <c r="E12541">
        <v>250.41</v>
      </c>
      <c r="F12541">
        <v>20140425</v>
      </c>
      <c r="G12541" t="s">
        <v>5080</v>
      </c>
      <c r="H12541" t="s">
        <v>5147</v>
      </c>
      <c r="I12541" t="s">
        <v>29</v>
      </c>
    </row>
    <row r="12542" spans="1:9" x14ac:dyDescent="0.25">
      <c r="A12542">
        <v>20140425</v>
      </c>
      <c r="B12542" t="str">
        <f>"187022"</f>
        <v>187022</v>
      </c>
      <c r="C12542" t="str">
        <f>"87668"</f>
        <v>87668</v>
      </c>
      <c r="D12542" t="s">
        <v>5125</v>
      </c>
      <c r="E12542">
        <v>438.68</v>
      </c>
      <c r="F12542">
        <v>20140425</v>
      </c>
      <c r="G12542" t="s">
        <v>5126</v>
      </c>
      <c r="H12542" t="s">
        <v>5144</v>
      </c>
      <c r="I12542" t="s">
        <v>29</v>
      </c>
    </row>
    <row r="12543" spans="1:9" x14ac:dyDescent="0.25">
      <c r="A12543">
        <v>20140425</v>
      </c>
      <c r="B12543" t="str">
        <f>"187023"</f>
        <v>187023</v>
      </c>
      <c r="C12543" t="str">
        <f>"69390"</f>
        <v>69390</v>
      </c>
      <c r="D12543" t="s">
        <v>5081</v>
      </c>
      <c r="E12543">
        <v>260</v>
      </c>
      <c r="F12543">
        <v>20140425</v>
      </c>
      <c r="G12543" t="s">
        <v>5082</v>
      </c>
      <c r="H12543" t="s">
        <v>5144</v>
      </c>
      <c r="I12543" t="s">
        <v>29</v>
      </c>
    </row>
    <row r="12544" spans="1:9" x14ac:dyDescent="0.25">
      <c r="A12544">
        <v>20140425</v>
      </c>
      <c r="B12544" t="str">
        <f>"187024"</f>
        <v>187024</v>
      </c>
      <c r="C12544" t="str">
        <f>"70763"</f>
        <v>70763</v>
      </c>
      <c r="D12544" t="s">
        <v>5083</v>
      </c>
      <c r="E12544">
        <v>93.36</v>
      </c>
      <c r="F12544">
        <v>20140425</v>
      </c>
      <c r="G12544" t="s">
        <v>5084</v>
      </c>
      <c r="H12544" t="s">
        <v>5144</v>
      </c>
      <c r="I12544" t="s">
        <v>29</v>
      </c>
    </row>
    <row r="12545" spans="1:9" x14ac:dyDescent="0.25">
      <c r="A12545">
        <v>20140425</v>
      </c>
      <c r="B12545" t="str">
        <f>"187025"</f>
        <v>187025</v>
      </c>
      <c r="C12545" t="str">
        <f>"70692"</f>
        <v>70692</v>
      </c>
      <c r="D12545" t="s">
        <v>5085</v>
      </c>
      <c r="E12545">
        <v>576.76</v>
      </c>
      <c r="F12545">
        <v>20140425</v>
      </c>
      <c r="G12545" t="s">
        <v>5086</v>
      </c>
      <c r="H12545" t="s">
        <v>5144</v>
      </c>
      <c r="I12545" t="s">
        <v>29</v>
      </c>
    </row>
    <row r="12546" spans="1:9" x14ac:dyDescent="0.25">
      <c r="A12546">
        <v>20140425</v>
      </c>
      <c r="B12546" t="str">
        <f>"187026"</f>
        <v>187026</v>
      </c>
      <c r="C12546" t="str">
        <f>"70774"</f>
        <v>70774</v>
      </c>
      <c r="D12546" t="s">
        <v>5087</v>
      </c>
      <c r="E12546" s="1">
        <v>1468.84</v>
      </c>
      <c r="F12546">
        <v>20140425</v>
      </c>
      <c r="G12546" t="s">
        <v>5088</v>
      </c>
      <c r="H12546" t="s">
        <v>5144</v>
      </c>
      <c r="I12546" t="s">
        <v>29</v>
      </c>
    </row>
    <row r="12547" spans="1:9" x14ac:dyDescent="0.25">
      <c r="A12547">
        <v>20140425</v>
      </c>
      <c r="B12547" t="str">
        <f>"187027"</f>
        <v>187027</v>
      </c>
      <c r="C12547" t="str">
        <f>"70777"</f>
        <v>70777</v>
      </c>
      <c r="D12547" t="s">
        <v>5089</v>
      </c>
      <c r="E12547">
        <v>16.25</v>
      </c>
      <c r="F12547">
        <v>20140425</v>
      </c>
      <c r="G12547" t="s">
        <v>5090</v>
      </c>
      <c r="H12547" t="s">
        <v>5144</v>
      </c>
      <c r="I12547" t="s">
        <v>29</v>
      </c>
    </row>
    <row r="12548" spans="1:9" x14ac:dyDescent="0.25">
      <c r="A12548">
        <v>20140425</v>
      </c>
      <c r="B12548" t="str">
        <f>"187028"</f>
        <v>187028</v>
      </c>
      <c r="C12548" t="str">
        <f>"72502"</f>
        <v>72502</v>
      </c>
      <c r="D12548" t="s">
        <v>5091</v>
      </c>
      <c r="E12548">
        <v>330.44</v>
      </c>
      <c r="F12548">
        <v>20140425</v>
      </c>
      <c r="G12548" t="s">
        <v>5092</v>
      </c>
      <c r="H12548" t="s">
        <v>5144</v>
      </c>
      <c r="I12548" t="s">
        <v>29</v>
      </c>
    </row>
    <row r="12549" spans="1:9" x14ac:dyDescent="0.25">
      <c r="A12549">
        <v>20140425</v>
      </c>
      <c r="B12549" t="str">
        <f>"187029"</f>
        <v>187029</v>
      </c>
      <c r="C12549" t="str">
        <f>"83361"</f>
        <v>83361</v>
      </c>
      <c r="D12549" t="s">
        <v>5093</v>
      </c>
      <c r="E12549" s="1">
        <v>1569.5</v>
      </c>
      <c r="F12549">
        <v>20140425</v>
      </c>
      <c r="G12549" t="s">
        <v>5094</v>
      </c>
      <c r="H12549" t="s">
        <v>5144</v>
      </c>
      <c r="I12549" t="s">
        <v>29</v>
      </c>
    </row>
    <row r="12550" spans="1:9" x14ac:dyDescent="0.25">
      <c r="A12550">
        <v>20140425</v>
      </c>
      <c r="B12550" t="str">
        <f>"187030"</f>
        <v>187030</v>
      </c>
      <c r="C12550" t="str">
        <f>"83209"</f>
        <v>83209</v>
      </c>
      <c r="D12550" t="s">
        <v>5097</v>
      </c>
      <c r="E12550">
        <v>693.42</v>
      </c>
      <c r="F12550">
        <v>20140425</v>
      </c>
      <c r="G12550" t="s">
        <v>5098</v>
      </c>
      <c r="H12550" t="s">
        <v>5144</v>
      </c>
      <c r="I12550" t="s">
        <v>29</v>
      </c>
    </row>
    <row r="12551" spans="1:9" x14ac:dyDescent="0.25">
      <c r="A12551">
        <v>20140425</v>
      </c>
      <c r="B12551" t="str">
        <f>"187031"</f>
        <v>187031</v>
      </c>
      <c r="C12551" t="str">
        <f>"76675"</f>
        <v>76675</v>
      </c>
      <c r="D12551" t="s">
        <v>5099</v>
      </c>
      <c r="E12551">
        <v>200</v>
      </c>
      <c r="F12551">
        <v>20140425</v>
      </c>
      <c r="G12551" t="s">
        <v>5100</v>
      </c>
      <c r="H12551" t="s">
        <v>5144</v>
      </c>
      <c r="I12551" t="s">
        <v>29</v>
      </c>
    </row>
    <row r="12552" spans="1:9" x14ac:dyDescent="0.25">
      <c r="A12552">
        <v>20140425</v>
      </c>
      <c r="B12552" t="str">
        <f>"187032"</f>
        <v>187032</v>
      </c>
      <c r="C12552" t="str">
        <f>"76745"</f>
        <v>76745</v>
      </c>
      <c r="D12552" t="s">
        <v>5127</v>
      </c>
      <c r="E12552" s="1">
        <v>1374</v>
      </c>
      <c r="F12552">
        <v>20140425</v>
      </c>
      <c r="G12552" t="s">
        <v>5128</v>
      </c>
      <c r="H12552" t="s">
        <v>5150</v>
      </c>
      <c r="I12552" t="s">
        <v>29</v>
      </c>
    </row>
    <row r="12553" spans="1:9" x14ac:dyDescent="0.25">
      <c r="A12553">
        <v>20140530</v>
      </c>
      <c r="B12553" t="str">
        <f>"187173"</f>
        <v>187173</v>
      </c>
      <c r="C12553" t="str">
        <f>"86972"</f>
        <v>86972</v>
      </c>
      <c r="D12553" t="s">
        <v>5033</v>
      </c>
      <c r="E12553">
        <v>485.74</v>
      </c>
      <c r="F12553">
        <v>20140530</v>
      </c>
      <c r="G12553" t="s">
        <v>5034</v>
      </c>
      <c r="H12553" t="s">
        <v>5151</v>
      </c>
      <c r="I12553" t="s">
        <v>29</v>
      </c>
    </row>
    <row r="12554" spans="1:9" x14ac:dyDescent="0.25">
      <c r="A12554">
        <v>20140530</v>
      </c>
      <c r="B12554" t="str">
        <f>"187174"</f>
        <v>187174</v>
      </c>
      <c r="C12554" t="str">
        <f>"07258"</f>
        <v>07258</v>
      </c>
      <c r="D12554" t="s">
        <v>5036</v>
      </c>
      <c r="E12554" s="1">
        <v>2987.05</v>
      </c>
      <c r="F12554">
        <v>20140530</v>
      </c>
      <c r="G12554" t="s">
        <v>5037</v>
      </c>
      <c r="H12554" t="s">
        <v>5151</v>
      </c>
      <c r="I12554" t="s">
        <v>29</v>
      </c>
    </row>
    <row r="12555" spans="1:9" x14ac:dyDescent="0.25">
      <c r="A12555">
        <v>20140530</v>
      </c>
      <c r="B12555" t="str">
        <f>"187175"</f>
        <v>187175</v>
      </c>
      <c r="C12555" t="str">
        <f>"16955"</f>
        <v>16955</v>
      </c>
      <c r="D12555" t="s">
        <v>5038</v>
      </c>
      <c r="E12555" s="1">
        <v>77696.289999999994</v>
      </c>
      <c r="F12555">
        <v>20140530</v>
      </c>
      <c r="G12555" t="s">
        <v>5039</v>
      </c>
      <c r="H12555" t="s">
        <v>5152</v>
      </c>
      <c r="I12555" t="s">
        <v>29</v>
      </c>
    </row>
    <row r="12556" spans="1:9" x14ac:dyDescent="0.25">
      <c r="A12556">
        <v>20140530</v>
      </c>
      <c r="B12556" t="str">
        <f>"187176"</f>
        <v>187176</v>
      </c>
      <c r="C12556" t="str">
        <f>"81559"</f>
        <v>81559</v>
      </c>
      <c r="D12556" t="s">
        <v>5041</v>
      </c>
      <c r="E12556" s="1">
        <v>2356</v>
      </c>
      <c r="F12556">
        <v>20140530</v>
      </c>
      <c r="G12556" t="s">
        <v>5042</v>
      </c>
      <c r="H12556" t="s">
        <v>5151</v>
      </c>
      <c r="I12556" t="s">
        <v>29</v>
      </c>
    </row>
    <row r="12557" spans="1:9" x14ac:dyDescent="0.25">
      <c r="A12557">
        <v>20140530</v>
      </c>
      <c r="B12557" t="str">
        <f>"187177"</f>
        <v>187177</v>
      </c>
      <c r="C12557" t="str">
        <f>"22240"</f>
        <v>22240</v>
      </c>
      <c r="D12557" t="s">
        <v>1038</v>
      </c>
      <c r="E12557">
        <v>750</v>
      </c>
      <c r="F12557">
        <v>20140530</v>
      </c>
      <c r="G12557" t="s">
        <v>5043</v>
      </c>
      <c r="H12557" t="s">
        <v>5151</v>
      </c>
      <c r="I12557" t="s">
        <v>29</v>
      </c>
    </row>
    <row r="12558" spans="1:9" x14ac:dyDescent="0.25">
      <c r="A12558">
        <v>20140530</v>
      </c>
      <c r="B12558" t="str">
        <f>"187178"</f>
        <v>187178</v>
      </c>
      <c r="C12558" t="str">
        <f>"26330"</f>
        <v>26330</v>
      </c>
      <c r="D12558" t="s">
        <v>5044</v>
      </c>
      <c r="E12558">
        <v>340</v>
      </c>
      <c r="F12558">
        <v>20140530</v>
      </c>
      <c r="G12558" t="s">
        <v>5045</v>
      </c>
      <c r="H12558" t="s">
        <v>5151</v>
      </c>
      <c r="I12558" t="s">
        <v>29</v>
      </c>
    </row>
    <row r="12559" spans="1:9" x14ac:dyDescent="0.25">
      <c r="A12559">
        <v>20140530</v>
      </c>
      <c r="B12559" t="str">
        <f>"187179"</f>
        <v>187179</v>
      </c>
      <c r="C12559" t="str">
        <f>"26994"</f>
        <v>26994</v>
      </c>
      <c r="D12559" t="s">
        <v>548</v>
      </c>
      <c r="E12559" s="1">
        <v>1920</v>
      </c>
      <c r="F12559">
        <v>20140530</v>
      </c>
      <c r="G12559" t="s">
        <v>5046</v>
      </c>
      <c r="H12559" t="s">
        <v>5151</v>
      </c>
      <c r="I12559" t="s">
        <v>29</v>
      </c>
    </row>
    <row r="12560" spans="1:9" x14ac:dyDescent="0.25">
      <c r="A12560">
        <v>20140530</v>
      </c>
      <c r="B12560" t="str">
        <f>"187180"</f>
        <v>187180</v>
      </c>
      <c r="C12560" t="str">
        <f>"26990"</f>
        <v>26990</v>
      </c>
      <c r="D12560" t="s">
        <v>548</v>
      </c>
      <c r="E12560">
        <v>76.92</v>
      </c>
      <c r="F12560">
        <v>20140530</v>
      </c>
      <c r="G12560" t="s">
        <v>5047</v>
      </c>
      <c r="H12560" t="s">
        <v>5151</v>
      </c>
      <c r="I12560" t="s">
        <v>29</v>
      </c>
    </row>
    <row r="12561" spans="1:9" x14ac:dyDescent="0.25">
      <c r="A12561">
        <v>20140530</v>
      </c>
      <c r="B12561" t="str">
        <f t="shared" ref="B12561:B12586" si="719">"187181"</f>
        <v>187181</v>
      </c>
      <c r="C12561" t="str">
        <f t="shared" ref="C12561:C12586" si="720">"86432"</f>
        <v>86432</v>
      </c>
      <c r="D12561" t="s">
        <v>5048</v>
      </c>
      <c r="E12561" s="1">
        <v>3262.49</v>
      </c>
      <c r="F12561">
        <v>20140530</v>
      </c>
      <c r="G12561" t="s">
        <v>5049</v>
      </c>
      <c r="H12561" t="s">
        <v>5153</v>
      </c>
      <c r="I12561" t="s">
        <v>29</v>
      </c>
    </row>
    <row r="12562" spans="1:9" x14ac:dyDescent="0.25">
      <c r="A12562">
        <v>20140530</v>
      </c>
      <c r="B12562" t="str">
        <f t="shared" si="719"/>
        <v>187181</v>
      </c>
      <c r="C12562" t="str">
        <f t="shared" si="720"/>
        <v>86432</v>
      </c>
      <c r="D12562" t="s">
        <v>5048</v>
      </c>
      <c r="E12562">
        <v>54.23</v>
      </c>
      <c r="F12562">
        <v>20140530</v>
      </c>
      <c r="G12562" t="s">
        <v>5051</v>
      </c>
      <c r="H12562" t="s">
        <v>5153</v>
      </c>
      <c r="I12562" t="s">
        <v>29</v>
      </c>
    </row>
    <row r="12563" spans="1:9" x14ac:dyDescent="0.25">
      <c r="A12563">
        <v>20140530</v>
      </c>
      <c r="B12563" t="str">
        <f t="shared" si="719"/>
        <v>187181</v>
      </c>
      <c r="C12563" t="str">
        <f t="shared" si="720"/>
        <v>86432</v>
      </c>
      <c r="D12563" t="s">
        <v>5048</v>
      </c>
      <c r="E12563">
        <v>29.5</v>
      </c>
      <c r="F12563">
        <v>20140530</v>
      </c>
      <c r="G12563" t="s">
        <v>5052</v>
      </c>
      <c r="H12563" t="s">
        <v>5153</v>
      </c>
      <c r="I12563" t="s">
        <v>29</v>
      </c>
    </row>
    <row r="12564" spans="1:9" x14ac:dyDescent="0.25">
      <c r="A12564">
        <v>20140530</v>
      </c>
      <c r="B12564" t="str">
        <f t="shared" si="719"/>
        <v>187181</v>
      </c>
      <c r="C12564" t="str">
        <f t="shared" si="720"/>
        <v>86432</v>
      </c>
      <c r="D12564" t="s">
        <v>5048</v>
      </c>
      <c r="E12564" s="1">
        <v>20541.36</v>
      </c>
      <c r="F12564">
        <v>20140530</v>
      </c>
      <c r="G12564" t="s">
        <v>5053</v>
      </c>
      <c r="H12564" t="s">
        <v>5154</v>
      </c>
      <c r="I12564" t="s">
        <v>29</v>
      </c>
    </row>
    <row r="12565" spans="1:9" x14ac:dyDescent="0.25">
      <c r="A12565">
        <v>20140530</v>
      </c>
      <c r="B12565" t="str">
        <f t="shared" si="719"/>
        <v>187181</v>
      </c>
      <c r="C12565" t="str">
        <f t="shared" si="720"/>
        <v>86432</v>
      </c>
      <c r="D12565" t="s">
        <v>5048</v>
      </c>
      <c r="E12565" s="1">
        <v>2922</v>
      </c>
      <c r="F12565">
        <v>20140530</v>
      </c>
      <c r="G12565" t="s">
        <v>5055</v>
      </c>
      <c r="H12565" t="s">
        <v>5153</v>
      </c>
      <c r="I12565" t="s">
        <v>29</v>
      </c>
    </row>
    <row r="12566" spans="1:9" x14ac:dyDescent="0.25">
      <c r="A12566">
        <v>20140530</v>
      </c>
      <c r="B12566" t="str">
        <f t="shared" si="719"/>
        <v>187181</v>
      </c>
      <c r="C12566" t="str">
        <f t="shared" si="720"/>
        <v>86432</v>
      </c>
      <c r="D12566" t="s">
        <v>5048</v>
      </c>
      <c r="E12566" s="1">
        <v>3246</v>
      </c>
      <c r="F12566">
        <v>20140530</v>
      </c>
      <c r="G12566" t="s">
        <v>5056</v>
      </c>
      <c r="H12566" t="s">
        <v>5154</v>
      </c>
      <c r="I12566" t="s">
        <v>29</v>
      </c>
    </row>
    <row r="12567" spans="1:9" x14ac:dyDescent="0.25">
      <c r="A12567">
        <v>20140530</v>
      </c>
      <c r="B12567" t="str">
        <f t="shared" si="719"/>
        <v>187181</v>
      </c>
      <c r="C12567" t="str">
        <f t="shared" si="720"/>
        <v>86432</v>
      </c>
      <c r="D12567" t="s">
        <v>5048</v>
      </c>
      <c r="E12567">
        <v>231.71</v>
      </c>
      <c r="F12567">
        <v>20140530</v>
      </c>
      <c r="G12567" t="s">
        <v>5057</v>
      </c>
      <c r="H12567" t="s">
        <v>5154</v>
      </c>
      <c r="I12567" t="s">
        <v>29</v>
      </c>
    </row>
    <row r="12568" spans="1:9" x14ac:dyDescent="0.25">
      <c r="A12568">
        <v>20140530</v>
      </c>
      <c r="B12568" t="str">
        <f t="shared" si="719"/>
        <v>187181</v>
      </c>
      <c r="C12568" t="str">
        <f t="shared" si="720"/>
        <v>86432</v>
      </c>
      <c r="D12568" t="s">
        <v>5048</v>
      </c>
      <c r="E12568">
        <v>821.25</v>
      </c>
      <c r="F12568">
        <v>20140530</v>
      </c>
      <c r="G12568" t="s">
        <v>5058</v>
      </c>
      <c r="H12568" t="s">
        <v>5154</v>
      </c>
      <c r="I12568" t="s">
        <v>29</v>
      </c>
    </row>
    <row r="12569" spans="1:9" x14ac:dyDescent="0.25">
      <c r="A12569">
        <v>20140530</v>
      </c>
      <c r="B12569" t="str">
        <f t="shared" si="719"/>
        <v>187181</v>
      </c>
      <c r="C12569" t="str">
        <f t="shared" si="720"/>
        <v>86432</v>
      </c>
      <c r="D12569" t="s">
        <v>5048</v>
      </c>
      <c r="E12569">
        <v>60.65</v>
      </c>
      <c r="F12569">
        <v>20140530</v>
      </c>
      <c r="G12569" t="s">
        <v>5059</v>
      </c>
      <c r="H12569" t="s">
        <v>5154</v>
      </c>
      <c r="I12569" t="s">
        <v>29</v>
      </c>
    </row>
    <row r="12570" spans="1:9" x14ac:dyDescent="0.25">
      <c r="A12570">
        <v>20140530</v>
      </c>
      <c r="B12570" t="str">
        <f t="shared" si="719"/>
        <v>187181</v>
      </c>
      <c r="C12570" t="str">
        <f t="shared" si="720"/>
        <v>86432</v>
      </c>
      <c r="D12570" t="s">
        <v>5048</v>
      </c>
      <c r="E12570">
        <v>749.9</v>
      </c>
      <c r="F12570">
        <v>20140530</v>
      </c>
      <c r="G12570" t="s">
        <v>5060</v>
      </c>
      <c r="H12570" t="s">
        <v>5154</v>
      </c>
      <c r="I12570" t="s">
        <v>29</v>
      </c>
    </row>
    <row r="12571" spans="1:9" x14ac:dyDescent="0.25">
      <c r="A12571">
        <v>20140530</v>
      </c>
      <c r="B12571" t="str">
        <f t="shared" si="719"/>
        <v>187181</v>
      </c>
      <c r="C12571" t="str">
        <f t="shared" si="720"/>
        <v>86432</v>
      </c>
      <c r="D12571" t="s">
        <v>5048</v>
      </c>
      <c r="E12571">
        <v>307.7</v>
      </c>
      <c r="F12571">
        <v>20140530</v>
      </c>
      <c r="G12571" t="s">
        <v>5061</v>
      </c>
      <c r="H12571" t="s">
        <v>5154</v>
      </c>
      <c r="I12571" t="s">
        <v>29</v>
      </c>
    </row>
    <row r="12572" spans="1:9" x14ac:dyDescent="0.25">
      <c r="A12572">
        <v>20140530</v>
      </c>
      <c r="B12572" t="str">
        <f t="shared" si="719"/>
        <v>187181</v>
      </c>
      <c r="C12572" t="str">
        <f t="shared" si="720"/>
        <v>86432</v>
      </c>
      <c r="D12572" t="s">
        <v>5048</v>
      </c>
      <c r="E12572">
        <v>36.24</v>
      </c>
      <c r="F12572">
        <v>20140530</v>
      </c>
      <c r="G12572" t="s">
        <v>5062</v>
      </c>
      <c r="H12572" t="s">
        <v>5154</v>
      </c>
      <c r="I12572" t="s">
        <v>29</v>
      </c>
    </row>
    <row r="12573" spans="1:9" x14ac:dyDescent="0.25">
      <c r="A12573">
        <v>20140530</v>
      </c>
      <c r="B12573" t="str">
        <f t="shared" si="719"/>
        <v>187181</v>
      </c>
      <c r="C12573" t="str">
        <f t="shared" si="720"/>
        <v>86432</v>
      </c>
      <c r="D12573" t="s">
        <v>5048</v>
      </c>
      <c r="E12573" s="1">
        <v>17420.04</v>
      </c>
      <c r="F12573">
        <v>20140530</v>
      </c>
      <c r="G12573" t="s">
        <v>5063</v>
      </c>
      <c r="H12573" t="s">
        <v>5153</v>
      </c>
      <c r="I12573" t="s">
        <v>29</v>
      </c>
    </row>
    <row r="12574" spans="1:9" x14ac:dyDescent="0.25">
      <c r="A12574">
        <v>20140530</v>
      </c>
      <c r="B12574" t="str">
        <f t="shared" si="719"/>
        <v>187181</v>
      </c>
      <c r="C12574" t="str">
        <f t="shared" si="720"/>
        <v>86432</v>
      </c>
      <c r="D12574" t="s">
        <v>5048</v>
      </c>
      <c r="E12574" s="1">
        <v>12235.5</v>
      </c>
      <c r="F12574">
        <v>20140530</v>
      </c>
      <c r="G12574" t="s">
        <v>5064</v>
      </c>
      <c r="H12574" t="s">
        <v>5151</v>
      </c>
      <c r="I12574" t="s">
        <v>29</v>
      </c>
    </row>
    <row r="12575" spans="1:9" x14ac:dyDescent="0.25">
      <c r="A12575">
        <v>20140530</v>
      </c>
      <c r="B12575" t="str">
        <f t="shared" si="719"/>
        <v>187181</v>
      </c>
      <c r="C12575" t="str">
        <f t="shared" si="720"/>
        <v>86432</v>
      </c>
      <c r="D12575" t="s">
        <v>5048</v>
      </c>
      <c r="E12575" s="1">
        <v>4125</v>
      </c>
      <c r="F12575">
        <v>20140530</v>
      </c>
      <c r="G12575" t="s">
        <v>5065</v>
      </c>
      <c r="H12575" t="s">
        <v>5155</v>
      </c>
      <c r="I12575" t="s">
        <v>29</v>
      </c>
    </row>
    <row r="12576" spans="1:9" x14ac:dyDescent="0.25">
      <c r="A12576">
        <v>20140530</v>
      </c>
      <c r="B12576" t="str">
        <f t="shared" si="719"/>
        <v>187181</v>
      </c>
      <c r="C12576" t="str">
        <f t="shared" si="720"/>
        <v>86432</v>
      </c>
      <c r="D12576" t="s">
        <v>5048</v>
      </c>
      <c r="E12576">
        <v>125</v>
      </c>
      <c r="F12576">
        <v>20140530</v>
      </c>
      <c r="G12576" t="s">
        <v>5067</v>
      </c>
      <c r="H12576" t="s">
        <v>5155</v>
      </c>
      <c r="I12576" t="s">
        <v>29</v>
      </c>
    </row>
    <row r="12577" spans="1:9" x14ac:dyDescent="0.25">
      <c r="A12577">
        <v>20140530</v>
      </c>
      <c r="B12577" t="str">
        <f t="shared" si="719"/>
        <v>187181</v>
      </c>
      <c r="C12577" t="str">
        <f t="shared" si="720"/>
        <v>86432</v>
      </c>
      <c r="D12577" t="s">
        <v>5048</v>
      </c>
      <c r="E12577">
        <v>50</v>
      </c>
      <c r="F12577">
        <v>20140530</v>
      </c>
      <c r="G12577" t="s">
        <v>5068</v>
      </c>
      <c r="H12577" t="s">
        <v>5155</v>
      </c>
      <c r="I12577" t="s">
        <v>29</v>
      </c>
    </row>
    <row r="12578" spans="1:9" x14ac:dyDescent="0.25">
      <c r="A12578">
        <v>20140530</v>
      </c>
      <c r="B12578" t="str">
        <f t="shared" si="719"/>
        <v>187181</v>
      </c>
      <c r="C12578" t="str">
        <f t="shared" si="720"/>
        <v>86432</v>
      </c>
      <c r="D12578" t="s">
        <v>5048</v>
      </c>
      <c r="E12578" s="1">
        <v>1753</v>
      </c>
      <c r="F12578">
        <v>20140530</v>
      </c>
      <c r="G12578" t="s">
        <v>5069</v>
      </c>
      <c r="H12578" t="s">
        <v>5155</v>
      </c>
      <c r="I12578" t="s">
        <v>29</v>
      </c>
    </row>
    <row r="12579" spans="1:9" x14ac:dyDescent="0.25">
      <c r="A12579">
        <v>20140530</v>
      </c>
      <c r="B12579" t="str">
        <f t="shared" si="719"/>
        <v>187181</v>
      </c>
      <c r="C12579" t="str">
        <f t="shared" si="720"/>
        <v>86432</v>
      </c>
      <c r="D12579" t="s">
        <v>5048</v>
      </c>
      <c r="E12579">
        <v>175</v>
      </c>
      <c r="F12579">
        <v>20140530</v>
      </c>
      <c r="G12579" t="s">
        <v>5070</v>
      </c>
      <c r="H12579" t="s">
        <v>5155</v>
      </c>
      <c r="I12579" t="s">
        <v>29</v>
      </c>
    </row>
    <row r="12580" spans="1:9" x14ac:dyDescent="0.25">
      <c r="A12580">
        <v>20140530</v>
      </c>
      <c r="B12580" t="str">
        <f t="shared" si="719"/>
        <v>187181</v>
      </c>
      <c r="C12580" t="str">
        <f t="shared" si="720"/>
        <v>86432</v>
      </c>
      <c r="D12580" t="s">
        <v>5048</v>
      </c>
      <c r="E12580">
        <v>550</v>
      </c>
      <c r="F12580">
        <v>20140530</v>
      </c>
      <c r="G12580" t="s">
        <v>5071</v>
      </c>
      <c r="H12580" t="s">
        <v>5155</v>
      </c>
      <c r="I12580" t="s">
        <v>29</v>
      </c>
    </row>
    <row r="12581" spans="1:9" x14ac:dyDescent="0.25">
      <c r="A12581">
        <v>20140530</v>
      </c>
      <c r="B12581" t="str">
        <f t="shared" si="719"/>
        <v>187181</v>
      </c>
      <c r="C12581" t="str">
        <f t="shared" si="720"/>
        <v>86432</v>
      </c>
      <c r="D12581" t="s">
        <v>5048</v>
      </c>
      <c r="E12581" s="1">
        <v>2983.33</v>
      </c>
      <c r="F12581">
        <v>20140530</v>
      </c>
      <c r="G12581" t="s">
        <v>5072</v>
      </c>
      <c r="H12581" t="s">
        <v>5155</v>
      </c>
      <c r="I12581" t="s">
        <v>29</v>
      </c>
    </row>
    <row r="12582" spans="1:9" x14ac:dyDescent="0.25">
      <c r="A12582">
        <v>20140530</v>
      </c>
      <c r="B12582" t="str">
        <f t="shared" si="719"/>
        <v>187181</v>
      </c>
      <c r="C12582" t="str">
        <f t="shared" si="720"/>
        <v>86432</v>
      </c>
      <c r="D12582" t="s">
        <v>5048</v>
      </c>
      <c r="E12582" s="1">
        <v>2315</v>
      </c>
      <c r="F12582">
        <v>20140530</v>
      </c>
      <c r="G12582" t="s">
        <v>5073</v>
      </c>
      <c r="H12582" t="s">
        <v>5155</v>
      </c>
      <c r="I12582" t="s">
        <v>29</v>
      </c>
    </row>
    <row r="12583" spans="1:9" x14ac:dyDescent="0.25">
      <c r="A12583">
        <v>20140530</v>
      </c>
      <c r="B12583" t="str">
        <f t="shared" si="719"/>
        <v>187181</v>
      </c>
      <c r="C12583" t="str">
        <f t="shared" si="720"/>
        <v>86432</v>
      </c>
      <c r="D12583" t="s">
        <v>5048</v>
      </c>
      <c r="E12583">
        <v>485</v>
      </c>
      <c r="F12583">
        <v>20140530</v>
      </c>
      <c r="G12583" t="s">
        <v>5074</v>
      </c>
      <c r="H12583" t="s">
        <v>5155</v>
      </c>
      <c r="I12583" t="s">
        <v>29</v>
      </c>
    </row>
    <row r="12584" spans="1:9" x14ac:dyDescent="0.25">
      <c r="A12584">
        <v>20140530</v>
      </c>
      <c r="B12584" t="str">
        <f t="shared" si="719"/>
        <v>187181</v>
      </c>
      <c r="C12584" t="str">
        <f t="shared" si="720"/>
        <v>86432</v>
      </c>
      <c r="D12584" t="s">
        <v>5048</v>
      </c>
      <c r="E12584">
        <v>400</v>
      </c>
      <c r="F12584">
        <v>20140530</v>
      </c>
      <c r="G12584" t="s">
        <v>5075</v>
      </c>
      <c r="H12584" t="s">
        <v>5155</v>
      </c>
      <c r="I12584" t="s">
        <v>29</v>
      </c>
    </row>
    <row r="12585" spans="1:9" x14ac:dyDescent="0.25">
      <c r="A12585">
        <v>20140530</v>
      </c>
      <c r="B12585" t="str">
        <f t="shared" si="719"/>
        <v>187181</v>
      </c>
      <c r="C12585" t="str">
        <f t="shared" si="720"/>
        <v>86432</v>
      </c>
      <c r="D12585" t="s">
        <v>5048</v>
      </c>
      <c r="E12585">
        <v>575</v>
      </c>
      <c r="F12585">
        <v>20140530</v>
      </c>
      <c r="G12585" t="s">
        <v>5076</v>
      </c>
      <c r="H12585" t="s">
        <v>5155</v>
      </c>
      <c r="I12585" t="s">
        <v>29</v>
      </c>
    </row>
    <row r="12586" spans="1:9" x14ac:dyDescent="0.25">
      <c r="A12586">
        <v>20140530</v>
      </c>
      <c r="B12586" t="str">
        <f t="shared" si="719"/>
        <v>187181</v>
      </c>
      <c r="C12586" t="str">
        <f t="shared" si="720"/>
        <v>86432</v>
      </c>
      <c r="D12586" t="s">
        <v>5048</v>
      </c>
      <c r="E12586" s="1">
        <v>16850.740000000002</v>
      </c>
      <c r="F12586">
        <v>20140530</v>
      </c>
      <c r="G12586" t="s">
        <v>5077</v>
      </c>
      <c r="H12586" t="s">
        <v>5156</v>
      </c>
      <c r="I12586" t="s">
        <v>29</v>
      </c>
    </row>
    <row r="12587" spans="1:9" x14ac:dyDescent="0.25">
      <c r="A12587">
        <v>20140530</v>
      </c>
      <c r="B12587" t="str">
        <f>"187182"</f>
        <v>187182</v>
      </c>
      <c r="C12587" t="str">
        <f>"85294"</f>
        <v>85294</v>
      </c>
      <c r="D12587" t="s">
        <v>5079</v>
      </c>
      <c r="E12587">
        <v>250.41</v>
      </c>
      <c r="F12587">
        <v>20140530</v>
      </c>
      <c r="G12587" t="s">
        <v>5080</v>
      </c>
      <c r="H12587" t="s">
        <v>5154</v>
      </c>
      <c r="I12587" t="s">
        <v>29</v>
      </c>
    </row>
    <row r="12588" spans="1:9" x14ac:dyDescent="0.25">
      <c r="A12588">
        <v>20140530</v>
      </c>
      <c r="B12588" t="str">
        <f>"187183"</f>
        <v>187183</v>
      </c>
      <c r="C12588" t="str">
        <f>"87668"</f>
        <v>87668</v>
      </c>
      <c r="D12588" t="s">
        <v>5125</v>
      </c>
      <c r="E12588">
        <v>438.68</v>
      </c>
      <c r="F12588">
        <v>20140530</v>
      </c>
      <c r="G12588" t="s">
        <v>5126</v>
      </c>
      <c r="H12588" t="s">
        <v>5151</v>
      </c>
      <c r="I12588" t="s">
        <v>29</v>
      </c>
    </row>
    <row r="12589" spans="1:9" x14ac:dyDescent="0.25">
      <c r="A12589">
        <v>20140530</v>
      </c>
      <c r="B12589" t="str">
        <f>"187184"</f>
        <v>187184</v>
      </c>
      <c r="C12589" t="str">
        <f>"69390"</f>
        <v>69390</v>
      </c>
      <c r="D12589" t="s">
        <v>5081</v>
      </c>
      <c r="E12589">
        <v>260</v>
      </c>
      <c r="F12589">
        <v>20140530</v>
      </c>
      <c r="G12589" t="s">
        <v>5082</v>
      </c>
      <c r="H12589" t="s">
        <v>5151</v>
      </c>
      <c r="I12589" t="s">
        <v>29</v>
      </c>
    </row>
    <row r="12590" spans="1:9" x14ac:dyDescent="0.25">
      <c r="A12590">
        <v>20140530</v>
      </c>
      <c r="B12590" t="str">
        <f>"187185"</f>
        <v>187185</v>
      </c>
      <c r="C12590" t="str">
        <f>"70763"</f>
        <v>70763</v>
      </c>
      <c r="D12590" t="s">
        <v>5083</v>
      </c>
      <c r="E12590">
        <v>93.36</v>
      </c>
      <c r="F12590">
        <v>20140530</v>
      </c>
      <c r="G12590" t="s">
        <v>5084</v>
      </c>
      <c r="H12590" t="s">
        <v>5151</v>
      </c>
      <c r="I12590" t="s">
        <v>29</v>
      </c>
    </row>
    <row r="12591" spans="1:9" x14ac:dyDescent="0.25">
      <c r="A12591">
        <v>20140530</v>
      </c>
      <c r="B12591" t="str">
        <f>"187186"</f>
        <v>187186</v>
      </c>
      <c r="C12591" t="str">
        <f>"70692"</f>
        <v>70692</v>
      </c>
      <c r="D12591" t="s">
        <v>5085</v>
      </c>
      <c r="E12591">
        <v>576.76</v>
      </c>
      <c r="F12591">
        <v>20140530</v>
      </c>
      <c r="G12591" t="s">
        <v>5086</v>
      </c>
      <c r="H12591" t="s">
        <v>5151</v>
      </c>
      <c r="I12591" t="s">
        <v>29</v>
      </c>
    </row>
    <row r="12592" spans="1:9" x14ac:dyDescent="0.25">
      <c r="A12592">
        <v>20140530</v>
      </c>
      <c r="B12592" t="str">
        <f>"187187"</f>
        <v>187187</v>
      </c>
      <c r="C12592" t="str">
        <f>"70774"</f>
        <v>70774</v>
      </c>
      <c r="D12592" t="s">
        <v>5087</v>
      </c>
      <c r="E12592" s="1">
        <v>1013.84</v>
      </c>
      <c r="F12592">
        <v>20140530</v>
      </c>
      <c r="G12592" t="s">
        <v>5088</v>
      </c>
      <c r="H12592" t="s">
        <v>5151</v>
      </c>
      <c r="I12592" t="s">
        <v>29</v>
      </c>
    </row>
    <row r="12593" spans="1:9" x14ac:dyDescent="0.25">
      <c r="A12593">
        <v>20140530</v>
      </c>
      <c r="B12593" t="str">
        <f>"187188"</f>
        <v>187188</v>
      </c>
      <c r="C12593" t="str">
        <f>"70777"</f>
        <v>70777</v>
      </c>
      <c r="D12593" t="s">
        <v>5089</v>
      </c>
      <c r="E12593">
        <v>16.25</v>
      </c>
      <c r="F12593">
        <v>20140530</v>
      </c>
      <c r="G12593" t="s">
        <v>5090</v>
      </c>
      <c r="H12593" t="s">
        <v>5151</v>
      </c>
      <c r="I12593" t="s">
        <v>29</v>
      </c>
    </row>
    <row r="12594" spans="1:9" x14ac:dyDescent="0.25">
      <c r="A12594">
        <v>20140530</v>
      </c>
      <c r="B12594" t="str">
        <f>"187189"</f>
        <v>187189</v>
      </c>
      <c r="C12594" t="str">
        <f>"72502"</f>
        <v>72502</v>
      </c>
      <c r="D12594" t="s">
        <v>5091</v>
      </c>
      <c r="E12594">
        <v>330.44</v>
      </c>
      <c r="F12594">
        <v>20140530</v>
      </c>
      <c r="G12594" t="s">
        <v>5092</v>
      </c>
      <c r="H12594" t="s">
        <v>5151</v>
      </c>
      <c r="I12594" t="s">
        <v>29</v>
      </c>
    </row>
    <row r="12595" spans="1:9" x14ac:dyDescent="0.25">
      <c r="A12595">
        <v>20140530</v>
      </c>
      <c r="B12595" t="str">
        <f>"187190"</f>
        <v>187190</v>
      </c>
      <c r="C12595" t="str">
        <f>"83361"</f>
        <v>83361</v>
      </c>
      <c r="D12595" t="s">
        <v>5093</v>
      </c>
      <c r="E12595" s="1">
        <v>1569.5</v>
      </c>
      <c r="F12595">
        <v>20140530</v>
      </c>
      <c r="G12595" t="s">
        <v>5094</v>
      </c>
      <c r="H12595" t="s">
        <v>5151</v>
      </c>
      <c r="I12595" t="s">
        <v>29</v>
      </c>
    </row>
    <row r="12596" spans="1:9" x14ac:dyDescent="0.25">
      <c r="A12596">
        <v>20140530</v>
      </c>
      <c r="B12596" t="str">
        <f>"187191"</f>
        <v>187191</v>
      </c>
      <c r="C12596" t="str">
        <f>"83209"</f>
        <v>83209</v>
      </c>
      <c r="D12596" t="s">
        <v>5097</v>
      </c>
      <c r="E12596">
        <v>693.42</v>
      </c>
      <c r="F12596">
        <v>20140530</v>
      </c>
      <c r="G12596" t="s">
        <v>5098</v>
      </c>
      <c r="H12596" t="s">
        <v>5151</v>
      </c>
      <c r="I12596" t="s">
        <v>29</v>
      </c>
    </row>
    <row r="12597" spans="1:9" x14ac:dyDescent="0.25">
      <c r="A12597">
        <v>20140530</v>
      </c>
      <c r="B12597" t="str">
        <f>"187192"</f>
        <v>187192</v>
      </c>
      <c r="C12597" t="str">
        <f>"76675"</f>
        <v>76675</v>
      </c>
      <c r="D12597" t="s">
        <v>5099</v>
      </c>
      <c r="E12597">
        <v>200</v>
      </c>
      <c r="F12597">
        <v>20140530</v>
      </c>
      <c r="G12597" t="s">
        <v>5100</v>
      </c>
      <c r="H12597" t="s">
        <v>5151</v>
      </c>
      <c r="I12597" t="s">
        <v>29</v>
      </c>
    </row>
    <row r="12598" spans="1:9" x14ac:dyDescent="0.25">
      <c r="A12598">
        <v>20140530</v>
      </c>
      <c r="B12598" t="str">
        <f>"187193"</f>
        <v>187193</v>
      </c>
      <c r="C12598" t="str">
        <f>"87831"</f>
        <v>87831</v>
      </c>
      <c r="D12598" t="s">
        <v>5099</v>
      </c>
      <c r="E12598">
        <v>50</v>
      </c>
      <c r="F12598">
        <v>20140530</v>
      </c>
      <c r="G12598" t="s">
        <v>5157</v>
      </c>
      <c r="H12598" t="s">
        <v>5151</v>
      </c>
      <c r="I12598" t="s">
        <v>29</v>
      </c>
    </row>
    <row r="12599" spans="1:9" x14ac:dyDescent="0.25">
      <c r="A12599">
        <v>20140530</v>
      </c>
      <c r="B12599" t="str">
        <f>"187194"</f>
        <v>187194</v>
      </c>
      <c r="C12599" t="str">
        <f>"76745"</f>
        <v>76745</v>
      </c>
      <c r="D12599" t="s">
        <v>5127</v>
      </c>
      <c r="E12599" s="1">
        <v>1374</v>
      </c>
      <c r="F12599">
        <v>20140530</v>
      </c>
      <c r="G12599" t="s">
        <v>5128</v>
      </c>
      <c r="H12599" t="s">
        <v>5158</v>
      </c>
      <c r="I12599" t="s">
        <v>29</v>
      </c>
    </row>
    <row r="12600" spans="1:9" x14ac:dyDescent="0.25">
      <c r="A12600">
        <v>20140625</v>
      </c>
      <c r="B12600" t="str">
        <f>"187325"</f>
        <v>187325</v>
      </c>
      <c r="C12600" t="str">
        <f>"86972"</f>
        <v>86972</v>
      </c>
      <c r="D12600" t="s">
        <v>5033</v>
      </c>
      <c r="E12600">
        <v>485.74</v>
      </c>
      <c r="F12600">
        <v>20140625</v>
      </c>
      <c r="G12600" t="s">
        <v>5034</v>
      </c>
      <c r="H12600" t="s">
        <v>5159</v>
      </c>
      <c r="I12600" t="s">
        <v>29</v>
      </c>
    </row>
    <row r="12601" spans="1:9" x14ac:dyDescent="0.25">
      <c r="A12601">
        <v>20140625</v>
      </c>
      <c r="B12601" t="str">
        <f>"187326"</f>
        <v>187326</v>
      </c>
      <c r="C12601" t="str">
        <f>"07258"</f>
        <v>07258</v>
      </c>
      <c r="D12601" t="s">
        <v>5036</v>
      </c>
      <c r="E12601" s="1">
        <v>2961.21</v>
      </c>
      <c r="F12601">
        <v>20140625</v>
      </c>
      <c r="G12601" t="s">
        <v>5037</v>
      </c>
      <c r="H12601" t="s">
        <v>5159</v>
      </c>
      <c r="I12601" t="s">
        <v>29</v>
      </c>
    </row>
    <row r="12602" spans="1:9" x14ac:dyDescent="0.25">
      <c r="A12602">
        <v>20140625</v>
      </c>
      <c r="B12602" t="str">
        <f>"187327"</f>
        <v>187327</v>
      </c>
      <c r="C12602" t="str">
        <f>"16955"</f>
        <v>16955</v>
      </c>
      <c r="D12602" t="s">
        <v>5038</v>
      </c>
      <c r="E12602" s="1">
        <v>75656.55</v>
      </c>
      <c r="F12602">
        <v>20140625</v>
      </c>
      <c r="G12602" t="s">
        <v>5039</v>
      </c>
      <c r="H12602" t="s">
        <v>5160</v>
      </c>
      <c r="I12602" t="s">
        <v>29</v>
      </c>
    </row>
    <row r="12603" spans="1:9" x14ac:dyDescent="0.25">
      <c r="A12603">
        <v>20140625</v>
      </c>
      <c r="B12603" t="str">
        <f>"187328"</f>
        <v>187328</v>
      </c>
      <c r="C12603" t="str">
        <f>"81559"</f>
        <v>81559</v>
      </c>
      <c r="D12603" t="s">
        <v>5041</v>
      </c>
      <c r="E12603" s="1">
        <v>2356</v>
      </c>
      <c r="F12603">
        <v>20140625</v>
      </c>
      <c r="G12603" t="s">
        <v>5042</v>
      </c>
      <c r="H12603" t="s">
        <v>5159</v>
      </c>
      <c r="I12603" t="s">
        <v>29</v>
      </c>
    </row>
    <row r="12604" spans="1:9" x14ac:dyDescent="0.25">
      <c r="A12604">
        <v>20140625</v>
      </c>
      <c r="B12604" t="str">
        <f>"187329"</f>
        <v>187329</v>
      </c>
      <c r="C12604" t="str">
        <f>"22240"</f>
        <v>22240</v>
      </c>
      <c r="D12604" t="s">
        <v>1038</v>
      </c>
      <c r="E12604">
        <v>740</v>
      </c>
      <c r="F12604">
        <v>20140625</v>
      </c>
      <c r="G12604" t="s">
        <v>5043</v>
      </c>
      <c r="H12604" t="s">
        <v>5159</v>
      </c>
      <c r="I12604" t="s">
        <v>29</v>
      </c>
    </row>
    <row r="12605" spans="1:9" x14ac:dyDescent="0.25">
      <c r="A12605">
        <v>20140625</v>
      </c>
      <c r="B12605" t="str">
        <f>"187330"</f>
        <v>187330</v>
      </c>
      <c r="C12605" t="str">
        <f>"26330"</f>
        <v>26330</v>
      </c>
      <c r="D12605" t="s">
        <v>5044</v>
      </c>
      <c r="E12605">
        <v>340</v>
      </c>
      <c r="F12605">
        <v>20140625</v>
      </c>
      <c r="G12605" t="s">
        <v>5045</v>
      </c>
      <c r="H12605" t="s">
        <v>5159</v>
      </c>
      <c r="I12605" t="s">
        <v>29</v>
      </c>
    </row>
    <row r="12606" spans="1:9" x14ac:dyDescent="0.25">
      <c r="A12606">
        <v>20140625</v>
      </c>
      <c r="B12606" t="str">
        <f>"187331"</f>
        <v>187331</v>
      </c>
      <c r="C12606" t="str">
        <f>"26994"</f>
        <v>26994</v>
      </c>
      <c r="D12606" t="s">
        <v>548</v>
      </c>
      <c r="E12606">
        <v>960</v>
      </c>
      <c r="F12606">
        <v>20140625</v>
      </c>
      <c r="G12606" t="s">
        <v>5046</v>
      </c>
      <c r="H12606" t="s">
        <v>5159</v>
      </c>
      <c r="I12606" t="s">
        <v>29</v>
      </c>
    </row>
    <row r="12607" spans="1:9" x14ac:dyDescent="0.25">
      <c r="A12607">
        <v>20140625</v>
      </c>
      <c r="B12607" t="str">
        <f>"187332"</f>
        <v>187332</v>
      </c>
      <c r="C12607" t="str">
        <f>"26990"</f>
        <v>26990</v>
      </c>
      <c r="D12607" t="s">
        <v>548</v>
      </c>
      <c r="E12607">
        <v>76.92</v>
      </c>
      <c r="F12607">
        <v>20140625</v>
      </c>
      <c r="G12607" t="s">
        <v>5047</v>
      </c>
      <c r="H12607" t="s">
        <v>5159</v>
      </c>
      <c r="I12607" t="s">
        <v>29</v>
      </c>
    </row>
    <row r="12608" spans="1:9" x14ac:dyDescent="0.25">
      <c r="A12608">
        <v>20140625</v>
      </c>
      <c r="B12608" t="str">
        <f t="shared" ref="B12608:B12633" si="721">"187333"</f>
        <v>187333</v>
      </c>
      <c r="C12608" t="str">
        <f t="shared" ref="C12608:C12633" si="722">"86432"</f>
        <v>86432</v>
      </c>
      <c r="D12608" t="s">
        <v>5048</v>
      </c>
      <c r="E12608" s="1">
        <v>3267.35</v>
      </c>
      <c r="F12608">
        <v>20140625</v>
      </c>
      <c r="G12608" t="s">
        <v>5049</v>
      </c>
      <c r="H12608" t="s">
        <v>5161</v>
      </c>
      <c r="I12608" t="s">
        <v>29</v>
      </c>
    </row>
    <row r="12609" spans="1:9" x14ac:dyDescent="0.25">
      <c r="A12609">
        <v>20140625</v>
      </c>
      <c r="B12609" t="str">
        <f t="shared" si="721"/>
        <v>187333</v>
      </c>
      <c r="C12609" t="str">
        <f t="shared" si="722"/>
        <v>86432</v>
      </c>
      <c r="D12609" t="s">
        <v>5048</v>
      </c>
      <c r="E12609">
        <v>54.23</v>
      </c>
      <c r="F12609">
        <v>20140625</v>
      </c>
      <c r="G12609" t="s">
        <v>5051</v>
      </c>
      <c r="H12609" t="s">
        <v>5161</v>
      </c>
      <c r="I12609" t="s">
        <v>29</v>
      </c>
    </row>
    <row r="12610" spans="1:9" x14ac:dyDescent="0.25">
      <c r="A12610">
        <v>20140625</v>
      </c>
      <c r="B12610" t="str">
        <f t="shared" si="721"/>
        <v>187333</v>
      </c>
      <c r="C12610" t="str">
        <f t="shared" si="722"/>
        <v>86432</v>
      </c>
      <c r="D12610" t="s">
        <v>5048</v>
      </c>
      <c r="E12610">
        <v>29.5</v>
      </c>
      <c r="F12610">
        <v>20140625</v>
      </c>
      <c r="G12610" t="s">
        <v>5052</v>
      </c>
      <c r="H12610" t="s">
        <v>5161</v>
      </c>
      <c r="I12610" t="s">
        <v>29</v>
      </c>
    </row>
    <row r="12611" spans="1:9" x14ac:dyDescent="0.25">
      <c r="A12611">
        <v>20140625</v>
      </c>
      <c r="B12611" t="str">
        <f t="shared" si="721"/>
        <v>187333</v>
      </c>
      <c r="C12611" t="str">
        <f t="shared" si="722"/>
        <v>86432</v>
      </c>
      <c r="D12611" t="s">
        <v>5048</v>
      </c>
      <c r="E12611" s="1">
        <v>20601.2</v>
      </c>
      <c r="F12611">
        <v>20140625</v>
      </c>
      <c r="G12611" t="s">
        <v>5053</v>
      </c>
      <c r="H12611" t="s">
        <v>5162</v>
      </c>
      <c r="I12611" t="s">
        <v>29</v>
      </c>
    </row>
    <row r="12612" spans="1:9" x14ac:dyDescent="0.25">
      <c r="A12612">
        <v>20140625</v>
      </c>
      <c r="B12612" t="str">
        <f t="shared" si="721"/>
        <v>187333</v>
      </c>
      <c r="C12612" t="str">
        <f t="shared" si="722"/>
        <v>86432</v>
      </c>
      <c r="D12612" t="s">
        <v>5048</v>
      </c>
      <c r="E12612" s="1">
        <v>2916.6</v>
      </c>
      <c r="F12612">
        <v>20140625</v>
      </c>
      <c r="G12612" t="s">
        <v>5055</v>
      </c>
      <c r="H12612" t="s">
        <v>5161</v>
      </c>
      <c r="I12612" t="s">
        <v>29</v>
      </c>
    </row>
    <row r="12613" spans="1:9" x14ac:dyDescent="0.25">
      <c r="A12613">
        <v>20140625</v>
      </c>
      <c r="B12613" t="str">
        <f t="shared" si="721"/>
        <v>187333</v>
      </c>
      <c r="C12613" t="str">
        <f t="shared" si="722"/>
        <v>86432</v>
      </c>
      <c r="D12613" t="s">
        <v>5048</v>
      </c>
      <c r="E12613" s="1">
        <v>3265.4</v>
      </c>
      <c r="F12613">
        <v>20140625</v>
      </c>
      <c r="G12613" t="s">
        <v>5056</v>
      </c>
      <c r="H12613" t="s">
        <v>5162</v>
      </c>
      <c r="I12613" t="s">
        <v>29</v>
      </c>
    </row>
    <row r="12614" spans="1:9" x14ac:dyDescent="0.25">
      <c r="A12614">
        <v>20140625</v>
      </c>
      <c r="B12614" t="str">
        <f t="shared" si="721"/>
        <v>187333</v>
      </c>
      <c r="C12614" t="str">
        <f t="shared" si="722"/>
        <v>86432</v>
      </c>
      <c r="D12614" t="s">
        <v>5048</v>
      </c>
      <c r="E12614">
        <v>231.71</v>
      </c>
      <c r="F12614">
        <v>20140625</v>
      </c>
      <c r="G12614" t="s">
        <v>5057</v>
      </c>
      <c r="H12614" t="s">
        <v>5162</v>
      </c>
      <c r="I12614" t="s">
        <v>29</v>
      </c>
    </row>
    <row r="12615" spans="1:9" x14ac:dyDescent="0.25">
      <c r="A12615">
        <v>20140625</v>
      </c>
      <c r="B12615" t="str">
        <f t="shared" si="721"/>
        <v>187333</v>
      </c>
      <c r="C12615" t="str">
        <f t="shared" si="722"/>
        <v>86432</v>
      </c>
      <c r="D12615" t="s">
        <v>5048</v>
      </c>
      <c r="E12615">
        <v>821.25</v>
      </c>
      <c r="F12615">
        <v>20140625</v>
      </c>
      <c r="G12615" t="s">
        <v>5058</v>
      </c>
      <c r="H12615" t="s">
        <v>5162</v>
      </c>
      <c r="I12615" t="s">
        <v>29</v>
      </c>
    </row>
    <row r="12616" spans="1:9" x14ac:dyDescent="0.25">
      <c r="A12616">
        <v>20140625</v>
      </c>
      <c r="B12616" t="str">
        <f t="shared" si="721"/>
        <v>187333</v>
      </c>
      <c r="C12616" t="str">
        <f t="shared" si="722"/>
        <v>86432</v>
      </c>
      <c r="D12616" t="s">
        <v>5048</v>
      </c>
      <c r="E12616">
        <v>60.65</v>
      </c>
      <c r="F12616">
        <v>20140625</v>
      </c>
      <c r="G12616" t="s">
        <v>5059</v>
      </c>
      <c r="H12616" t="s">
        <v>5162</v>
      </c>
      <c r="I12616" t="s">
        <v>29</v>
      </c>
    </row>
    <row r="12617" spans="1:9" x14ac:dyDescent="0.25">
      <c r="A12617">
        <v>20140625</v>
      </c>
      <c r="B12617" t="str">
        <f t="shared" si="721"/>
        <v>187333</v>
      </c>
      <c r="C12617" t="str">
        <f t="shared" si="722"/>
        <v>86432</v>
      </c>
      <c r="D12617" t="s">
        <v>5048</v>
      </c>
      <c r="E12617">
        <v>749.9</v>
      </c>
      <c r="F12617">
        <v>20140625</v>
      </c>
      <c r="G12617" t="s">
        <v>5060</v>
      </c>
      <c r="H12617" t="s">
        <v>5162</v>
      </c>
      <c r="I12617" t="s">
        <v>29</v>
      </c>
    </row>
    <row r="12618" spans="1:9" x14ac:dyDescent="0.25">
      <c r="A12618">
        <v>20140625</v>
      </c>
      <c r="B12618" t="str">
        <f t="shared" si="721"/>
        <v>187333</v>
      </c>
      <c r="C12618" t="str">
        <f t="shared" si="722"/>
        <v>86432</v>
      </c>
      <c r="D12618" t="s">
        <v>5048</v>
      </c>
      <c r="E12618">
        <v>307.7</v>
      </c>
      <c r="F12618">
        <v>20140625</v>
      </c>
      <c r="G12618" t="s">
        <v>5061</v>
      </c>
      <c r="H12618" t="s">
        <v>5162</v>
      </c>
      <c r="I12618" t="s">
        <v>29</v>
      </c>
    </row>
    <row r="12619" spans="1:9" x14ac:dyDescent="0.25">
      <c r="A12619">
        <v>20140625</v>
      </c>
      <c r="B12619" t="str">
        <f t="shared" si="721"/>
        <v>187333</v>
      </c>
      <c r="C12619" t="str">
        <f t="shared" si="722"/>
        <v>86432</v>
      </c>
      <c r="D12619" t="s">
        <v>5048</v>
      </c>
      <c r="E12619">
        <v>36.24</v>
      </c>
      <c r="F12619">
        <v>20140625</v>
      </c>
      <c r="G12619" t="s">
        <v>5062</v>
      </c>
      <c r="H12619" t="s">
        <v>5162</v>
      </c>
      <c r="I12619" t="s">
        <v>29</v>
      </c>
    </row>
    <row r="12620" spans="1:9" x14ac:dyDescent="0.25">
      <c r="A12620">
        <v>20140625</v>
      </c>
      <c r="B12620" t="str">
        <f t="shared" si="721"/>
        <v>187333</v>
      </c>
      <c r="C12620" t="str">
        <f t="shared" si="722"/>
        <v>86432</v>
      </c>
      <c r="D12620" t="s">
        <v>5048</v>
      </c>
      <c r="E12620" s="1">
        <v>17339.04</v>
      </c>
      <c r="F12620">
        <v>20140625</v>
      </c>
      <c r="G12620" t="s">
        <v>5063</v>
      </c>
      <c r="H12620" t="s">
        <v>5161</v>
      </c>
      <c r="I12620" t="s">
        <v>29</v>
      </c>
    </row>
    <row r="12621" spans="1:9" x14ac:dyDescent="0.25">
      <c r="A12621">
        <v>20140625</v>
      </c>
      <c r="B12621" t="str">
        <f t="shared" si="721"/>
        <v>187333</v>
      </c>
      <c r="C12621" t="str">
        <f t="shared" si="722"/>
        <v>86432</v>
      </c>
      <c r="D12621" t="s">
        <v>5048</v>
      </c>
      <c r="E12621" s="1">
        <v>12010.5</v>
      </c>
      <c r="F12621">
        <v>20140625</v>
      </c>
      <c r="G12621" t="s">
        <v>5064</v>
      </c>
      <c r="H12621" t="s">
        <v>5159</v>
      </c>
      <c r="I12621" t="s">
        <v>29</v>
      </c>
    </row>
    <row r="12622" spans="1:9" x14ac:dyDescent="0.25">
      <c r="A12622">
        <v>20140625</v>
      </c>
      <c r="B12622" t="str">
        <f t="shared" si="721"/>
        <v>187333</v>
      </c>
      <c r="C12622" t="str">
        <f t="shared" si="722"/>
        <v>86432</v>
      </c>
      <c r="D12622" t="s">
        <v>5048</v>
      </c>
      <c r="E12622" s="1">
        <v>4125</v>
      </c>
      <c r="F12622">
        <v>20140625</v>
      </c>
      <c r="G12622" t="s">
        <v>5065</v>
      </c>
      <c r="H12622" t="s">
        <v>5163</v>
      </c>
      <c r="I12622" t="s">
        <v>29</v>
      </c>
    </row>
    <row r="12623" spans="1:9" x14ac:dyDescent="0.25">
      <c r="A12623">
        <v>20140625</v>
      </c>
      <c r="B12623" t="str">
        <f t="shared" si="721"/>
        <v>187333</v>
      </c>
      <c r="C12623" t="str">
        <f t="shared" si="722"/>
        <v>86432</v>
      </c>
      <c r="D12623" t="s">
        <v>5048</v>
      </c>
      <c r="E12623">
        <v>125</v>
      </c>
      <c r="F12623">
        <v>20140625</v>
      </c>
      <c r="G12623" t="s">
        <v>5067</v>
      </c>
      <c r="H12623" t="s">
        <v>5163</v>
      </c>
      <c r="I12623" t="s">
        <v>29</v>
      </c>
    </row>
    <row r="12624" spans="1:9" x14ac:dyDescent="0.25">
      <c r="A12624">
        <v>20140625</v>
      </c>
      <c r="B12624" t="str">
        <f t="shared" si="721"/>
        <v>187333</v>
      </c>
      <c r="C12624" t="str">
        <f t="shared" si="722"/>
        <v>86432</v>
      </c>
      <c r="D12624" t="s">
        <v>5048</v>
      </c>
      <c r="E12624">
        <v>50</v>
      </c>
      <c r="F12624">
        <v>20140625</v>
      </c>
      <c r="G12624" t="s">
        <v>5068</v>
      </c>
      <c r="H12624" t="s">
        <v>5163</v>
      </c>
      <c r="I12624" t="s">
        <v>29</v>
      </c>
    </row>
    <row r="12625" spans="1:9" x14ac:dyDescent="0.25">
      <c r="A12625">
        <v>20140625</v>
      </c>
      <c r="B12625" t="str">
        <f t="shared" si="721"/>
        <v>187333</v>
      </c>
      <c r="C12625" t="str">
        <f t="shared" si="722"/>
        <v>86432</v>
      </c>
      <c r="D12625" t="s">
        <v>5048</v>
      </c>
      <c r="E12625" s="1">
        <v>1753</v>
      </c>
      <c r="F12625">
        <v>20140625</v>
      </c>
      <c r="G12625" t="s">
        <v>5069</v>
      </c>
      <c r="H12625" t="s">
        <v>5163</v>
      </c>
      <c r="I12625" t="s">
        <v>29</v>
      </c>
    </row>
    <row r="12626" spans="1:9" x14ac:dyDescent="0.25">
      <c r="A12626">
        <v>20140625</v>
      </c>
      <c r="B12626" t="str">
        <f t="shared" si="721"/>
        <v>187333</v>
      </c>
      <c r="C12626" t="str">
        <f t="shared" si="722"/>
        <v>86432</v>
      </c>
      <c r="D12626" t="s">
        <v>5048</v>
      </c>
      <c r="E12626">
        <v>175</v>
      </c>
      <c r="F12626">
        <v>20140625</v>
      </c>
      <c r="G12626" t="s">
        <v>5070</v>
      </c>
      <c r="H12626" t="s">
        <v>5163</v>
      </c>
      <c r="I12626" t="s">
        <v>29</v>
      </c>
    </row>
    <row r="12627" spans="1:9" x14ac:dyDescent="0.25">
      <c r="A12627">
        <v>20140625</v>
      </c>
      <c r="B12627" t="str">
        <f t="shared" si="721"/>
        <v>187333</v>
      </c>
      <c r="C12627" t="str">
        <f t="shared" si="722"/>
        <v>86432</v>
      </c>
      <c r="D12627" t="s">
        <v>5048</v>
      </c>
      <c r="E12627">
        <v>550</v>
      </c>
      <c r="F12627">
        <v>20140625</v>
      </c>
      <c r="G12627" t="s">
        <v>5071</v>
      </c>
      <c r="H12627" t="s">
        <v>5163</v>
      </c>
      <c r="I12627" t="s">
        <v>29</v>
      </c>
    </row>
    <row r="12628" spans="1:9" x14ac:dyDescent="0.25">
      <c r="A12628">
        <v>20140625</v>
      </c>
      <c r="B12628" t="str">
        <f t="shared" si="721"/>
        <v>187333</v>
      </c>
      <c r="C12628" t="str">
        <f t="shared" si="722"/>
        <v>86432</v>
      </c>
      <c r="D12628" t="s">
        <v>5048</v>
      </c>
      <c r="E12628" s="1">
        <v>2983.33</v>
      </c>
      <c r="F12628">
        <v>20140625</v>
      </c>
      <c r="G12628" t="s">
        <v>5072</v>
      </c>
      <c r="H12628" t="s">
        <v>5163</v>
      </c>
      <c r="I12628" t="s">
        <v>29</v>
      </c>
    </row>
    <row r="12629" spans="1:9" x14ac:dyDescent="0.25">
      <c r="A12629">
        <v>20140625</v>
      </c>
      <c r="B12629" t="str">
        <f t="shared" si="721"/>
        <v>187333</v>
      </c>
      <c r="C12629" t="str">
        <f t="shared" si="722"/>
        <v>86432</v>
      </c>
      <c r="D12629" t="s">
        <v>5048</v>
      </c>
      <c r="E12629" s="1">
        <v>2315</v>
      </c>
      <c r="F12629">
        <v>20140625</v>
      </c>
      <c r="G12629" t="s">
        <v>5073</v>
      </c>
      <c r="H12629" t="s">
        <v>5163</v>
      </c>
      <c r="I12629" t="s">
        <v>29</v>
      </c>
    </row>
    <row r="12630" spans="1:9" x14ac:dyDescent="0.25">
      <c r="A12630">
        <v>20140625</v>
      </c>
      <c r="B12630" t="str">
        <f t="shared" si="721"/>
        <v>187333</v>
      </c>
      <c r="C12630" t="str">
        <f t="shared" si="722"/>
        <v>86432</v>
      </c>
      <c r="D12630" t="s">
        <v>5048</v>
      </c>
      <c r="E12630">
        <v>485</v>
      </c>
      <c r="F12630">
        <v>20140625</v>
      </c>
      <c r="G12630" t="s">
        <v>5074</v>
      </c>
      <c r="H12630" t="s">
        <v>5163</v>
      </c>
      <c r="I12630" t="s">
        <v>29</v>
      </c>
    </row>
    <row r="12631" spans="1:9" x14ac:dyDescent="0.25">
      <c r="A12631">
        <v>20140625</v>
      </c>
      <c r="B12631" t="str">
        <f t="shared" si="721"/>
        <v>187333</v>
      </c>
      <c r="C12631" t="str">
        <f t="shared" si="722"/>
        <v>86432</v>
      </c>
      <c r="D12631" t="s">
        <v>5048</v>
      </c>
      <c r="E12631">
        <v>400</v>
      </c>
      <c r="F12631">
        <v>20140625</v>
      </c>
      <c r="G12631" t="s">
        <v>5075</v>
      </c>
      <c r="H12631" t="s">
        <v>5163</v>
      </c>
      <c r="I12631" t="s">
        <v>29</v>
      </c>
    </row>
    <row r="12632" spans="1:9" x14ac:dyDescent="0.25">
      <c r="A12632">
        <v>20140625</v>
      </c>
      <c r="B12632" t="str">
        <f t="shared" si="721"/>
        <v>187333</v>
      </c>
      <c r="C12632" t="str">
        <f t="shared" si="722"/>
        <v>86432</v>
      </c>
      <c r="D12632" t="s">
        <v>5048</v>
      </c>
      <c r="E12632">
        <v>575</v>
      </c>
      <c r="F12632">
        <v>20140625</v>
      </c>
      <c r="G12632" t="s">
        <v>5076</v>
      </c>
      <c r="H12632" t="s">
        <v>5163</v>
      </c>
      <c r="I12632" t="s">
        <v>29</v>
      </c>
    </row>
    <row r="12633" spans="1:9" x14ac:dyDescent="0.25">
      <c r="A12633">
        <v>20140625</v>
      </c>
      <c r="B12633" t="str">
        <f t="shared" si="721"/>
        <v>187333</v>
      </c>
      <c r="C12633" t="str">
        <f t="shared" si="722"/>
        <v>86432</v>
      </c>
      <c r="D12633" t="s">
        <v>5048</v>
      </c>
      <c r="E12633" s="1">
        <v>16727.3</v>
      </c>
      <c r="F12633">
        <v>20140625</v>
      </c>
      <c r="G12633" t="s">
        <v>5077</v>
      </c>
      <c r="H12633" t="s">
        <v>5164</v>
      </c>
      <c r="I12633" t="s">
        <v>29</v>
      </c>
    </row>
    <row r="12634" spans="1:9" x14ac:dyDescent="0.25">
      <c r="A12634">
        <v>20140625</v>
      </c>
      <c r="B12634" t="str">
        <f>"187334"</f>
        <v>187334</v>
      </c>
      <c r="C12634" t="str">
        <f>"85294"</f>
        <v>85294</v>
      </c>
      <c r="D12634" t="s">
        <v>5079</v>
      </c>
      <c r="E12634">
        <v>250.41</v>
      </c>
      <c r="F12634">
        <v>20140625</v>
      </c>
      <c r="G12634" t="s">
        <v>5080</v>
      </c>
      <c r="H12634" t="s">
        <v>5162</v>
      </c>
      <c r="I12634" t="s">
        <v>29</v>
      </c>
    </row>
    <row r="12635" spans="1:9" x14ac:dyDescent="0.25">
      <c r="A12635">
        <v>20140625</v>
      </c>
      <c r="B12635" t="str">
        <f>"187335"</f>
        <v>187335</v>
      </c>
      <c r="C12635" t="str">
        <f>"87668"</f>
        <v>87668</v>
      </c>
      <c r="D12635" t="s">
        <v>5125</v>
      </c>
      <c r="E12635">
        <v>438.68</v>
      </c>
      <c r="F12635">
        <v>20140625</v>
      </c>
      <c r="G12635" t="s">
        <v>5126</v>
      </c>
      <c r="H12635" t="s">
        <v>5159</v>
      </c>
      <c r="I12635" t="s">
        <v>29</v>
      </c>
    </row>
    <row r="12636" spans="1:9" x14ac:dyDescent="0.25">
      <c r="A12636">
        <v>20140625</v>
      </c>
      <c r="B12636" t="str">
        <f>"187336"</f>
        <v>187336</v>
      </c>
      <c r="C12636" t="str">
        <f>"69390"</f>
        <v>69390</v>
      </c>
      <c r="D12636" t="s">
        <v>5081</v>
      </c>
      <c r="E12636">
        <v>260</v>
      </c>
      <c r="F12636">
        <v>20140625</v>
      </c>
      <c r="G12636" t="s">
        <v>5082</v>
      </c>
      <c r="H12636" t="s">
        <v>5159</v>
      </c>
      <c r="I12636" t="s">
        <v>29</v>
      </c>
    </row>
    <row r="12637" spans="1:9" x14ac:dyDescent="0.25">
      <c r="A12637">
        <v>20140625</v>
      </c>
      <c r="B12637" t="str">
        <f>"187337"</f>
        <v>187337</v>
      </c>
      <c r="C12637" t="str">
        <f>"70763"</f>
        <v>70763</v>
      </c>
      <c r="D12637" t="s">
        <v>5083</v>
      </c>
      <c r="E12637">
        <v>93.36</v>
      </c>
      <c r="F12637">
        <v>20140625</v>
      </c>
      <c r="G12637" t="s">
        <v>5084</v>
      </c>
      <c r="H12637" t="s">
        <v>5159</v>
      </c>
      <c r="I12637" t="s">
        <v>29</v>
      </c>
    </row>
    <row r="12638" spans="1:9" x14ac:dyDescent="0.25">
      <c r="A12638">
        <v>20140625</v>
      </c>
      <c r="B12638" t="str">
        <f>"187338"</f>
        <v>187338</v>
      </c>
      <c r="C12638" t="str">
        <f>"70692"</f>
        <v>70692</v>
      </c>
      <c r="D12638" t="s">
        <v>5085</v>
      </c>
      <c r="E12638">
        <v>576.76</v>
      </c>
      <c r="F12638">
        <v>20140625</v>
      </c>
      <c r="G12638" t="s">
        <v>5086</v>
      </c>
      <c r="H12638" t="s">
        <v>5159</v>
      </c>
      <c r="I12638" t="s">
        <v>29</v>
      </c>
    </row>
    <row r="12639" spans="1:9" x14ac:dyDescent="0.25">
      <c r="A12639">
        <v>20140625</v>
      </c>
      <c r="B12639" t="str">
        <f>"187339"</f>
        <v>187339</v>
      </c>
      <c r="C12639" t="str">
        <f>"70774"</f>
        <v>70774</v>
      </c>
      <c r="D12639" t="s">
        <v>5087</v>
      </c>
      <c r="E12639" s="1">
        <v>1508.84</v>
      </c>
      <c r="F12639">
        <v>20140625</v>
      </c>
      <c r="G12639" t="s">
        <v>5088</v>
      </c>
      <c r="H12639" t="s">
        <v>5159</v>
      </c>
      <c r="I12639" t="s">
        <v>29</v>
      </c>
    </row>
    <row r="12640" spans="1:9" x14ac:dyDescent="0.25">
      <c r="A12640">
        <v>20140625</v>
      </c>
      <c r="B12640" t="str">
        <f>"187340"</f>
        <v>187340</v>
      </c>
      <c r="C12640" t="str">
        <f>"70777"</f>
        <v>70777</v>
      </c>
      <c r="D12640" t="s">
        <v>5089</v>
      </c>
      <c r="E12640">
        <v>16.25</v>
      </c>
      <c r="F12640">
        <v>20140625</v>
      </c>
      <c r="G12640" t="s">
        <v>5090</v>
      </c>
      <c r="H12640" t="s">
        <v>5159</v>
      </c>
      <c r="I12640" t="s">
        <v>29</v>
      </c>
    </row>
    <row r="12641" spans="1:9" x14ac:dyDescent="0.25">
      <c r="A12641">
        <v>20140625</v>
      </c>
      <c r="B12641" t="str">
        <f>"187341"</f>
        <v>187341</v>
      </c>
      <c r="C12641" t="str">
        <f>"72502"</f>
        <v>72502</v>
      </c>
      <c r="D12641" t="s">
        <v>5091</v>
      </c>
      <c r="E12641">
        <v>330.44</v>
      </c>
      <c r="F12641">
        <v>20140625</v>
      </c>
      <c r="G12641" t="s">
        <v>5092</v>
      </c>
      <c r="H12641" t="s">
        <v>5159</v>
      </c>
      <c r="I12641" t="s">
        <v>29</v>
      </c>
    </row>
    <row r="12642" spans="1:9" x14ac:dyDescent="0.25">
      <c r="A12642">
        <v>20140625</v>
      </c>
      <c r="B12642" t="str">
        <f>"187342"</f>
        <v>187342</v>
      </c>
      <c r="C12642" t="str">
        <f>"83361"</f>
        <v>83361</v>
      </c>
      <c r="D12642" t="s">
        <v>5093</v>
      </c>
      <c r="E12642" s="1">
        <v>1179.5</v>
      </c>
      <c r="F12642">
        <v>20140625</v>
      </c>
      <c r="G12642" t="s">
        <v>5094</v>
      </c>
      <c r="H12642" t="s">
        <v>5159</v>
      </c>
      <c r="I12642" t="s">
        <v>29</v>
      </c>
    </row>
    <row r="12643" spans="1:9" x14ac:dyDescent="0.25">
      <c r="A12643">
        <v>20140625</v>
      </c>
      <c r="B12643" t="str">
        <f>"187343"</f>
        <v>187343</v>
      </c>
      <c r="C12643" t="str">
        <f>"83209"</f>
        <v>83209</v>
      </c>
      <c r="D12643" t="s">
        <v>5097</v>
      </c>
      <c r="E12643">
        <v>693.42</v>
      </c>
      <c r="F12643">
        <v>20140625</v>
      </c>
      <c r="G12643" t="s">
        <v>5098</v>
      </c>
      <c r="H12643" t="s">
        <v>5159</v>
      </c>
      <c r="I12643" t="s">
        <v>29</v>
      </c>
    </row>
    <row r="12644" spans="1:9" x14ac:dyDescent="0.25">
      <c r="A12644">
        <v>20140625</v>
      </c>
      <c r="B12644" t="str">
        <f>"187344"</f>
        <v>187344</v>
      </c>
      <c r="C12644" t="str">
        <f>"76675"</f>
        <v>76675</v>
      </c>
      <c r="D12644" t="s">
        <v>5099</v>
      </c>
      <c r="E12644">
        <v>200</v>
      </c>
      <c r="F12644">
        <v>20140625</v>
      </c>
      <c r="G12644" t="s">
        <v>5100</v>
      </c>
      <c r="H12644" t="s">
        <v>5159</v>
      </c>
      <c r="I12644" t="s">
        <v>29</v>
      </c>
    </row>
    <row r="12645" spans="1:9" x14ac:dyDescent="0.25">
      <c r="A12645">
        <v>20140625</v>
      </c>
      <c r="B12645" t="str">
        <f>"187345"</f>
        <v>187345</v>
      </c>
      <c r="C12645" t="str">
        <f>"87831"</f>
        <v>87831</v>
      </c>
      <c r="D12645" t="s">
        <v>5099</v>
      </c>
      <c r="E12645">
        <v>50</v>
      </c>
      <c r="F12645">
        <v>20140625</v>
      </c>
      <c r="G12645" t="s">
        <v>5157</v>
      </c>
      <c r="H12645" t="s">
        <v>5159</v>
      </c>
      <c r="I12645" t="s">
        <v>29</v>
      </c>
    </row>
    <row r="12646" spans="1:9" x14ac:dyDescent="0.25">
      <c r="A12646">
        <v>20140724</v>
      </c>
      <c r="B12646" t="str">
        <f>"187448"</f>
        <v>187448</v>
      </c>
      <c r="C12646" t="str">
        <f>"86972"</f>
        <v>86972</v>
      </c>
      <c r="D12646" t="s">
        <v>5033</v>
      </c>
      <c r="E12646">
        <v>485.74</v>
      </c>
      <c r="F12646">
        <v>20140724</v>
      </c>
      <c r="G12646" t="s">
        <v>5034</v>
      </c>
      <c r="H12646" t="s">
        <v>5165</v>
      </c>
      <c r="I12646" t="s">
        <v>29</v>
      </c>
    </row>
    <row r="12647" spans="1:9" x14ac:dyDescent="0.25">
      <c r="A12647">
        <v>20140724</v>
      </c>
      <c r="B12647" t="str">
        <f>"187449"</f>
        <v>187449</v>
      </c>
      <c r="C12647" t="str">
        <f>"07258"</f>
        <v>07258</v>
      </c>
      <c r="D12647" t="s">
        <v>5036</v>
      </c>
      <c r="E12647" s="1">
        <v>2902.03</v>
      </c>
      <c r="F12647">
        <v>20140724</v>
      </c>
      <c r="G12647" t="s">
        <v>5037</v>
      </c>
      <c r="H12647" t="s">
        <v>5165</v>
      </c>
      <c r="I12647" t="s">
        <v>29</v>
      </c>
    </row>
    <row r="12648" spans="1:9" x14ac:dyDescent="0.25">
      <c r="A12648">
        <v>20140724</v>
      </c>
      <c r="B12648" t="str">
        <f>"187450"</f>
        <v>187450</v>
      </c>
      <c r="C12648" t="str">
        <f>"16955"</f>
        <v>16955</v>
      </c>
      <c r="D12648" t="s">
        <v>5038</v>
      </c>
      <c r="E12648" s="1">
        <v>76117.64</v>
      </c>
      <c r="F12648">
        <v>20140724</v>
      </c>
      <c r="G12648" t="s">
        <v>5039</v>
      </c>
      <c r="H12648" t="s">
        <v>5166</v>
      </c>
      <c r="I12648" t="s">
        <v>29</v>
      </c>
    </row>
    <row r="12649" spans="1:9" x14ac:dyDescent="0.25">
      <c r="A12649">
        <v>20140724</v>
      </c>
      <c r="B12649" t="str">
        <f>"187451"</f>
        <v>187451</v>
      </c>
      <c r="C12649" t="str">
        <f>"81559"</f>
        <v>81559</v>
      </c>
      <c r="D12649" t="s">
        <v>5041</v>
      </c>
      <c r="E12649" s="1">
        <v>2356</v>
      </c>
      <c r="F12649">
        <v>20140724</v>
      </c>
      <c r="G12649" t="s">
        <v>5042</v>
      </c>
      <c r="H12649" t="s">
        <v>5165</v>
      </c>
      <c r="I12649" t="s">
        <v>29</v>
      </c>
    </row>
    <row r="12650" spans="1:9" x14ac:dyDescent="0.25">
      <c r="A12650">
        <v>20140724</v>
      </c>
      <c r="B12650" t="str">
        <f>"187452"</f>
        <v>187452</v>
      </c>
      <c r="C12650" t="str">
        <f>"22240"</f>
        <v>22240</v>
      </c>
      <c r="D12650" t="s">
        <v>1038</v>
      </c>
      <c r="E12650">
        <v>730</v>
      </c>
      <c r="F12650">
        <v>20140724</v>
      </c>
      <c r="G12650" t="s">
        <v>5043</v>
      </c>
      <c r="H12650" t="s">
        <v>5165</v>
      </c>
      <c r="I12650" t="s">
        <v>29</v>
      </c>
    </row>
    <row r="12651" spans="1:9" x14ac:dyDescent="0.25">
      <c r="A12651">
        <v>20140724</v>
      </c>
      <c r="B12651" t="str">
        <f>"187453"</f>
        <v>187453</v>
      </c>
      <c r="C12651" t="str">
        <f>"26990"</f>
        <v>26990</v>
      </c>
      <c r="D12651" t="s">
        <v>548</v>
      </c>
      <c r="E12651">
        <v>76.92</v>
      </c>
      <c r="F12651">
        <v>20140724</v>
      </c>
      <c r="G12651" t="s">
        <v>5047</v>
      </c>
      <c r="H12651" t="s">
        <v>5165</v>
      </c>
      <c r="I12651" t="s">
        <v>29</v>
      </c>
    </row>
    <row r="12652" spans="1:9" x14ac:dyDescent="0.25">
      <c r="A12652">
        <v>20140724</v>
      </c>
      <c r="B12652" t="str">
        <f t="shared" ref="B12652:B12677" si="723">"187454"</f>
        <v>187454</v>
      </c>
      <c r="C12652" t="str">
        <f t="shared" ref="C12652:C12677" si="724">"86432"</f>
        <v>86432</v>
      </c>
      <c r="D12652" t="s">
        <v>5048</v>
      </c>
      <c r="E12652" s="1">
        <v>3224.79</v>
      </c>
      <c r="F12652">
        <v>20140724</v>
      </c>
      <c r="G12652" t="s">
        <v>5049</v>
      </c>
      <c r="H12652" t="s">
        <v>5167</v>
      </c>
      <c r="I12652" t="s">
        <v>29</v>
      </c>
    </row>
    <row r="12653" spans="1:9" x14ac:dyDescent="0.25">
      <c r="A12653">
        <v>20140724</v>
      </c>
      <c r="B12653" t="str">
        <f t="shared" si="723"/>
        <v>187454</v>
      </c>
      <c r="C12653" t="str">
        <f t="shared" si="724"/>
        <v>86432</v>
      </c>
      <c r="D12653" t="s">
        <v>5048</v>
      </c>
      <c r="E12653">
        <v>54.23</v>
      </c>
      <c r="F12653">
        <v>20140724</v>
      </c>
      <c r="G12653" t="s">
        <v>5051</v>
      </c>
      <c r="H12653" t="s">
        <v>5167</v>
      </c>
      <c r="I12653" t="s">
        <v>29</v>
      </c>
    </row>
    <row r="12654" spans="1:9" x14ac:dyDescent="0.25">
      <c r="A12654">
        <v>20140724</v>
      </c>
      <c r="B12654" t="str">
        <f t="shared" si="723"/>
        <v>187454</v>
      </c>
      <c r="C12654" t="str">
        <f t="shared" si="724"/>
        <v>86432</v>
      </c>
      <c r="D12654" t="s">
        <v>5048</v>
      </c>
      <c r="E12654">
        <v>29.5</v>
      </c>
      <c r="F12654">
        <v>20140724</v>
      </c>
      <c r="G12654" t="s">
        <v>5052</v>
      </c>
      <c r="H12654" t="s">
        <v>5167</v>
      </c>
      <c r="I12654" t="s">
        <v>29</v>
      </c>
    </row>
    <row r="12655" spans="1:9" x14ac:dyDescent="0.25">
      <c r="A12655">
        <v>20140724</v>
      </c>
      <c r="B12655" t="str">
        <f t="shared" si="723"/>
        <v>187454</v>
      </c>
      <c r="C12655" t="str">
        <f t="shared" si="724"/>
        <v>86432</v>
      </c>
      <c r="D12655" t="s">
        <v>5048</v>
      </c>
      <c r="E12655" s="1">
        <v>20347.439999999999</v>
      </c>
      <c r="F12655">
        <v>20140724</v>
      </c>
      <c r="G12655" t="s">
        <v>5053</v>
      </c>
      <c r="H12655" t="s">
        <v>5168</v>
      </c>
      <c r="I12655" t="s">
        <v>29</v>
      </c>
    </row>
    <row r="12656" spans="1:9" x14ac:dyDescent="0.25">
      <c r="A12656">
        <v>20140724</v>
      </c>
      <c r="B12656" t="str">
        <f t="shared" si="723"/>
        <v>187454</v>
      </c>
      <c r="C12656" t="str">
        <f t="shared" si="724"/>
        <v>86432</v>
      </c>
      <c r="D12656" t="s">
        <v>5048</v>
      </c>
      <c r="E12656" s="1">
        <v>2916.6</v>
      </c>
      <c r="F12656">
        <v>20140724</v>
      </c>
      <c r="G12656" t="s">
        <v>5055</v>
      </c>
      <c r="H12656" t="s">
        <v>5167</v>
      </c>
      <c r="I12656" t="s">
        <v>29</v>
      </c>
    </row>
    <row r="12657" spans="1:9" x14ac:dyDescent="0.25">
      <c r="A12657">
        <v>20140724</v>
      </c>
      <c r="B12657" t="str">
        <f t="shared" si="723"/>
        <v>187454</v>
      </c>
      <c r="C12657" t="str">
        <f t="shared" si="724"/>
        <v>86432</v>
      </c>
      <c r="D12657" t="s">
        <v>5048</v>
      </c>
      <c r="E12657" s="1">
        <v>3220.99</v>
      </c>
      <c r="F12657">
        <v>20140724</v>
      </c>
      <c r="G12657" t="s">
        <v>5056</v>
      </c>
      <c r="H12657" t="s">
        <v>5168</v>
      </c>
      <c r="I12657" t="s">
        <v>29</v>
      </c>
    </row>
    <row r="12658" spans="1:9" x14ac:dyDescent="0.25">
      <c r="A12658">
        <v>20140724</v>
      </c>
      <c r="B12658" t="str">
        <f t="shared" si="723"/>
        <v>187454</v>
      </c>
      <c r="C12658" t="str">
        <f t="shared" si="724"/>
        <v>86432</v>
      </c>
      <c r="D12658" t="s">
        <v>5048</v>
      </c>
      <c r="E12658">
        <v>231.71</v>
      </c>
      <c r="F12658">
        <v>20140724</v>
      </c>
      <c r="G12658" t="s">
        <v>5057</v>
      </c>
      <c r="H12658" t="s">
        <v>5168</v>
      </c>
      <c r="I12658" t="s">
        <v>29</v>
      </c>
    </row>
    <row r="12659" spans="1:9" x14ac:dyDescent="0.25">
      <c r="A12659">
        <v>20140724</v>
      </c>
      <c r="B12659" t="str">
        <f t="shared" si="723"/>
        <v>187454</v>
      </c>
      <c r="C12659" t="str">
        <f t="shared" si="724"/>
        <v>86432</v>
      </c>
      <c r="D12659" t="s">
        <v>5048</v>
      </c>
      <c r="E12659">
        <v>821.25</v>
      </c>
      <c r="F12659">
        <v>20140724</v>
      </c>
      <c r="G12659" t="s">
        <v>5058</v>
      </c>
      <c r="H12659" t="s">
        <v>5168</v>
      </c>
      <c r="I12659" t="s">
        <v>29</v>
      </c>
    </row>
    <row r="12660" spans="1:9" x14ac:dyDescent="0.25">
      <c r="A12660">
        <v>20140724</v>
      </c>
      <c r="B12660" t="str">
        <f t="shared" si="723"/>
        <v>187454</v>
      </c>
      <c r="C12660" t="str">
        <f t="shared" si="724"/>
        <v>86432</v>
      </c>
      <c r="D12660" t="s">
        <v>5048</v>
      </c>
      <c r="E12660">
        <v>60.65</v>
      </c>
      <c r="F12660">
        <v>20140724</v>
      </c>
      <c r="G12660" t="s">
        <v>5059</v>
      </c>
      <c r="H12660" t="s">
        <v>5168</v>
      </c>
      <c r="I12660" t="s">
        <v>29</v>
      </c>
    </row>
    <row r="12661" spans="1:9" x14ac:dyDescent="0.25">
      <c r="A12661">
        <v>20140724</v>
      </c>
      <c r="B12661" t="str">
        <f t="shared" si="723"/>
        <v>187454</v>
      </c>
      <c r="C12661" t="str">
        <f t="shared" si="724"/>
        <v>86432</v>
      </c>
      <c r="D12661" t="s">
        <v>5048</v>
      </c>
      <c r="E12661">
        <v>729.2</v>
      </c>
      <c r="F12661">
        <v>20140724</v>
      </c>
      <c r="G12661" t="s">
        <v>5060</v>
      </c>
      <c r="H12661" t="s">
        <v>5168</v>
      </c>
      <c r="I12661" t="s">
        <v>29</v>
      </c>
    </row>
    <row r="12662" spans="1:9" x14ac:dyDescent="0.25">
      <c r="A12662">
        <v>20140724</v>
      </c>
      <c r="B12662" t="str">
        <f t="shared" si="723"/>
        <v>187454</v>
      </c>
      <c r="C12662" t="str">
        <f t="shared" si="724"/>
        <v>86432</v>
      </c>
      <c r="D12662" t="s">
        <v>5048</v>
      </c>
      <c r="E12662">
        <v>307.7</v>
      </c>
      <c r="F12662">
        <v>20140724</v>
      </c>
      <c r="G12662" t="s">
        <v>5061</v>
      </c>
      <c r="H12662" t="s">
        <v>5168</v>
      </c>
      <c r="I12662" t="s">
        <v>29</v>
      </c>
    </row>
    <row r="12663" spans="1:9" x14ac:dyDescent="0.25">
      <c r="A12663">
        <v>20140724</v>
      </c>
      <c r="B12663" t="str">
        <f t="shared" si="723"/>
        <v>187454</v>
      </c>
      <c r="C12663" t="str">
        <f t="shared" si="724"/>
        <v>86432</v>
      </c>
      <c r="D12663" t="s">
        <v>5048</v>
      </c>
      <c r="E12663">
        <v>36.24</v>
      </c>
      <c r="F12663">
        <v>20140724</v>
      </c>
      <c r="G12663" t="s">
        <v>5062</v>
      </c>
      <c r="H12663" t="s">
        <v>5168</v>
      </c>
      <c r="I12663" t="s">
        <v>29</v>
      </c>
    </row>
    <row r="12664" spans="1:9" x14ac:dyDescent="0.25">
      <c r="A12664">
        <v>20140724</v>
      </c>
      <c r="B12664" t="str">
        <f t="shared" si="723"/>
        <v>187454</v>
      </c>
      <c r="C12664" t="str">
        <f t="shared" si="724"/>
        <v>86432</v>
      </c>
      <c r="D12664" t="s">
        <v>5048</v>
      </c>
      <c r="E12664" s="1">
        <v>17287.04</v>
      </c>
      <c r="F12664">
        <v>20140724</v>
      </c>
      <c r="G12664" t="s">
        <v>5063</v>
      </c>
      <c r="H12664" t="s">
        <v>5167</v>
      </c>
      <c r="I12664" t="s">
        <v>29</v>
      </c>
    </row>
    <row r="12665" spans="1:9" x14ac:dyDescent="0.25">
      <c r="A12665">
        <v>20140724</v>
      </c>
      <c r="B12665" t="str">
        <f t="shared" si="723"/>
        <v>187454</v>
      </c>
      <c r="C12665" t="str">
        <f t="shared" si="724"/>
        <v>86432</v>
      </c>
      <c r="D12665" t="s">
        <v>5048</v>
      </c>
      <c r="E12665" s="1">
        <v>11843.83</v>
      </c>
      <c r="F12665">
        <v>20140724</v>
      </c>
      <c r="G12665" t="s">
        <v>5064</v>
      </c>
      <c r="H12665" t="s">
        <v>5165</v>
      </c>
      <c r="I12665" t="s">
        <v>29</v>
      </c>
    </row>
    <row r="12666" spans="1:9" x14ac:dyDescent="0.25">
      <c r="A12666">
        <v>20140724</v>
      </c>
      <c r="B12666" t="str">
        <f t="shared" si="723"/>
        <v>187454</v>
      </c>
      <c r="C12666" t="str">
        <f t="shared" si="724"/>
        <v>86432</v>
      </c>
      <c r="D12666" t="s">
        <v>5048</v>
      </c>
      <c r="E12666" s="1">
        <v>4125</v>
      </c>
      <c r="F12666">
        <v>20140724</v>
      </c>
      <c r="G12666" t="s">
        <v>5065</v>
      </c>
      <c r="H12666" t="s">
        <v>5169</v>
      </c>
      <c r="I12666" t="s">
        <v>29</v>
      </c>
    </row>
    <row r="12667" spans="1:9" x14ac:dyDescent="0.25">
      <c r="A12667">
        <v>20140724</v>
      </c>
      <c r="B12667" t="str">
        <f t="shared" si="723"/>
        <v>187454</v>
      </c>
      <c r="C12667" t="str">
        <f t="shared" si="724"/>
        <v>86432</v>
      </c>
      <c r="D12667" t="s">
        <v>5048</v>
      </c>
      <c r="E12667">
        <v>125</v>
      </c>
      <c r="F12667">
        <v>20140724</v>
      </c>
      <c r="G12667" t="s">
        <v>5067</v>
      </c>
      <c r="H12667" t="s">
        <v>5169</v>
      </c>
      <c r="I12667" t="s">
        <v>29</v>
      </c>
    </row>
    <row r="12668" spans="1:9" x14ac:dyDescent="0.25">
      <c r="A12668">
        <v>20140724</v>
      </c>
      <c r="B12668" t="str">
        <f t="shared" si="723"/>
        <v>187454</v>
      </c>
      <c r="C12668" t="str">
        <f t="shared" si="724"/>
        <v>86432</v>
      </c>
      <c r="D12668" t="s">
        <v>5048</v>
      </c>
      <c r="E12668">
        <v>50</v>
      </c>
      <c r="F12668">
        <v>20140724</v>
      </c>
      <c r="G12668" t="s">
        <v>5068</v>
      </c>
      <c r="H12668" t="s">
        <v>5169</v>
      </c>
      <c r="I12668" t="s">
        <v>29</v>
      </c>
    </row>
    <row r="12669" spans="1:9" x14ac:dyDescent="0.25">
      <c r="A12669">
        <v>20140724</v>
      </c>
      <c r="B12669" t="str">
        <f t="shared" si="723"/>
        <v>187454</v>
      </c>
      <c r="C12669" t="str">
        <f t="shared" si="724"/>
        <v>86432</v>
      </c>
      <c r="D12669" t="s">
        <v>5048</v>
      </c>
      <c r="E12669" s="1">
        <v>1753</v>
      </c>
      <c r="F12669">
        <v>20140724</v>
      </c>
      <c r="G12669" t="s">
        <v>5069</v>
      </c>
      <c r="H12669" t="s">
        <v>5169</v>
      </c>
      <c r="I12669" t="s">
        <v>29</v>
      </c>
    </row>
    <row r="12670" spans="1:9" x14ac:dyDescent="0.25">
      <c r="A12670">
        <v>20140724</v>
      </c>
      <c r="B12670" t="str">
        <f t="shared" si="723"/>
        <v>187454</v>
      </c>
      <c r="C12670" t="str">
        <f t="shared" si="724"/>
        <v>86432</v>
      </c>
      <c r="D12670" t="s">
        <v>5048</v>
      </c>
      <c r="E12670">
        <v>175</v>
      </c>
      <c r="F12670">
        <v>20140724</v>
      </c>
      <c r="G12670" t="s">
        <v>5070</v>
      </c>
      <c r="H12670" t="s">
        <v>5169</v>
      </c>
      <c r="I12670" t="s">
        <v>29</v>
      </c>
    </row>
    <row r="12671" spans="1:9" x14ac:dyDescent="0.25">
      <c r="A12671">
        <v>20140724</v>
      </c>
      <c r="B12671" t="str">
        <f t="shared" si="723"/>
        <v>187454</v>
      </c>
      <c r="C12671" t="str">
        <f t="shared" si="724"/>
        <v>86432</v>
      </c>
      <c r="D12671" t="s">
        <v>5048</v>
      </c>
      <c r="E12671">
        <v>550</v>
      </c>
      <c r="F12671">
        <v>20140724</v>
      </c>
      <c r="G12671" t="s">
        <v>5071</v>
      </c>
      <c r="H12671" t="s">
        <v>5169</v>
      </c>
      <c r="I12671" t="s">
        <v>29</v>
      </c>
    </row>
    <row r="12672" spans="1:9" x14ac:dyDescent="0.25">
      <c r="A12672">
        <v>20140724</v>
      </c>
      <c r="B12672" t="str">
        <f t="shared" si="723"/>
        <v>187454</v>
      </c>
      <c r="C12672" t="str">
        <f t="shared" si="724"/>
        <v>86432</v>
      </c>
      <c r="D12672" t="s">
        <v>5048</v>
      </c>
      <c r="E12672" s="1">
        <v>2983.33</v>
      </c>
      <c r="F12672">
        <v>20140724</v>
      </c>
      <c r="G12672" t="s">
        <v>5072</v>
      </c>
      <c r="H12672" t="s">
        <v>5169</v>
      </c>
      <c r="I12672" t="s">
        <v>29</v>
      </c>
    </row>
    <row r="12673" spans="1:9" x14ac:dyDescent="0.25">
      <c r="A12673">
        <v>20140724</v>
      </c>
      <c r="B12673" t="str">
        <f t="shared" si="723"/>
        <v>187454</v>
      </c>
      <c r="C12673" t="str">
        <f t="shared" si="724"/>
        <v>86432</v>
      </c>
      <c r="D12673" t="s">
        <v>5048</v>
      </c>
      <c r="E12673" s="1">
        <v>2315</v>
      </c>
      <c r="F12673">
        <v>20140724</v>
      </c>
      <c r="G12673" t="s">
        <v>5073</v>
      </c>
      <c r="H12673" t="s">
        <v>5169</v>
      </c>
      <c r="I12673" t="s">
        <v>29</v>
      </c>
    </row>
    <row r="12674" spans="1:9" x14ac:dyDescent="0.25">
      <c r="A12674">
        <v>20140724</v>
      </c>
      <c r="B12674" t="str">
        <f t="shared" si="723"/>
        <v>187454</v>
      </c>
      <c r="C12674" t="str">
        <f t="shared" si="724"/>
        <v>86432</v>
      </c>
      <c r="D12674" t="s">
        <v>5048</v>
      </c>
      <c r="E12674">
        <v>485</v>
      </c>
      <c r="F12674">
        <v>20140724</v>
      </c>
      <c r="G12674" t="s">
        <v>5074</v>
      </c>
      <c r="H12674" t="s">
        <v>5169</v>
      </c>
      <c r="I12674" t="s">
        <v>29</v>
      </c>
    </row>
    <row r="12675" spans="1:9" x14ac:dyDescent="0.25">
      <c r="A12675">
        <v>20140724</v>
      </c>
      <c r="B12675" t="str">
        <f t="shared" si="723"/>
        <v>187454</v>
      </c>
      <c r="C12675" t="str">
        <f t="shared" si="724"/>
        <v>86432</v>
      </c>
      <c r="D12675" t="s">
        <v>5048</v>
      </c>
      <c r="E12675">
        <v>400</v>
      </c>
      <c r="F12675">
        <v>20140724</v>
      </c>
      <c r="G12675" t="s">
        <v>5075</v>
      </c>
      <c r="H12675" t="s">
        <v>5169</v>
      </c>
      <c r="I12675" t="s">
        <v>29</v>
      </c>
    </row>
    <row r="12676" spans="1:9" x14ac:dyDescent="0.25">
      <c r="A12676">
        <v>20140724</v>
      </c>
      <c r="B12676" t="str">
        <f t="shared" si="723"/>
        <v>187454</v>
      </c>
      <c r="C12676" t="str">
        <f t="shared" si="724"/>
        <v>86432</v>
      </c>
      <c r="D12676" t="s">
        <v>5048</v>
      </c>
      <c r="E12676">
        <v>375</v>
      </c>
      <c r="F12676">
        <v>20140724</v>
      </c>
      <c r="G12676" t="s">
        <v>5076</v>
      </c>
      <c r="H12676" t="s">
        <v>5169</v>
      </c>
      <c r="I12676" t="s">
        <v>29</v>
      </c>
    </row>
    <row r="12677" spans="1:9" x14ac:dyDescent="0.25">
      <c r="A12677">
        <v>20140724</v>
      </c>
      <c r="B12677" t="str">
        <f t="shared" si="723"/>
        <v>187454</v>
      </c>
      <c r="C12677" t="str">
        <f t="shared" si="724"/>
        <v>86432</v>
      </c>
      <c r="D12677" t="s">
        <v>5048</v>
      </c>
      <c r="E12677" s="1">
        <v>16581.7</v>
      </c>
      <c r="F12677">
        <v>20140724</v>
      </c>
      <c r="G12677" t="s">
        <v>5077</v>
      </c>
      <c r="H12677" t="s">
        <v>5170</v>
      </c>
      <c r="I12677" t="s">
        <v>29</v>
      </c>
    </row>
    <row r="12678" spans="1:9" x14ac:dyDescent="0.25">
      <c r="A12678">
        <v>20140724</v>
      </c>
      <c r="B12678" t="str">
        <f>"187455"</f>
        <v>187455</v>
      </c>
      <c r="C12678" t="str">
        <f>"85294"</f>
        <v>85294</v>
      </c>
      <c r="D12678" t="s">
        <v>5079</v>
      </c>
      <c r="E12678">
        <v>250.41</v>
      </c>
      <c r="F12678">
        <v>20140724</v>
      </c>
      <c r="G12678" t="s">
        <v>5080</v>
      </c>
      <c r="H12678" t="s">
        <v>5168</v>
      </c>
      <c r="I12678" t="s">
        <v>29</v>
      </c>
    </row>
    <row r="12679" spans="1:9" x14ac:dyDescent="0.25">
      <c r="A12679">
        <v>20140724</v>
      </c>
      <c r="B12679" t="str">
        <f>"187456"</f>
        <v>187456</v>
      </c>
      <c r="C12679" t="str">
        <f>"87668"</f>
        <v>87668</v>
      </c>
      <c r="D12679" t="s">
        <v>5125</v>
      </c>
      <c r="E12679">
        <v>438.68</v>
      </c>
      <c r="F12679">
        <v>20140724</v>
      </c>
      <c r="G12679" t="s">
        <v>5126</v>
      </c>
      <c r="H12679" t="s">
        <v>5165</v>
      </c>
      <c r="I12679" t="s">
        <v>29</v>
      </c>
    </row>
    <row r="12680" spans="1:9" x14ac:dyDescent="0.25">
      <c r="A12680">
        <v>20140724</v>
      </c>
      <c r="B12680" t="str">
        <f>"187457"</f>
        <v>187457</v>
      </c>
      <c r="C12680" t="str">
        <f>"70763"</f>
        <v>70763</v>
      </c>
      <c r="D12680" t="s">
        <v>5083</v>
      </c>
      <c r="E12680">
        <v>81.69</v>
      </c>
      <c r="F12680">
        <v>20140724</v>
      </c>
      <c r="G12680" t="s">
        <v>5084</v>
      </c>
      <c r="H12680" t="s">
        <v>5165</v>
      </c>
      <c r="I12680" t="s">
        <v>29</v>
      </c>
    </row>
    <row r="12681" spans="1:9" x14ac:dyDescent="0.25">
      <c r="A12681">
        <v>20140724</v>
      </c>
      <c r="B12681" t="str">
        <f>"187458"</f>
        <v>187458</v>
      </c>
      <c r="C12681" t="str">
        <f>"70692"</f>
        <v>70692</v>
      </c>
      <c r="D12681" t="s">
        <v>5085</v>
      </c>
      <c r="E12681">
        <v>576.76</v>
      </c>
      <c r="F12681">
        <v>20140724</v>
      </c>
      <c r="G12681" t="s">
        <v>5086</v>
      </c>
      <c r="H12681" t="s">
        <v>5165</v>
      </c>
      <c r="I12681" t="s">
        <v>29</v>
      </c>
    </row>
    <row r="12682" spans="1:9" x14ac:dyDescent="0.25">
      <c r="A12682">
        <v>20140724</v>
      </c>
      <c r="B12682" t="str">
        <f>"187459"</f>
        <v>187459</v>
      </c>
      <c r="C12682" t="str">
        <f>"70774"</f>
        <v>70774</v>
      </c>
      <c r="D12682" t="s">
        <v>5087</v>
      </c>
      <c r="E12682" s="1">
        <v>1633.84</v>
      </c>
      <c r="F12682">
        <v>20140724</v>
      </c>
      <c r="G12682" t="s">
        <v>5088</v>
      </c>
      <c r="H12682" t="s">
        <v>5165</v>
      </c>
      <c r="I12682" t="s">
        <v>29</v>
      </c>
    </row>
    <row r="12683" spans="1:9" x14ac:dyDescent="0.25">
      <c r="A12683">
        <v>20140724</v>
      </c>
      <c r="B12683" t="str">
        <f>"187460"</f>
        <v>187460</v>
      </c>
      <c r="C12683" t="str">
        <f>"70777"</f>
        <v>70777</v>
      </c>
      <c r="D12683" t="s">
        <v>5089</v>
      </c>
      <c r="E12683">
        <v>16.25</v>
      </c>
      <c r="F12683">
        <v>20140724</v>
      </c>
      <c r="G12683" t="s">
        <v>5090</v>
      </c>
      <c r="H12683" t="s">
        <v>5165</v>
      </c>
      <c r="I12683" t="s">
        <v>29</v>
      </c>
    </row>
    <row r="12684" spans="1:9" x14ac:dyDescent="0.25">
      <c r="A12684">
        <v>20140724</v>
      </c>
      <c r="B12684" t="str">
        <f>"187461"</f>
        <v>187461</v>
      </c>
      <c r="C12684" t="str">
        <f>"72502"</f>
        <v>72502</v>
      </c>
      <c r="D12684" t="s">
        <v>5091</v>
      </c>
      <c r="E12684">
        <v>330.44</v>
      </c>
      <c r="F12684">
        <v>20140724</v>
      </c>
      <c r="G12684" t="s">
        <v>5092</v>
      </c>
      <c r="H12684" t="s">
        <v>5165</v>
      </c>
      <c r="I12684" t="s">
        <v>29</v>
      </c>
    </row>
    <row r="12685" spans="1:9" x14ac:dyDescent="0.25">
      <c r="A12685">
        <v>20140724</v>
      </c>
      <c r="B12685" t="str">
        <f>"187462"</f>
        <v>187462</v>
      </c>
      <c r="C12685" t="str">
        <f>"83209"</f>
        <v>83209</v>
      </c>
      <c r="D12685" t="s">
        <v>5097</v>
      </c>
      <c r="E12685" s="1">
        <v>1156.81</v>
      </c>
      <c r="F12685">
        <v>20140724</v>
      </c>
      <c r="G12685" t="s">
        <v>5098</v>
      </c>
      <c r="H12685" t="s">
        <v>5165</v>
      </c>
      <c r="I12685" t="s">
        <v>29</v>
      </c>
    </row>
    <row r="12686" spans="1:9" x14ac:dyDescent="0.25">
      <c r="A12686">
        <v>20140724</v>
      </c>
      <c r="B12686" t="str">
        <f>"187463"</f>
        <v>187463</v>
      </c>
      <c r="C12686" t="str">
        <f>"76675"</f>
        <v>76675</v>
      </c>
      <c r="D12686" t="s">
        <v>5099</v>
      </c>
      <c r="E12686">
        <v>200</v>
      </c>
      <c r="F12686">
        <v>20140724</v>
      </c>
      <c r="G12686" t="s">
        <v>5100</v>
      </c>
      <c r="H12686" t="s">
        <v>5165</v>
      </c>
      <c r="I12686" t="s">
        <v>29</v>
      </c>
    </row>
    <row r="12687" spans="1:9" x14ac:dyDescent="0.25">
      <c r="A12687">
        <v>20140724</v>
      </c>
      <c r="B12687" t="str">
        <f>"187464"</f>
        <v>187464</v>
      </c>
      <c r="C12687" t="str">
        <f>"87831"</f>
        <v>87831</v>
      </c>
      <c r="D12687" t="s">
        <v>5099</v>
      </c>
      <c r="E12687">
        <v>50</v>
      </c>
      <c r="F12687">
        <v>20140724</v>
      </c>
      <c r="G12687" t="s">
        <v>5157</v>
      </c>
      <c r="H12687" t="s">
        <v>5165</v>
      </c>
      <c r="I12687" t="s">
        <v>29</v>
      </c>
    </row>
    <row r="12688" spans="1:9" x14ac:dyDescent="0.25">
      <c r="A12688">
        <v>20140822</v>
      </c>
      <c r="B12688" t="str">
        <f>"187572"</f>
        <v>187572</v>
      </c>
      <c r="C12688" t="str">
        <f>"86972"</f>
        <v>86972</v>
      </c>
      <c r="D12688" t="s">
        <v>5033</v>
      </c>
      <c r="E12688">
        <v>485.74</v>
      </c>
      <c r="F12688">
        <v>20140822</v>
      </c>
      <c r="G12688" t="s">
        <v>5034</v>
      </c>
      <c r="H12688" t="s">
        <v>5171</v>
      </c>
      <c r="I12688" t="s">
        <v>29</v>
      </c>
    </row>
    <row r="12689" spans="1:9" x14ac:dyDescent="0.25">
      <c r="A12689">
        <v>20140822</v>
      </c>
      <c r="B12689" t="str">
        <f>"187573"</f>
        <v>187573</v>
      </c>
      <c r="C12689" t="str">
        <f>"07258"</f>
        <v>07258</v>
      </c>
      <c r="D12689" t="s">
        <v>5036</v>
      </c>
      <c r="E12689" s="1">
        <v>2838.27</v>
      </c>
      <c r="F12689">
        <v>20140822</v>
      </c>
      <c r="G12689" t="s">
        <v>5037</v>
      </c>
      <c r="H12689" t="s">
        <v>5171</v>
      </c>
      <c r="I12689" t="s">
        <v>29</v>
      </c>
    </row>
    <row r="12690" spans="1:9" x14ac:dyDescent="0.25">
      <c r="A12690">
        <v>20140822</v>
      </c>
      <c r="B12690" t="str">
        <f>"187574"</f>
        <v>187574</v>
      </c>
      <c r="C12690" t="str">
        <f>"16955"</f>
        <v>16955</v>
      </c>
      <c r="D12690" t="s">
        <v>5038</v>
      </c>
      <c r="E12690" s="1">
        <v>75871.53</v>
      </c>
      <c r="F12690">
        <v>20140822</v>
      </c>
      <c r="G12690" t="s">
        <v>5039</v>
      </c>
      <c r="H12690" t="s">
        <v>5172</v>
      </c>
      <c r="I12690" t="s">
        <v>29</v>
      </c>
    </row>
    <row r="12691" spans="1:9" x14ac:dyDescent="0.25">
      <c r="A12691">
        <v>20140822</v>
      </c>
      <c r="B12691" t="str">
        <f>"187575"</f>
        <v>187575</v>
      </c>
      <c r="C12691" t="str">
        <f>"81559"</f>
        <v>81559</v>
      </c>
      <c r="D12691" t="s">
        <v>5041</v>
      </c>
      <c r="E12691" s="1">
        <v>2356</v>
      </c>
      <c r="F12691">
        <v>20140822</v>
      </c>
      <c r="G12691" t="s">
        <v>5042</v>
      </c>
      <c r="H12691" t="s">
        <v>5171</v>
      </c>
      <c r="I12691" t="s">
        <v>29</v>
      </c>
    </row>
    <row r="12692" spans="1:9" x14ac:dyDescent="0.25">
      <c r="A12692">
        <v>20140822</v>
      </c>
      <c r="B12692" t="str">
        <f>"187576"</f>
        <v>187576</v>
      </c>
      <c r="C12692" t="str">
        <f>"22240"</f>
        <v>22240</v>
      </c>
      <c r="D12692" t="s">
        <v>1038</v>
      </c>
      <c r="E12692">
        <v>715</v>
      </c>
      <c r="F12692">
        <v>20140822</v>
      </c>
      <c r="G12692" t="s">
        <v>5043</v>
      </c>
      <c r="H12692" t="s">
        <v>5171</v>
      </c>
      <c r="I12692" t="s">
        <v>29</v>
      </c>
    </row>
    <row r="12693" spans="1:9" x14ac:dyDescent="0.25">
      <c r="A12693">
        <v>20140822</v>
      </c>
      <c r="B12693" t="str">
        <f>"187577"</f>
        <v>187577</v>
      </c>
      <c r="C12693" t="str">
        <f>"26990"</f>
        <v>26990</v>
      </c>
      <c r="D12693" t="s">
        <v>548</v>
      </c>
      <c r="E12693">
        <v>76.92</v>
      </c>
      <c r="F12693">
        <v>20140822</v>
      </c>
      <c r="G12693" t="s">
        <v>5047</v>
      </c>
      <c r="H12693" t="s">
        <v>5171</v>
      </c>
      <c r="I12693" t="s">
        <v>29</v>
      </c>
    </row>
    <row r="12694" spans="1:9" x14ac:dyDescent="0.25">
      <c r="A12694">
        <v>20140822</v>
      </c>
      <c r="B12694" t="str">
        <f t="shared" ref="B12694:B12719" si="725">"187578"</f>
        <v>187578</v>
      </c>
      <c r="C12694" t="str">
        <f t="shared" ref="C12694:C12719" si="726">"86432"</f>
        <v>86432</v>
      </c>
      <c r="D12694" t="s">
        <v>5048</v>
      </c>
      <c r="E12694" s="1">
        <v>3208.31</v>
      </c>
      <c r="F12694">
        <v>20140822</v>
      </c>
      <c r="G12694" t="s">
        <v>5049</v>
      </c>
      <c r="H12694" t="s">
        <v>5173</v>
      </c>
      <c r="I12694" t="s">
        <v>29</v>
      </c>
    </row>
    <row r="12695" spans="1:9" x14ac:dyDescent="0.25">
      <c r="A12695">
        <v>20140822</v>
      </c>
      <c r="B12695" t="str">
        <f t="shared" si="725"/>
        <v>187578</v>
      </c>
      <c r="C12695" t="str">
        <f t="shared" si="726"/>
        <v>86432</v>
      </c>
      <c r="D12695" t="s">
        <v>5048</v>
      </c>
      <c r="E12695">
        <v>54.23</v>
      </c>
      <c r="F12695">
        <v>20140822</v>
      </c>
      <c r="G12695" t="s">
        <v>5051</v>
      </c>
      <c r="H12695" t="s">
        <v>5173</v>
      </c>
      <c r="I12695" t="s">
        <v>29</v>
      </c>
    </row>
    <row r="12696" spans="1:9" x14ac:dyDescent="0.25">
      <c r="A12696">
        <v>20140822</v>
      </c>
      <c r="B12696" t="str">
        <f t="shared" si="725"/>
        <v>187578</v>
      </c>
      <c r="C12696" t="str">
        <f t="shared" si="726"/>
        <v>86432</v>
      </c>
      <c r="D12696" t="s">
        <v>5048</v>
      </c>
      <c r="E12696">
        <v>29.5</v>
      </c>
      <c r="F12696">
        <v>20140822</v>
      </c>
      <c r="G12696" t="s">
        <v>5052</v>
      </c>
      <c r="H12696" t="s">
        <v>5173</v>
      </c>
      <c r="I12696" t="s">
        <v>29</v>
      </c>
    </row>
    <row r="12697" spans="1:9" x14ac:dyDescent="0.25">
      <c r="A12697">
        <v>20140822</v>
      </c>
      <c r="B12697" t="str">
        <f t="shared" si="725"/>
        <v>187578</v>
      </c>
      <c r="C12697" t="str">
        <f t="shared" si="726"/>
        <v>86432</v>
      </c>
      <c r="D12697" t="s">
        <v>5048</v>
      </c>
      <c r="E12697" s="1">
        <v>20227.599999999999</v>
      </c>
      <c r="F12697">
        <v>20140822</v>
      </c>
      <c r="G12697" t="s">
        <v>5053</v>
      </c>
      <c r="H12697" t="s">
        <v>5174</v>
      </c>
      <c r="I12697" t="s">
        <v>29</v>
      </c>
    </row>
    <row r="12698" spans="1:9" x14ac:dyDescent="0.25">
      <c r="A12698">
        <v>20140822</v>
      </c>
      <c r="B12698" t="str">
        <f t="shared" si="725"/>
        <v>187578</v>
      </c>
      <c r="C12698" t="str">
        <f t="shared" si="726"/>
        <v>86432</v>
      </c>
      <c r="D12698" t="s">
        <v>5048</v>
      </c>
      <c r="E12698" s="1">
        <v>2870.6</v>
      </c>
      <c r="F12698">
        <v>20140822</v>
      </c>
      <c r="G12698" t="s">
        <v>5055</v>
      </c>
      <c r="H12698" t="s">
        <v>5173</v>
      </c>
      <c r="I12698" t="s">
        <v>29</v>
      </c>
    </row>
    <row r="12699" spans="1:9" x14ac:dyDescent="0.25">
      <c r="A12699">
        <v>20140822</v>
      </c>
      <c r="B12699" t="str">
        <f t="shared" si="725"/>
        <v>187578</v>
      </c>
      <c r="C12699" t="str">
        <f t="shared" si="726"/>
        <v>86432</v>
      </c>
      <c r="D12699" t="s">
        <v>5048</v>
      </c>
      <c r="E12699" s="1">
        <v>3183.51</v>
      </c>
      <c r="F12699">
        <v>20140822</v>
      </c>
      <c r="G12699" t="s">
        <v>5056</v>
      </c>
      <c r="H12699" t="s">
        <v>5174</v>
      </c>
      <c r="I12699" t="s">
        <v>29</v>
      </c>
    </row>
    <row r="12700" spans="1:9" x14ac:dyDescent="0.25">
      <c r="A12700">
        <v>20140822</v>
      </c>
      <c r="B12700" t="str">
        <f t="shared" si="725"/>
        <v>187578</v>
      </c>
      <c r="C12700" t="str">
        <f t="shared" si="726"/>
        <v>86432</v>
      </c>
      <c r="D12700" t="s">
        <v>5048</v>
      </c>
      <c r="E12700">
        <v>231.71</v>
      </c>
      <c r="F12700">
        <v>20140822</v>
      </c>
      <c r="G12700" t="s">
        <v>5057</v>
      </c>
      <c r="H12700" t="s">
        <v>5174</v>
      </c>
      <c r="I12700" t="s">
        <v>29</v>
      </c>
    </row>
    <row r="12701" spans="1:9" x14ac:dyDescent="0.25">
      <c r="A12701">
        <v>20140822</v>
      </c>
      <c r="B12701" t="str">
        <f t="shared" si="725"/>
        <v>187578</v>
      </c>
      <c r="C12701" t="str">
        <f t="shared" si="726"/>
        <v>86432</v>
      </c>
      <c r="D12701" t="s">
        <v>5048</v>
      </c>
      <c r="E12701">
        <v>821.25</v>
      </c>
      <c r="F12701">
        <v>20140822</v>
      </c>
      <c r="G12701" t="s">
        <v>5058</v>
      </c>
      <c r="H12701" t="s">
        <v>5174</v>
      </c>
      <c r="I12701" t="s">
        <v>29</v>
      </c>
    </row>
    <row r="12702" spans="1:9" x14ac:dyDescent="0.25">
      <c r="A12702">
        <v>20140822</v>
      </c>
      <c r="B12702" t="str">
        <f t="shared" si="725"/>
        <v>187578</v>
      </c>
      <c r="C12702" t="str">
        <f t="shared" si="726"/>
        <v>86432</v>
      </c>
      <c r="D12702" t="s">
        <v>5048</v>
      </c>
      <c r="E12702">
        <v>60.65</v>
      </c>
      <c r="F12702">
        <v>20140822</v>
      </c>
      <c r="G12702" t="s">
        <v>5059</v>
      </c>
      <c r="H12702" t="s">
        <v>5174</v>
      </c>
      <c r="I12702" t="s">
        <v>29</v>
      </c>
    </row>
    <row r="12703" spans="1:9" x14ac:dyDescent="0.25">
      <c r="A12703">
        <v>20140822</v>
      </c>
      <c r="B12703" t="str">
        <f t="shared" si="725"/>
        <v>187578</v>
      </c>
      <c r="C12703" t="str">
        <f t="shared" si="726"/>
        <v>86432</v>
      </c>
      <c r="D12703" t="s">
        <v>5048</v>
      </c>
      <c r="E12703">
        <v>729.2</v>
      </c>
      <c r="F12703">
        <v>20140822</v>
      </c>
      <c r="G12703" t="s">
        <v>5060</v>
      </c>
      <c r="H12703" t="s">
        <v>5174</v>
      </c>
      <c r="I12703" t="s">
        <v>29</v>
      </c>
    </row>
    <row r="12704" spans="1:9" x14ac:dyDescent="0.25">
      <c r="A12704">
        <v>20140822</v>
      </c>
      <c r="B12704" t="str">
        <f t="shared" si="725"/>
        <v>187578</v>
      </c>
      <c r="C12704" t="str">
        <f t="shared" si="726"/>
        <v>86432</v>
      </c>
      <c r="D12704" t="s">
        <v>5048</v>
      </c>
      <c r="E12704">
        <v>307.7</v>
      </c>
      <c r="F12704">
        <v>20140822</v>
      </c>
      <c r="G12704" t="s">
        <v>5061</v>
      </c>
      <c r="H12704" t="s">
        <v>5174</v>
      </c>
      <c r="I12704" t="s">
        <v>29</v>
      </c>
    </row>
    <row r="12705" spans="1:9" x14ac:dyDescent="0.25">
      <c r="A12705">
        <v>20140822</v>
      </c>
      <c r="B12705" t="str">
        <f t="shared" si="725"/>
        <v>187578</v>
      </c>
      <c r="C12705" t="str">
        <f t="shared" si="726"/>
        <v>86432</v>
      </c>
      <c r="D12705" t="s">
        <v>5048</v>
      </c>
      <c r="E12705">
        <v>36.24</v>
      </c>
      <c r="F12705">
        <v>20140822</v>
      </c>
      <c r="G12705" t="s">
        <v>5062</v>
      </c>
      <c r="H12705" t="s">
        <v>5174</v>
      </c>
      <c r="I12705" t="s">
        <v>29</v>
      </c>
    </row>
    <row r="12706" spans="1:9" x14ac:dyDescent="0.25">
      <c r="A12706">
        <v>20140822</v>
      </c>
      <c r="B12706" t="str">
        <f t="shared" si="725"/>
        <v>187578</v>
      </c>
      <c r="C12706" t="str">
        <f t="shared" si="726"/>
        <v>86432</v>
      </c>
      <c r="D12706" t="s">
        <v>5048</v>
      </c>
      <c r="E12706" s="1">
        <v>17024.689999999999</v>
      </c>
      <c r="F12706">
        <v>20140822</v>
      </c>
      <c r="G12706" t="s">
        <v>5063</v>
      </c>
      <c r="H12706" t="s">
        <v>5173</v>
      </c>
      <c r="I12706" t="s">
        <v>29</v>
      </c>
    </row>
    <row r="12707" spans="1:9" x14ac:dyDescent="0.25">
      <c r="A12707">
        <v>20140822</v>
      </c>
      <c r="B12707" t="str">
        <f t="shared" si="725"/>
        <v>187578</v>
      </c>
      <c r="C12707" t="str">
        <f t="shared" si="726"/>
        <v>86432</v>
      </c>
      <c r="D12707" t="s">
        <v>5048</v>
      </c>
      <c r="E12707" s="1">
        <v>11643.83</v>
      </c>
      <c r="F12707">
        <v>20140822</v>
      </c>
      <c r="G12707" t="s">
        <v>5064</v>
      </c>
      <c r="H12707" t="s">
        <v>5171</v>
      </c>
      <c r="I12707" t="s">
        <v>29</v>
      </c>
    </row>
    <row r="12708" spans="1:9" x14ac:dyDescent="0.25">
      <c r="A12708">
        <v>20140822</v>
      </c>
      <c r="B12708" t="str">
        <f t="shared" si="725"/>
        <v>187578</v>
      </c>
      <c r="C12708" t="str">
        <f t="shared" si="726"/>
        <v>86432</v>
      </c>
      <c r="D12708" t="s">
        <v>5048</v>
      </c>
      <c r="E12708" s="1">
        <v>4125</v>
      </c>
      <c r="F12708">
        <v>20140822</v>
      </c>
      <c r="G12708" t="s">
        <v>5065</v>
      </c>
      <c r="H12708" t="s">
        <v>5175</v>
      </c>
      <c r="I12708" t="s">
        <v>29</v>
      </c>
    </row>
    <row r="12709" spans="1:9" x14ac:dyDescent="0.25">
      <c r="A12709">
        <v>20140822</v>
      </c>
      <c r="B12709" t="str">
        <f t="shared" si="725"/>
        <v>187578</v>
      </c>
      <c r="C12709" t="str">
        <f t="shared" si="726"/>
        <v>86432</v>
      </c>
      <c r="D12709" t="s">
        <v>5048</v>
      </c>
      <c r="E12709">
        <v>125</v>
      </c>
      <c r="F12709">
        <v>20140822</v>
      </c>
      <c r="G12709" t="s">
        <v>5067</v>
      </c>
      <c r="H12709" t="s">
        <v>5175</v>
      </c>
      <c r="I12709" t="s">
        <v>29</v>
      </c>
    </row>
    <row r="12710" spans="1:9" x14ac:dyDescent="0.25">
      <c r="A12710">
        <v>20140822</v>
      </c>
      <c r="B12710" t="str">
        <f t="shared" si="725"/>
        <v>187578</v>
      </c>
      <c r="C12710" t="str">
        <f t="shared" si="726"/>
        <v>86432</v>
      </c>
      <c r="D12710" t="s">
        <v>5048</v>
      </c>
      <c r="E12710">
        <v>50</v>
      </c>
      <c r="F12710">
        <v>20140822</v>
      </c>
      <c r="G12710" t="s">
        <v>5068</v>
      </c>
      <c r="H12710" t="s">
        <v>5175</v>
      </c>
      <c r="I12710" t="s">
        <v>29</v>
      </c>
    </row>
    <row r="12711" spans="1:9" x14ac:dyDescent="0.25">
      <c r="A12711">
        <v>20140822</v>
      </c>
      <c r="B12711" t="str">
        <f t="shared" si="725"/>
        <v>187578</v>
      </c>
      <c r="C12711" t="str">
        <f t="shared" si="726"/>
        <v>86432</v>
      </c>
      <c r="D12711" t="s">
        <v>5048</v>
      </c>
      <c r="E12711" s="1">
        <v>1753</v>
      </c>
      <c r="F12711">
        <v>20140822</v>
      </c>
      <c r="G12711" t="s">
        <v>5069</v>
      </c>
      <c r="H12711" t="s">
        <v>5175</v>
      </c>
      <c r="I12711" t="s">
        <v>29</v>
      </c>
    </row>
    <row r="12712" spans="1:9" x14ac:dyDescent="0.25">
      <c r="A12712">
        <v>20140822</v>
      </c>
      <c r="B12712" t="str">
        <f t="shared" si="725"/>
        <v>187578</v>
      </c>
      <c r="C12712" t="str">
        <f t="shared" si="726"/>
        <v>86432</v>
      </c>
      <c r="D12712" t="s">
        <v>5048</v>
      </c>
      <c r="E12712">
        <v>175</v>
      </c>
      <c r="F12712">
        <v>20140822</v>
      </c>
      <c r="G12712" t="s">
        <v>5070</v>
      </c>
      <c r="H12712" t="s">
        <v>5175</v>
      </c>
      <c r="I12712" t="s">
        <v>29</v>
      </c>
    </row>
    <row r="12713" spans="1:9" x14ac:dyDescent="0.25">
      <c r="A12713">
        <v>20140822</v>
      </c>
      <c r="B12713" t="str">
        <f t="shared" si="725"/>
        <v>187578</v>
      </c>
      <c r="C12713" t="str">
        <f t="shared" si="726"/>
        <v>86432</v>
      </c>
      <c r="D12713" t="s">
        <v>5048</v>
      </c>
      <c r="E12713">
        <v>200</v>
      </c>
      <c r="F12713">
        <v>20140822</v>
      </c>
      <c r="G12713" t="s">
        <v>5071</v>
      </c>
      <c r="H12713" t="s">
        <v>5175</v>
      </c>
      <c r="I12713" t="s">
        <v>29</v>
      </c>
    </row>
    <row r="12714" spans="1:9" x14ac:dyDescent="0.25">
      <c r="A12714">
        <v>20140822</v>
      </c>
      <c r="B12714" t="str">
        <f t="shared" si="725"/>
        <v>187578</v>
      </c>
      <c r="C12714" t="str">
        <f t="shared" si="726"/>
        <v>86432</v>
      </c>
      <c r="D12714" t="s">
        <v>5048</v>
      </c>
      <c r="E12714" s="1">
        <v>3108.33</v>
      </c>
      <c r="F12714">
        <v>20140822</v>
      </c>
      <c r="G12714" t="s">
        <v>5072</v>
      </c>
      <c r="H12714" t="s">
        <v>5175</v>
      </c>
      <c r="I12714" t="s">
        <v>29</v>
      </c>
    </row>
    <row r="12715" spans="1:9" x14ac:dyDescent="0.25">
      <c r="A12715">
        <v>20140822</v>
      </c>
      <c r="B12715" t="str">
        <f t="shared" si="725"/>
        <v>187578</v>
      </c>
      <c r="C12715" t="str">
        <f t="shared" si="726"/>
        <v>86432</v>
      </c>
      <c r="D12715" t="s">
        <v>5048</v>
      </c>
      <c r="E12715" s="1">
        <v>2815</v>
      </c>
      <c r="F12715">
        <v>20140822</v>
      </c>
      <c r="G12715" t="s">
        <v>5073</v>
      </c>
      <c r="H12715" t="s">
        <v>5175</v>
      </c>
      <c r="I12715" t="s">
        <v>29</v>
      </c>
    </row>
    <row r="12716" spans="1:9" x14ac:dyDescent="0.25">
      <c r="A12716">
        <v>20140822</v>
      </c>
      <c r="B12716" t="str">
        <f t="shared" si="725"/>
        <v>187578</v>
      </c>
      <c r="C12716" t="str">
        <f t="shared" si="726"/>
        <v>86432</v>
      </c>
      <c r="D12716" t="s">
        <v>5048</v>
      </c>
      <c r="E12716">
        <v>485</v>
      </c>
      <c r="F12716">
        <v>20140822</v>
      </c>
      <c r="G12716" t="s">
        <v>5074</v>
      </c>
      <c r="H12716" t="s">
        <v>5175</v>
      </c>
      <c r="I12716" t="s">
        <v>29</v>
      </c>
    </row>
    <row r="12717" spans="1:9" x14ac:dyDescent="0.25">
      <c r="A12717">
        <v>20140822</v>
      </c>
      <c r="B12717" t="str">
        <f t="shared" si="725"/>
        <v>187578</v>
      </c>
      <c r="C12717" t="str">
        <f t="shared" si="726"/>
        <v>86432</v>
      </c>
      <c r="D12717" t="s">
        <v>5048</v>
      </c>
      <c r="E12717">
        <v>400</v>
      </c>
      <c r="F12717">
        <v>20140822</v>
      </c>
      <c r="G12717" t="s">
        <v>5075</v>
      </c>
      <c r="H12717" t="s">
        <v>5175</v>
      </c>
      <c r="I12717" t="s">
        <v>29</v>
      </c>
    </row>
    <row r="12718" spans="1:9" x14ac:dyDescent="0.25">
      <c r="A12718">
        <v>20140822</v>
      </c>
      <c r="B12718" t="str">
        <f t="shared" si="725"/>
        <v>187578</v>
      </c>
      <c r="C12718" t="str">
        <f t="shared" si="726"/>
        <v>86432</v>
      </c>
      <c r="D12718" t="s">
        <v>5048</v>
      </c>
      <c r="E12718">
        <v>375</v>
      </c>
      <c r="F12718">
        <v>20140822</v>
      </c>
      <c r="G12718" t="s">
        <v>5076</v>
      </c>
      <c r="H12718" t="s">
        <v>5175</v>
      </c>
      <c r="I12718" t="s">
        <v>29</v>
      </c>
    </row>
    <row r="12719" spans="1:9" x14ac:dyDescent="0.25">
      <c r="A12719">
        <v>20140822</v>
      </c>
      <c r="B12719" t="str">
        <f t="shared" si="725"/>
        <v>187578</v>
      </c>
      <c r="C12719" t="str">
        <f t="shared" si="726"/>
        <v>86432</v>
      </c>
      <c r="D12719" t="s">
        <v>5048</v>
      </c>
      <c r="E12719" s="1">
        <v>16225.2</v>
      </c>
      <c r="F12719">
        <v>20140822</v>
      </c>
      <c r="G12719" t="s">
        <v>5077</v>
      </c>
      <c r="H12719" t="s">
        <v>5176</v>
      </c>
      <c r="I12719" t="s">
        <v>29</v>
      </c>
    </row>
    <row r="12720" spans="1:9" x14ac:dyDescent="0.25">
      <c r="A12720">
        <v>20140822</v>
      </c>
      <c r="B12720" t="str">
        <f>"187579"</f>
        <v>187579</v>
      </c>
      <c r="C12720" t="str">
        <f>"85294"</f>
        <v>85294</v>
      </c>
      <c r="D12720" t="s">
        <v>5079</v>
      </c>
      <c r="E12720">
        <v>250.41</v>
      </c>
      <c r="F12720">
        <v>20140822</v>
      </c>
      <c r="G12720" t="s">
        <v>5080</v>
      </c>
      <c r="H12720" t="s">
        <v>5174</v>
      </c>
      <c r="I12720" t="s">
        <v>29</v>
      </c>
    </row>
    <row r="12721" spans="1:9" x14ac:dyDescent="0.25">
      <c r="A12721">
        <v>20140822</v>
      </c>
      <c r="B12721" t="str">
        <f>"187580"</f>
        <v>187580</v>
      </c>
      <c r="C12721" t="str">
        <f>"87668"</f>
        <v>87668</v>
      </c>
      <c r="D12721" t="s">
        <v>5125</v>
      </c>
      <c r="E12721">
        <v>438.68</v>
      </c>
      <c r="F12721">
        <v>20140822</v>
      </c>
      <c r="G12721" t="s">
        <v>5126</v>
      </c>
      <c r="H12721" t="s">
        <v>5171</v>
      </c>
      <c r="I12721" t="s">
        <v>29</v>
      </c>
    </row>
    <row r="12722" spans="1:9" x14ac:dyDescent="0.25">
      <c r="A12722">
        <v>20140822</v>
      </c>
      <c r="B12722" t="str">
        <f>"187581"</f>
        <v>187581</v>
      </c>
      <c r="C12722" t="str">
        <f>"70763"</f>
        <v>70763</v>
      </c>
      <c r="D12722" t="s">
        <v>5083</v>
      </c>
      <c r="E12722">
        <v>81.69</v>
      </c>
      <c r="F12722">
        <v>20140822</v>
      </c>
      <c r="G12722" t="s">
        <v>5084</v>
      </c>
      <c r="H12722" t="s">
        <v>5171</v>
      </c>
      <c r="I12722" t="s">
        <v>29</v>
      </c>
    </row>
    <row r="12723" spans="1:9" x14ac:dyDescent="0.25">
      <c r="A12723">
        <v>20140822</v>
      </c>
      <c r="B12723" t="str">
        <f>"187582"</f>
        <v>187582</v>
      </c>
      <c r="C12723" t="str">
        <f>"70692"</f>
        <v>70692</v>
      </c>
      <c r="D12723" t="s">
        <v>5085</v>
      </c>
      <c r="E12723">
        <v>576.76</v>
      </c>
      <c r="F12723">
        <v>20140822</v>
      </c>
      <c r="G12723" t="s">
        <v>5086</v>
      </c>
      <c r="H12723" t="s">
        <v>5171</v>
      </c>
      <c r="I12723" t="s">
        <v>29</v>
      </c>
    </row>
    <row r="12724" spans="1:9" x14ac:dyDescent="0.25">
      <c r="A12724">
        <v>20140822</v>
      </c>
      <c r="B12724" t="str">
        <f>"187583"</f>
        <v>187583</v>
      </c>
      <c r="C12724" t="str">
        <f>"70774"</f>
        <v>70774</v>
      </c>
      <c r="D12724" t="s">
        <v>5087</v>
      </c>
      <c r="E12724" s="1">
        <v>1633.84</v>
      </c>
      <c r="F12724">
        <v>20140822</v>
      </c>
      <c r="G12724" t="s">
        <v>5088</v>
      </c>
      <c r="H12724" t="s">
        <v>5171</v>
      </c>
      <c r="I12724" t="s">
        <v>29</v>
      </c>
    </row>
    <row r="12725" spans="1:9" x14ac:dyDescent="0.25">
      <c r="A12725">
        <v>20140822</v>
      </c>
      <c r="B12725" t="str">
        <f>"187584"</f>
        <v>187584</v>
      </c>
      <c r="C12725" t="str">
        <f>"70777"</f>
        <v>70777</v>
      </c>
      <c r="D12725" t="s">
        <v>5089</v>
      </c>
      <c r="E12725">
        <v>16.25</v>
      </c>
      <c r="F12725">
        <v>20140822</v>
      </c>
      <c r="G12725" t="s">
        <v>5090</v>
      </c>
      <c r="H12725" t="s">
        <v>5171</v>
      </c>
      <c r="I12725" t="s">
        <v>29</v>
      </c>
    </row>
    <row r="12726" spans="1:9" x14ac:dyDescent="0.25">
      <c r="A12726">
        <v>20140822</v>
      </c>
      <c r="B12726" t="str">
        <f>"187585"</f>
        <v>187585</v>
      </c>
      <c r="C12726" t="str">
        <f>"72502"</f>
        <v>72502</v>
      </c>
      <c r="D12726" t="s">
        <v>5091</v>
      </c>
      <c r="E12726">
        <v>330.44</v>
      </c>
      <c r="F12726">
        <v>20140822</v>
      </c>
      <c r="G12726" t="s">
        <v>5092</v>
      </c>
      <c r="H12726" t="s">
        <v>5171</v>
      </c>
      <c r="I12726" t="s">
        <v>29</v>
      </c>
    </row>
    <row r="12727" spans="1:9" x14ac:dyDescent="0.25">
      <c r="A12727">
        <v>20140822</v>
      </c>
      <c r="B12727" t="str">
        <f>"187586"</f>
        <v>187586</v>
      </c>
      <c r="C12727" t="str">
        <f>"83361"</f>
        <v>83361</v>
      </c>
      <c r="D12727" t="s">
        <v>5093</v>
      </c>
      <c r="E12727" s="1">
        <v>1180</v>
      </c>
      <c r="F12727">
        <v>20140822</v>
      </c>
      <c r="G12727" t="s">
        <v>5094</v>
      </c>
      <c r="H12727" t="s">
        <v>5171</v>
      </c>
      <c r="I12727" t="s">
        <v>29</v>
      </c>
    </row>
    <row r="12728" spans="1:9" x14ac:dyDescent="0.25">
      <c r="A12728">
        <v>20140822</v>
      </c>
      <c r="B12728" t="str">
        <f>"187587"</f>
        <v>187587</v>
      </c>
      <c r="C12728" t="str">
        <f>"83209"</f>
        <v>83209</v>
      </c>
      <c r="D12728" t="s">
        <v>5097</v>
      </c>
      <c r="E12728" s="1">
        <v>1156.81</v>
      </c>
      <c r="F12728">
        <v>20140822</v>
      </c>
      <c r="G12728" t="s">
        <v>5098</v>
      </c>
      <c r="H12728" t="s">
        <v>5171</v>
      </c>
      <c r="I12728" t="s">
        <v>29</v>
      </c>
    </row>
    <row r="12729" spans="1:9" x14ac:dyDescent="0.25">
      <c r="A12729">
        <v>20140822</v>
      </c>
      <c r="B12729" t="str">
        <f>"187588"</f>
        <v>187588</v>
      </c>
      <c r="C12729" t="str">
        <f>"76675"</f>
        <v>76675</v>
      </c>
      <c r="D12729" t="s">
        <v>5099</v>
      </c>
      <c r="E12729">
        <v>200</v>
      </c>
      <c r="F12729">
        <v>20140822</v>
      </c>
      <c r="G12729" t="s">
        <v>5100</v>
      </c>
      <c r="H12729" t="s">
        <v>5171</v>
      </c>
      <c r="I12729" t="s">
        <v>29</v>
      </c>
    </row>
    <row r="12730" spans="1:9" x14ac:dyDescent="0.25">
      <c r="A12730">
        <v>20140822</v>
      </c>
      <c r="B12730" t="str">
        <f>"187589"</f>
        <v>187589</v>
      </c>
      <c r="C12730" t="str">
        <f>"87831"</f>
        <v>87831</v>
      </c>
      <c r="D12730" t="s">
        <v>5099</v>
      </c>
      <c r="E12730">
        <v>50</v>
      </c>
      <c r="F12730">
        <v>20140822</v>
      </c>
      <c r="G12730" t="s">
        <v>5157</v>
      </c>
      <c r="H12730" t="s">
        <v>5171</v>
      </c>
      <c r="I12730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0" ma:contentTypeDescription="Create a new document." ma:contentTypeScope="" ma:versionID="0c0cf93cbd1351f8031232f61fedde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36f00ae265bb5f1d4c7c1a7aa7fcb4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4694DC-8425-4FBE-9E71-5466178D9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BB9C4B-3D19-4CD8-B5E7-23DF60F87C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DDAEE-945E-41D1-8F6B-3136653476E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dcterms:created xsi:type="dcterms:W3CDTF">2014-09-03T21:11:37Z</dcterms:created>
  <dcterms:modified xsi:type="dcterms:W3CDTF">2014-09-03T21:12:20Z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